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ikita\Downloads\"/>
    </mc:Choice>
  </mc:AlternateContent>
  <xr:revisionPtr revIDLastSave="0" documentId="13_ncr:1_{24B343AB-0714-468C-ACE7-02B168E02E46}" xr6:coauthVersionLast="47" xr6:coauthVersionMax="47" xr10:uidLastSave="{00000000-0000-0000-0000-000000000000}"/>
  <bookViews>
    <workbookView xWindow="30" yWindow="630" windowWidth="28770" windowHeight="15570" firstSheet="7" activeTab="7" xr2:uid="{2C130398-8675-416B-B18F-C8451CC835FD}"/>
  </bookViews>
  <sheets>
    <sheet name="Простые и сложные проценты. (1)" sheetId="3" r:id="rId1"/>
    <sheet name="Дисконтирование. Учетная ста(2)" sheetId="4" r:id="rId2"/>
    <sheet name="Основные характеристики пот.(3)" sheetId="5" r:id="rId3"/>
    <sheet name="Кратные ренты(4)" sheetId="6" r:id="rId4"/>
    <sheet name="Портфельный анализ (5)" sheetId="7" r:id="rId5"/>
    <sheet name="Облигации(6)" sheetId="8" r:id="rId6"/>
    <sheet name="Портфель Марковица (7)" sheetId="9" r:id="rId7"/>
    <sheet name="Производные фининструменты(8)" sheetId="10" r:id="rId8"/>
  </sheets>
  <externalReferences>
    <externalReference r:id="rId9"/>
    <externalReference r:id="rId10"/>
    <externalReference r:id="rId11"/>
  </externalReferences>
  <definedNames>
    <definedName name="solver_adj" localSheetId="2" hidden="1">'Основные характеристики пот.(3)'!$I$209</definedName>
    <definedName name="solver_cvg" localSheetId="2" hidden="1">0.0001</definedName>
    <definedName name="solver_drv" localSheetId="2" hidden="1">1</definedName>
    <definedName name="solver_eng" localSheetId="2" hidden="1">1</definedName>
    <definedName name="solver_est" localSheetId="2" hidden="1">1</definedName>
    <definedName name="solver_itr" localSheetId="2" hidden="1">2147483647</definedName>
    <definedName name="solver_lhs1" localSheetId="2" hidden="1">'Основные характеристики пот.(3)'!$I$209:$I$211</definedName>
    <definedName name="solver_lhs2" localSheetId="2" hidden="1">'Основные характеристики пот.(3)'!$I$212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2</definedName>
    <definedName name="solver_nwt" localSheetId="2" hidden="1">1</definedName>
    <definedName name="solver_opt" localSheetId="2" hidden="1">'Основные характеристики пот.(3)'!$J$212</definedName>
    <definedName name="solver_pre" localSheetId="2" hidden="1">0.000001</definedName>
    <definedName name="solver_rbv" localSheetId="2" hidden="1">1</definedName>
    <definedName name="solver_rel1" localSheetId="2" hidden="1">3</definedName>
    <definedName name="solver_rel2" localSheetId="2" hidden="1">2</definedName>
    <definedName name="solver_rhs1" localSheetId="2" hidden="1">0</definedName>
    <definedName name="solver_rhs2" localSheetId="2" hidden="1">'Основные характеристики пот.(3)'!$I$208</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2</definedName>
    <definedName name="solver_val" localSheetId="2" hidden="1">0</definedName>
    <definedName name="solver_ver" localSheetId="2" hidden="1">3</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1" i="7" l="1" a="1"/>
  <c r="B181" i="7" s="1"/>
  <c r="B299" i="8"/>
  <c r="B269" i="5"/>
  <c r="B253" i="5"/>
  <c r="B252" i="5"/>
  <c r="D239" i="5"/>
  <c r="B240" i="5"/>
  <c r="J209" i="5" l="1"/>
  <c r="I211" i="5"/>
  <c r="J211" i="5" s="1"/>
  <c r="E184" i="5"/>
  <c r="C166" i="5"/>
  <c r="C167" i="5"/>
  <c r="C168" i="5"/>
  <c r="C165" i="5"/>
  <c r="C77" i="5"/>
  <c r="C78" i="5"/>
  <c r="C76" i="5"/>
  <c r="D338" i="3"/>
  <c r="B145" i="3"/>
  <c r="B141" i="3"/>
  <c r="B119" i="3"/>
  <c r="B170" i="5" l="1"/>
  <c r="D77" i="5"/>
  <c r="D78" i="5"/>
  <c r="D76" i="5"/>
  <c r="B82" i="5" l="1"/>
  <c r="B70" i="7" l="1"/>
  <c r="C71" i="7"/>
  <c r="C65" i="7"/>
  <c r="B71" i="7" s="1"/>
  <c r="C66" i="7"/>
  <c r="C67" i="7"/>
  <c r="G67" i="7"/>
  <c r="H67" i="7"/>
  <c r="C68" i="7"/>
  <c r="H68" i="7"/>
  <c r="B573" i="8"/>
  <c r="B574" i="8" s="1"/>
  <c r="B560" i="8"/>
  <c r="B561" i="8" s="1"/>
  <c r="E560" i="8"/>
  <c r="E561" i="8" s="1"/>
  <c r="H560" i="8"/>
  <c r="H561" i="8" s="1"/>
  <c r="C73" i="7" l="1" a="1"/>
  <c r="C73" i="7" s="1"/>
  <c r="C74" i="7" s="1"/>
  <c r="B472" i="10" l="1"/>
  <c r="B289" i="3"/>
  <c r="B288" i="3"/>
  <c r="B287" i="3"/>
  <c r="B538" i="8"/>
  <c r="C543" i="8"/>
  <c r="C542" i="8"/>
  <c r="B540" i="8"/>
  <c r="C545" i="8" l="1"/>
  <c r="G544" i="8"/>
  <c r="D546" i="8" s="1"/>
  <c r="B489" i="8" l="1"/>
  <c r="C525" i="8" l="1"/>
  <c r="D525" i="8"/>
  <c r="B525" i="8"/>
  <c r="G512" i="8"/>
  <c r="F512" i="8"/>
  <c r="E512" i="8"/>
  <c r="D512" i="8"/>
  <c r="G401" i="4"/>
  <c r="G400" i="4"/>
  <c r="G394" i="4"/>
  <c r="B344" i="4"/>
  <c r="B343" i="4"/>
  <c r="B345" i="4"/>
  <c r="F147" i="3"/>
  <c r="D147" i="3"/>
  <c r="B109" i="3"/>
  <c r="B98" i="3"/>
  <c r="B89" i="3"/>
  <c r="B346" i="3"/>
  <c r="B347" i="3" s="1"/>
  <c r="B342" i="3"/>
  <c r="B330" i="3"/>
  <c r="B61" i="8"/>
  <c r="B60" i="8"/>
  <c r="B52" i="8"/>
  <c r="B51" i="8"/>
  <c r="C251" i="8"/>
  <c r="D252" i="8" s="1"/>
  <c r="C250" i="8"/>
  <c r="B252" i="8" s="1"/>
  <c r="C240" i="8"/>
  <c r="C241" i="8"/>
  <c r="B210" i="8"/>
  <c r="B211" i="8" s="1"/>
  <c r="C322" i="3"/>
  <c r="D42" i="8"/>
  <c r="B44" i="8"/>
  <c r="B230" i="8"/>
  <c r="B231" i="8" s="1"/>
  <c r="B17" i="8"/>
  <c r="C19" i="8" s="1"/>
  <c r="B221" i="8"/>
  <c r="B222" i="8" s="1"/>
  <c r="B45" i="8" l="1"/>
  <c r="B62" i="8"/>
  <c r="B53" i="8"/>
  <c r="B242" i="8"/>
  <c r="C18" i="8"/>
  <c r="C20" i="8"/>
  <c r="B275" i="3"/>
  <c r="B277" i="3" s="1"/>
  <c r="B27" i="8"/>
  <c r="B28" i="8" s="1"/>
  <c r="B29" i="8" s="1"/>
  <c r="C294" i="3"/>
  <c r="B312" i="3" s="1"/>
  <c r="B79" i="8"/>
  <c r="B414" i="8"/>
  <c r="B9" i="8"/>
  <c r="B264" i="3"/>
  <c r="B465" i="3"/>
  <c r="B466" i="3" s="1"/>
  <c r="B285" i="8"/>
  <c r="B17" i="7" a="1"/>
  <c r="B17" i="7" s="1"/>
  <c r="C635" i="9"/>
  <c r="C241" i="3"/>
  <c r="C240" i="3"/>
  <c r="C239" i="3"/>
  <c r="B191" i="8"/>
  <c r="B174" i="8"/>
  <c r="C177" i="8" s="1"/>
  <c r="B171" i="8"/>
  <c r="C150" i="8"/>
  <c r="B145" i="8"/>
  <c r="D148" i="8"/>
  <c r="C127" i="8"/>
  <c r="C129" i="8"/>
  <c r="C251" i="3"/>
  <c r="C252" i="3" s="1"/>
  <c r="A252" i="3"/>
  <c r="A253" i="3" s="1"/>
  <c r="A254" i="3" s="1"/>
  <c r="B253" i="3"/>
  <c r="B254" i="3" s="1"/>
  <c r="E115" i="8"/>
  <c r="B114" i="8"/>
  <c r="B100" i="8"/>
  <c r="B274" i="8"/>
  <c r="B92" i="8"/>
  <c r="D188" i="4"/>
  <c r="A447" i="9" a="1"/>
  <c r="E445" i="9" a="1"/>
  <c r="F445" i="9" s="1"/>
  <c r="I421" i="9" a="1"/>
  <c r="I421" i="9" s="1"/>
  <c r="I127" i="9" a="1"/>
  <c r="I128" i="9" s="1"/>
  <c r="B278" i="3" l="1"/>
  <c r="C253" i="3"/>
  <c r="C254" i="3" s="1"/>
  <c r="B313" i="3"/>
  <c r="F130" i="8"/>
  <c r="A154" i="8"/>
  <c r="F176" i="8"/>
  <c r="D179" i="8" s="1"/>
  <c r="D196" i="8"/>
  <c r="B193" i="8"/>
  <c r="D194" i="8" s="1"/>
  <c r="B115" i="8"/>
  <c r="E116" i="8" s="1"/>
  <c r="G116" i="8" s="1"/>
  <c r="E117" i="8"/>
  <c r="G117" i="8" s="1"/>
  <c r="C447" i="9"/>
  <c r="B447" i="9"/>
  <c r="A447" i="9"/>
  <c r="F446" i="9"/>
  <c r="E447" i="9"/>
  <c r="F447" i="9"/>
  <c r="E445" i="9"/>
  <c r="G447" i="9"/>
  <c r="G445" i="9"/>
  <c r="E446" i="9"/>
  <c r="G446" i="9"/>
  <c r="B427" i="9" a="1"/>
  <c r="B427" i="9" s="1"/>
  <c r="B425" i="9" a="1"/>
  <c r="B425" i="9" s="1"/>
  <c r="B426" i="9" a="1"/>
  <c r="B426" i="9" s="1"/>
  <c r="J128" i="9"/>
  <c r="I127" i="9"/>
  <c r="J127" i="9"/>
  <c r="D197" i="8" l="1"/>
  <c r="B429" i="9"/>
  <c r="B430" i="9" s="1"/>
  <c r="J449" i="9" a="1"/>
  <c r="J449" i="9" s="1"/>
  <c r="J448" i="9" a="1"/>
  <c r="J448" i="9" s="1"/>
  <c r="J450" i="9" a="1"/>
  <c r="J450" i="9" s="1"/>
  <c r="B428" i="9"/>
  <c r="B132" i="9" a="1"/>
  <c r="B132" i="9" s="1"/>
  <c r="B133" i="9" a="1"/>
  <c r="B133" i="9" s="1"/>
  <c r="B131" i="9" a="1"/>
  <c r="B131" i="9" s="1"/>
  <c r="J451" i="9" l="1"/>
  <c r="J452" i="9" s="1"/>
  <c r="E427" i="9" a="1"/>
  <c r="B134" i="9"/>
  <c r="J453" i="9" l="1"/>
  <c r="B449" i="9" s="1" a="1"/>
  <c r="E427" i="9"/>
  <c r="E428" i="9"/>
  <c r="B135" i="9"/>
  <c r="B136" i="9" s="1"/>
  <c r="B450" i="9" l="1"/>
  <c r="B451" i="9"/>
  <c r="B449" i="9"/>
  <c r="E426" i="9" a="1"/>
  <c r="E426" i="9" s="1"/>
  <c r="B137" i="9"/>
  <c r="E133" i="9" s="1" a="1"/>
  <c r="E133" i="9" s="1"/>
  <c r="B452" i="9" l="1" a="1"/>
  <c r="B452" i="9" s="1"/>
  <c r="B453" i="9" a="1"/>
  <c r="B453" i="9" s="1"/>
  <c r="B454" i="9" s="1" a="1"/>
  <c r="B454" i="9" s="1"/>
  <c r="I104" i="9" l="1" a="1"/>
  <c r="J104" i="9" s="1"/>
  <c r="I92" i="9" a="1"/>
  <c r="I93" i="9" s="1"/>
  <c r="I105" i="9" l="1"/>
  <c r="J105" i="9"/>
  <c r="I104" i="9"/>
  <c r="J93" i="9"/>
  <c r="I92" i="9"/>
  <c r="J92" i="9"/>
  <c r="B96" i="9" l="1" a="1"/>
  <c r="B96" i="9" s="1"/>
  <c r="B110" i="9" a="1"/>
  <c r="B110" i="9" s="1"/>
  <c r="B109" i="9" a="1"/>
  <c r="B109" i="9" s="1"/>
  <c r="B108" i="9" a="1"/>
  <c r="B108" i="9" s="1"/>
  <c r="B98" i="9" a="1"/>
  <c r="B98" i="9" s="1"/>
  <c r="B97" i="9" a="1"/>
  <c r="B97" i="9" s="1"/>
  <c r="E109" i="9" l="1" a="1"/>
  <c r="E109" i="9" s="1"/>
  <c r="B100" i="9"/>
  <c r="B112" i="9"/>
  <c r="B111" i="9"/>
  <c r="B99" i="9"/>
  <c r="B101" i="9" s="1"/>
  <c r="E111" i="9" l="1"/>
  <c r="E112" i="9" s="1"/>
  <c r="B113" i="9"/>
  <c r="B114" i="9"/>
  <c r="E99" i="9"/>
  <c r="E100" i="9" s="1"/>
  <c r="B102" i="9"/>
  <c r="E97" i="9" a="1"/>
  <c r="E98" i="9" l="1"/>
  <c r="E97" i="9"/>
  <c r="E74" i="9" l="1" a="1"/>
  <c r="E74" i="9" s="1"/>
  <c r="A76" i="9" a="1"/>
  <c r="B76" i="9" s="1"/>
  <c r="C130" i="10"/>
  <c r="C90" i="10"/>
  <c r="C78" i="10"/>
  <c r="G54" i="10"/>
  <c r="C54" i="10"/>
  <c r="C55" i="10" s="1"/>
  <c r="C53" i="10"/>
  <c r="G21" i="10"/>
  <c r="G10" i="10"/>
  <c r="C117" i="10"/>
  <c r="C141" i="10"/>
  <c r="C118" i="10"/>
  <c r="C105" i="10"/>
  <c r="C104" i="10"/>
  <c r="C65" i="10"/>
  <c r="C64" i="10"/>
  <c r="C43" i="10"/>
  <c r="C42" i="10"/>
  <c r="C32" i="10"/>
  <c r="C31" i="10"/>
  <c r="C21" i="10"/>
  <c r="C20" i="10"/>
  <c r="C10" i="10"/>
  <c r="C9" i="10"/>
  <c r="D347" i="5"/>
  <c r="B335" i="5"/>
  <c r="E333" i="5" s="1"/>
  <c r="B334" i="5"/>
  <c r="C333" i="5"/>
  <c r="G399" i="4"/>
  <c r="G378" i="4"/>
  <c r="E380" i="4" s="1"/>
  <c r="A371" i="4"/>
  <c r="A372" i="4" s="1"/>
  <c r="B362" i="4"/>
  <c r="B363" i="4" s="1"/>
  <c r="E355" i="4"/>
  <c r="B356" i="4" s="1"/>
  <c r="C76" i="9" l="1"/>
  <c r="A76" i="9"/>
  <c r="C119" i="10"/>
  <c r="C106" i="10"/>
  <c r="C66" i="10"/>
  <c r="C44" i="10"/>
  <c r="C33" i="10"/>
  <c r="C22" i="10"/>
  <c r="C11" i="10"/>
  <c r="J77" i="9" l="1" a="1"/>
  <c r="J77" i="9" s="1"/>
  <c r="J78" i="9" a="1"/>
  <c r="J78" i="9" s="1"/>
  <c r="J79" i="9" a="1"/>
  <c r="J79" i="9" s="1"/>
  <c r="G445" i="3"/>
  <c r="G444" i="3"/>
  <c r="E445" i="3"/>
  <c r="F445" i="3" s="1"/>
  <c r="E444" i="3"/>
  <c r="F444" i="3" s="1"/>
  <c r="F422" i="3"/>
  <c r="F423" i="3"/>
  <c r="F424" i="3"/>
  <c r="F421" i="3"/>
  <c r="B483" i="3"/>
  <c r="B477" i="3"/>
  <c r="B478" i="3" s="1"/>
  <c r="D429" i="3"/>
  <c r="B431" i="3" s="1"/>
  <c r="C432" i="3" s="1"/>
  <c r="G421" i="3"/>
  <c r="A414" i="3"/>
  <c r="B410" i="3"/>
  <c r="B411" i="3" s="1"/>
  <c r="D400" i="3"/>
  <c r="D399" i="3"/>
  <c r="F399" i="3" s="1"/>
  <c r="A392" i="3"/>
  <c r="A393" i="3" s="1"/>
  <c r="A394" i="3" s="1"/>
  <c r="B391" i="3"/>
  <c r="C391" i="3" s="1"/>
  <c r="B384" i="3"/>
  <c r="E381" i="3"/>
  <c r="E382" i="3" s="1"/>
  <c r="E383" i="3" s="1"/>
  <c r="E384" i="3" s="1"/>
  <c r="B381" i="3"/>
  <c r="C369" i="3"/>
  <c r="B371" i="3" s="1"/>
  <c r="C363" i="3"/>
  <c r="C362" i="3"/>
  <c r="B358" i="3"/>
  <c r="B359" i="3" s="1"/>
  <c r="B392" i="3" l="1"/>
  <c r="C392" i="3" s="1"/>
  <c r="C364" i="3"/>
  <c r="C365" i="3" s="1"/>
  <c r="J80" i="9"/>
  <c r="J82" i="9" s="1"/>
  <c r="G399" i="3"/>
  <c r="G396" i="3"/>
  <c r="F400" i="3"/>
  <c r="G400" i="3" s="1"/>
  <c r="B386" i="3"/>
  <c r="E385" i="3" s="1"/>
  <c r="I399" i="3"/>
  <c r="J81" i="9" l="1"/>
  <c r="B78" i="9" s="1" a="1"/>
  <c r="F401" i="3"/>
  <c r="G401" i="3" s="1"/>
  <c r="G402" i="3" s="1"/>
  <c r="I400" i="3"/>
  <c r="B393" i="3"/>
  <c r="I401" i="3" l="1"/>
  <c r="I402" i="3" s="1"/>
  <c r="C393" i="3"/>
  <c r="B80" i="9"/>
  <c r="B79" i="9"/>
  <c r="B78" i="9"/>
  <c r="B394" i="3"/>
  <c r="C394" i="3" l="1"/>
  <c r="D395" i="3" s="1"/>
  <c r="B82" i="9" a="1"/>
  <c r="B82" i="9" s="1"/>
  <c r="B83" i="9" s="1"/>
  <c r="B206" i="3"/>
  <c r="B205" i="3"/>
  <c r="C199" i="3"/>
  <c r="B58" i="4" l="1"/>
  <c r="B46" i="4"/>
  <c r="B257" i="4"/>
  <c r="B908" i="10"/>
  <c r="C908" i="10" s="1"/>
  <c r="B906" i="10"/>
  <c r="B882" i="10"/>
  <c r="B883" i="10"/>
  <c r="B863" i="10"/>
  <c r="B864" i="10"/>
  <c r="C839" i="10"/>
  <c r="C840" i="10"/>
  <c r="B845" i="10"/>
  <c r="B846" i="10"/>
  <c r="B847" i="10"/>
  <c r="B848" i="10"/>
  <c r="C809" i="10"/>
  <c r="C808" i="10"/>
  <c r="C811" i="10" s="1"/>
  <c r="C813" i="10" s="1"/>
  <c r="C819" i="10" s="1"/>
  <c r="C807" i="10"/>
  <c r="C810" i="10" s="1"/>
  <c r="C783" i="10"/>
  <c r="C784" i="10"/>
  <c r="C785" i="10"/>
  <c r="C787" i="10"/>
  <c r="C788" i="10"/>
  <c r="D761" i="10"/>
  <c r="D762" i="10"/>
  <c r="M729" i="10"/>
  <c r="M731" i="10" s="1"/>
  <c r="D735" i="10"/>
  <c r="N738" i="10" s="1"/>
  <c r="D736" i="10"/>
  <c r="E736" i="10"/>
  <c r="F736" i="10"/>
  <c r="G736" i="10"/>
  <c r="H736" i="10"/>
  <c r="D738" i="10"/>
  <c r="E738" i="10"/>
  <c r="F738" i="10"/>
  <c r="G738" i="10"/>
  <c r="H738" i="10"/>
  <c r="I689" i="10"/>
  <c r="I693" i="10" s="1"/>
  <c r="K689" i="10"/>
  <c r="I690" i="10"/>
  <c r="I694" i="10" s="1"/>
  <c r="K690" i="10"/>
  <c r="I691" i="10"/>
  <c r="I695" i="10" s="1"/>
  <c r="K691" i="10"/>
  <c r="D694" i="10"/>
  <c r="J689" i="10" s="1"/>
  <c r="J693" i="10" s="1"/>
  <c r="H694" i="10"/>
  <c r="D695" i="10"/>
  <c r="E695" i="10"/>
  <c r="F695" i="10"/>
  <c r="G695" i="10"/>
  <c r="C671" i="10"/>
  <c r="C672" i="10"/>
  <c r="C652" i="10"/>
  <c r="C653" i="10"/>
  <c r="D653" i="10"/>
  <c r="E653" i="10"/>
  <c r="F653" i="10"/>
  <c r="G653" i="10"/>
  <c r="C633" i="10"/>
  <c r="C634" i="10"/>
  <c r="D634" i="10"/>
  <c r="E634" i="10"/>
  <c r="F634" i="10"/>
  <c r="C615" i="10"/>
  <c r="C616" i="10"/>
  <c r="C600" i="10"/>
  <c r="C601" i="10"/>
  <c r="C586" i="10"/>
  <c r="C587" i="10"/>
  <c r="C573" i="10"/>
  <c r="C574" i="10"/>
  <c r="F739" i="10" l="1"/>
  <c r="B885" i="10"/>
  <c r="B886" i="10" s="1"/>
  <c r="B889" i="10" s="1"/>
  <c r="B912" i="10"/>
  <c r="H739" i="10"/>
  <c r="C654" i="10"/>
  <c r="G739" i="10"/>
  <c r="M740" i="10"/>
  <c r="C602" i="10"/>
  <c r="C842" i="10"/>
  <c r="D847" i="10" s="1"/>
  <c r="B866" i="10"/>
  <c r="B867" i="10" s="1"/>
  <c r="B870" i="10" s="1"/>
  <c r="E635" i="10"/>
  <c r="C635" i="10"/>
  <c r="D654" i="10"/>
  <c r="K695" i="10"/>
  <c r="C790" i="10"/>
  <c r="G696" i="10"/>
  <c r="K694" i="10"/>
  <c r="F635" i="10"/>
  <c r="K693" i="10"/>
  <c r="E696" i="10"/>
  <c r="C588" i="10"/>
  <c r="D696" i="10"/>
  <c r="E848" i="10"/>
  <c r="G654" i="10"/>
  <c r="M739" i="10"/>
  <c r="C575" i="10"/>
  <c r="F654" i="10"/>
  <c r="F696" i="10"/>
  <c r="M738" i="10"/>
  <c r="E845" i="10"/>
  <c r="E654" i="10"/>
  <c r="D635" i="10"/>
  <c r="M733" i="10"/>
  <c r="M732" i="10"/>
  <c r="C816" i="10"/>
  <c r="C817" i="10" s="1"/>
  <c r="C841" i="10"/>
  <c r="C846" i="10" s="1"/>
  <c r="D739" i="10"/>
  <c r="H737" i="10"/>
  <c r="E847" i="10"/>
  <c r="G737" i="10"/>
  <c r="C617" i="10"/>
  <c r="C673" i="10"/>
  <c r="D763" i="10"/>
  <c r="E846" i="10"/>
  <c r="B911" i="10"/>
  <c r="B915" i="10" s="1"/>
  <c r="C918" i="10" s="1"/>
  <c r="B910" i="10"/>
  <c r="C814" i="10"/>
  <c r="C820" i="10" s="1"/>
  <c r="E737" i="10"/>
  <c r="N733" i="10"/>
  <c r="D737" i="10"/>
  <c r="N739" i="10"/>
  <c r="N732" i="10"/>
  <c r="E739" i="10"/>
  <c r="N731" i="10"/>
  <c r="N740" i="10"/>
  <c r="F737" i="10"/>
  <c r="J691" i="10"/>
  <c r="J695" i="10" s="1"/>
  <c r="J690" i="10"/>
  <c r="J694" i="10" s="1"/>
  <c r="C848" i="10" l="1"/>
  <c r="B888" i="10"/>
  <c r="B891" i="10" s="1"/>
  <c r="D848" i="10"/>
  <c r="D846" i="10"/>
  <c r="H846" i="10" s="1"/>
  <c r="D845" i="10"/>
  <c r="C845" i="10"/>
  <c r="B869" i="10"/>
  <c r="B872" i="10" s="1"/>
  <c r="C847" i="10"/>
  <c r="H847" i="10" s="1"/>
  <c r="C822" i="10"/>
  <c r="B920" i="10"/>
  <c r="B914" i="10"/>
  <c r="C917" i="10" s="1"/>
  <c r="H848" i="10" l="1"/>
  <c r="H845" i="10"/>
  <c r="B532" i="10"/>
  <c r="B534" i="10" s="1"/>
  <c r="B537" i="10" s="1"/>
  <c r="C505" i="10"/>
  <c r="B466" i="10"/>
  <c r="B465" i="10"/>
  <c r="B469" i="10" s="1"/>
  <c r="C474" i="10" s="1"/>
  <c r="C432" i="10"/>
  <c r="C431" i="10"/>
  <c r="C429" i="10"/>
  <c r="C428" i="10"/>
  <c r="B427" i="10"/>
  <c r="B380" i="10"/>
  <c r="B379" i="10"/>
  <c r="B361" i="10"/>
  <c r="B360" i="10"/>
  <c r="C338" i="10"/>
  <c r="D336" i="10"/>
  <c r="C317" i="10"/>
  <c r="B316" i="10"/>
  <c r="C296" i="10"/>
  <c r="B295" i="10"/>
  <c r="C285" i="10"/>
  <c r="B284" i="10"/>
  <c r="C266" i="10"/>
  <c r="B265" i="10"/>
  <c r="C255" i="10"/>
  <c r="B254" i="10"/>
  <c r="C219" i="10"/>
  <c r="B218" i="10"/>
  <c r="C208" i="10"/>
  <c r="B207" i="10"/>
  <c r="C197" i="10"/>
  <c r="B196" i="10"/>
  <c r="C180" i="10"/>
  <c r="B179" i="10"/>
  <c r="C169" i="10"/>
  <c r="B168" i="10"/>
  <c r="C158" i="10"/>
  <c r="B157" i="10"/>
  <c r="B470" i="10" l="1"/>
  <c r="C475" i="10" s="1"/>
  <c r="B477" i="10" s="1"/>
  <c r="H849" i="10"/>
  <c r="C850" i="10" s="1"/>
  <c r="C256" i="10"/>
  <c r="C286" i="10"/>
  <c r="D362" i="10"/>
  <c r="B478" i="10"/>
  <c r="B435" i="10"/>
  <c r="B535" i="10"/>
  <c r="B538" i="10" s="1"/>
  <c r="B540" i="10" s="1"/>
  <c r="B434" i="10"/>
  <c r="C170" i="10"/>
  <c r="C198" i="10"/>
  <c r="D340" i="10"/>
  <c r="C220" i="10"/>
  <c r="C382" i="10"/>
  <c r="C181" i="10"/>
  <c r="C318" i="10"/>
  <c r="C267" i="10"/>
  <c r="C209" i="10"/>
  <c r="C159" i="10"/>
  <c r="C297" i="10"/>
  <c r="C667" i="9"/>
  <c r="E667" i="9" s="1"/>
  <c r="C666" i="9"/>
  <c r="E666" i="9" s="1"/>
  <c r="C665" i="9"/>
  <c r="E665" i="9" s="1"/>
  <c r="G665" i="9" s="1"/>
  <c r="C664" i="9"/>
  <c r="E664" i="9" s="1"/>
  <c r="G646" i="9"/>
  <c r="C646" i="9"/>
  <c r="E623" i="9"/>
  <c r="D623" i="9"/>
  <c r="C623" i="9"/>
  <c r="E622" i="9"/>
  <c r="D622" i="9"/>
  <c r="C622" i="9"/>
  <c r="E621" i="9"/>
  <c r="D621" i="9"/>
  <c r="C621" i="9"/>
  <c r="E620" i="9"/>
  <c r="D620" i="9"/>
  <c r="C620" i="9"/>
  <c r="E619" i="9"/>
  <c r="D619" i="9"/>
  <c r="C619" i="9"/>
  <c r="E618" i="9"/>
  <c r="D618" i="9"/>
  <c r="C618" i="9"/>
  <c r="E617" i="9"/>
  <c r="D617" i="9"/>
  <c r="H616" i="9" a="1"/>
  <c r="H616" i="9" s="1"/>
  <c r="H624" i="9" s="1" a="1"/>
  <c r="H624" i="9" s="1"/>
  <c r="B629" i="9" s="1"/>
  <c r="E616" i="9"/>
  <c r="D616" i="9"/>
  <c r="E615" i="9"/>
  <c r="D615" i="9"/>
  <c r="B612" i="9"/>
  <c r="D595" i="9"/>
  <c r="C595" i="9"/>
  <c r="D594" i="9"/>
  <c r="C594" i="9"/>
  <c r="D593" i="9"/>
  <c r="D592" i="9"/>
  <c r="B590" i="9"/>
  <c r="B582" i="9"/>
  <c r="B581" i="9"/>
  <c r="B578" i="9"/>
  <c r="D549" i="9"/>
  <c r="C549" i="9"/>
  <c r="D548" i="9"/>
  <c r="C548" i="9"/>
  <c r="D547" i="9"/>
  <c r="D546" i="9"/>
  <c r="B544" i="9"/>
  <c r="C541" i="9"/>
  <c r="C540" i="9"/>
  <c r="F535" i="9"/>
  <c r="F534" i="9"/>
  <c r="F533" i="9"/>
  <c r="B510" i="9"/>
  <c r="B508" i="9"/>
  <c r="B506" i="9"/>
  <c r="F504" i="9"/>
  <c r="B500" i="9"/>
  <c r="B489" i="9"/>
  <c r="B488" i="9"/>
  <c r="B487" i="9"/>
  <c r="B468" i="9"/>
  <c r="B467" i="9"/>
  <c r="B412" i="9"/>
  <c r="B415" i="9" s="1"/>
  <c r="B416" i="9" s="1"/>
  <c r="I399" i="9" a="1"/>
  <c r="I399" i="9" s="1"/>
  <c r="I386" i="9" a="1"/>
  <c r="I386" i="9" s="1"/>
  <c r="B379" i="9"/>
  <c r="E374" i="9" s="1"/>
  <c r="I359" i="9" a="1"/>
  <c r="J360" i="9" s="1"/>
  <c r="I343" i="9" a="1"/>
  <c r="J343" i="9" s="1"/>
  <c r="A330" i="9" a="1"/>
  <c r="C330" i="9" s="1"/>
  <c r="E328" i="9" a="1"/>
  <c r="F330" i="9" s="1"/>
  <c r="D314" i="9"/>
  <c r="D313" i="9"/>
  <c r="I294" i="9" a="1"/>
  <c r="I294" i="9" s="1"/>
  <c r="E230" i="9"/>
  <c r="E227" i="9"/>
  <c r="E224" i="9"/>
  <c r="F205" i="9"/>
  <c r="F204" i="9"/>
  <c r="F203" i="9"/>
  <c r="B191" i="9"/>
  <c r="B190" i="9"/>
  <c r="B189" i="9"/>
  <c r="B175" i="9"/>
  <c r="B173" i="9"/>
  <c r="B51" i="9" a="1"/>
  <c r="D52" i="9" s="1"/>
  <c r="E23" i="9" a="1"/>
  <c r="E23" i="9" s="1"/>
  <c r="B22" i="9"/>
  <c r="B21" i="9"/>
  <c r="B493" i="8"/>
  <c r="B496" i="8" s="1"/>
  <c r="B490" i="8"/>
  <c r="B474" i="8"/>
  <c r="B476" i="8" s="1"/>
  <c r="B463" i="8"/>
  <c r="B464" i="8" s="1"/>
  <c r="B452" i="8"/>
  <c r="B453" i="8" s="1"/>
  <c r="B441" i="8"/>
  <c r="B432" i="8"/>
  <c r="B423" i="8"/>
  <c r="B404" i="8"/>
  <c r="B399" i="8"/>
  <c r="B403" i="8" s="1"/>
  <c r="B390" i="8"/>
  <c r="B387" i="8"/>
  <c r="B378" i="8"/>
  <c r="B379" i="8" s="1"/>
  <c r="B377" i="8"/>
  <c r="B365" i="8"/>
  <c r="B366" i="8" s="1"/>
  <c r="B367" i="8" s="1"/>
  <c r="B356" i="8"/>
  <c r="B340" i="8"/>
  <c r="B344" i="8" s="1"/>
  <c r="D330" i="8"/>
  <c r="B329" i="8"/>
  <c r="D321" i="8"/>
  <c r="F319" i="8"/>
  <c r="F321" i="8" s="1"/>
  <c r="E319" i="8"/>
  <c r="E321" i="8" s="1"/>
  <c r="G311" i="8"/>
  <c r="F311" i="8"/>
  <c r="E311" i="8"/>
  <c r="D311" i="8"/>
  <c r="B301" i="8"/>
  <c r="B300" i="8"/>
  <c r="B273" i="8"/>
  <c r="B272" i="8"/>
  <c r="B271" i="8"/>
  <c r="B380" i="7"/>
  <c r="B381" i="7" s="1"/>
  <c r="B373" i="7"/>
  <c r="B374" i="7" s="1"/>
  <c r="B367" i="7"/>
  <c r="B365" i="7"/>
  <c r="B366" i="7" s="1"/>
  <c r="B359" i="7"/>
  <c r="B357" i="7"/>
  <c r="B356" i="7"/>
  <c r="B358" i="7" s="1"/>
  <c r="B354" i="7"/>
  <c r="C354" i="7" s="1"/>
  <c r="B353" i="7"/>
  <c r="C353" i="7" s="1"/>
  <c r="C352" i="7"/>
  <c r="C344" i="7"/>
  <c r="B344" i="7"/>
  <c r="C343" i="7"/>
  <c r="B346" i="7" s="1"/>
  <c r="C338" i="7"/>
  <c r="C337" i="7"/>
  <c r="C328" i="7"/>
  <c r="F327" i="7"/>
  <c r="C327" i="7"/>
  <c r="B322" i="7"/>
  <c r="B321" i="7"/>
  <c r="C323" i="7" s="1"/>
  <c r="B320" i="7"/>
  <c r="B312" i="7"/>
  <c r="B307" i="7"/>
  <c r="B306" i="7"/>
  <c r="B308" i="7" s="1"/>
  <c r="B298" i="7"/>
  <c r="B297" i="7"/>
  <c r="B299" i="7" s="1"/>
  <c r="C287" i="7"/>
  <c r="C286" i="7"/>
  <c r="B293" i="7" s="1"/>
  <c r="C285" i="7"/>
  <c r="F288" i="7" s="1"/>
  <c r="C275" i="7"/>
  <c r="C274" i="7"/>
  <c r="C273" i="7"/>
  <c r="F276" i="7" s="1"/>
  <c r="B268" i="7"/>
  <c r="B267" i="7"/>
  <c r="B266" i="7"/>
  <c r="C252" i="7"/>
  <c r="C251" i="7"/>
  <c r="C250" i="7"/>
  <c r="B245" i="7"/>
  <c r="B233" i="7"/>
  <c r="B222" i="7"/>
  <c r="B221" i="7"/>
  <c r="B220" i="7"/>
  <c r="B210" i="7"/>
  <c r="B202" i="7"/>
  <c r="B201" i="7"/>
  <c r="C191" i="7"/>
  <c r="B190" i="7"/>
  <c r="B191" i="7" s="1"/>
  <c r="B189" i="7"/>
  <c r="B182" i="7"/>
  <c r="B180" i="7"/>
  <c r="B141" i="7"/>
  <c r="B138" i="7" s="1"/>
  <c r="B124" i="7"/>
  <c r="D125" i="7" s="1"/>
  <c r="E113" i="7"/>
  <c r="B110" i="7"/>
  <c r="B111" i="7" s="1"/>
  <c r="B106" i="7"/>
  <c r="B113" i="7" s="1"/>
  <c r="B114" i="7" s="1"/>
  <c r="B105" i="7"/>
  <c r="B100" i="7"/>
  <c r="B99" i="7"/>
  <c r="E99" i="7" s="1"/>
  <c r="B90" i="7"/>
  <c r="C92" i="7" s="1"/>
  <c r="B89" i="7"/>
  <c r="E35" i="7"/>
  <c r="C35" i="7"/>
  <c r="B34" i="7"/>
  <c r="B32" i="7"/>
  <c r="D35" i="7" s="1"/>
  <c r="B31" i="7"/>
  <c r="F34" i="7" s="1"/>
  <c r="B18" i="7"/>
  <c r="B15" i="7"/>
  <c r="K408" i="6"/>
  <c r="H408" i="6"/>
  <c r="E408" i="6"/>
  <c r="B408" i="6"/>
  <c r="K406" i="6"/>
  <c r="K409" i="6" s="1"/>
  <c r="H406" i="6"/>
  <c r="H409" i="6" s="1"/>
  <c r="E406" i="6"/>
  <c r="E409" i="6" s="1"/>
  <c r="B406" i="6"/>
  <c r="B409" i="6" s="1"/>
  <c r="B391" i="6"/>
  <c r="B392" i="6" s="1"/>
  <c r="B379" i="6"/>
  <c r="B374" i="6"/>
  <c r="B365" i="6"/>
  <c r="E360" i="6" s="1"/>
  <c r="E365" i="6" s="1"/>
  <c r="E350" i="6"/>
  <c r="B345" i="6"/>
  <c r="B350" i="6" s="1"/>
  <c r="C352" i="6" s="1"/>
  <c r="B337" i="6"/>
  <c r="H323" i="6"/>
  <c r="E323" i="6"/>
  <c r="B323" i="6"/>
  <c r="B308" i="6"/>
  <c r="B309" i="6" s="1"/>
  <c r="B295" i="6"/>
  <c r="B286" i="6"/>
  <c r="B283" i="6"/>
  <c r="B273" i="6"/>
  <c r="B272" i="6"/>
  <c r="E260" i="6"/>
  <c r="B260" i="6"/>
  <c r="H255" i="6" s="1"/>
  <c r="E247" i="6"/>
  <c r="E248" i="6" s="1"/>
  <c r="B247" i="6"/>
  <c r="E235" i="6"/>
  <c r="B235" i="6"/>
  <c r="E218" i="6"/>
  <c r="B218" i="6"/>
  <c r="B146" i="6"/>
  <c r="B144" i="6"/>
  <c r="B127" i="6"/>
  <c r="B125" i="6"/>
  <c r="A114" i="6"/>
  <c r="C112" i="6"/>
  <c r="A112" i="6"/>
  <c r="C105" i="6"/>
  <c r="C109" i="6" s="1"/>
  <c r="A105" i="6"/>
  <c r="A93" i="6"/>
  <c r="A92" i="6"/>
  <c r="B92" i="6" s="1"/>
  <c r="B83" i="6"/>
  <c r="B82" i="6"/>
  <c r="B76" i="6"/>
  <c r="B77" i="6" s="1"/>
  <c r="B69" i="6"/>
  <c r="B70" i="6" s="1"/>
  <c r="B62" i="6"/>
  <c r="B63" i="6" s="1"/>
  <c r="B56" i="6"/>
  <c r="B55" i="6"/>
  <c r="B46" i="6"/>
  <c r="B36" i="6"/>
  <c r="D26" i="6"/>
  <c r="B28" i="6" s="1"/>
  <c r="D25" i="6"/>
  <c r="B11" i="6"/>
  <c r="C9" i="6"/>
  <c r="C317" i="5"/>
  <c r="B310" i="5"/>
  <c r="C311" i="5" s="1"/>
  <c r="A301" i="5"/>
  <c r="B302" i="5" s="1"/>
  <c r="B303" i="5" s="1"/>
  <c r="B299" i="5"/>
  <c r="B295" i="5"/>
  <c r="B290" i="5"/>
  <c r="B279" i="5"/>
  <c r="B280" i="5" s="1"/>
  <c r="B254" i="5"/>
  <c r="C226" i="5"/>
  <c r="B226" i="5"/>
  <c r="C223" i="5"/>
  <c r="B223" i="5"/>
  <c r="B218" i="5"/>
  <c r="B215" i="5"/>
  <c r="B213" i="5"/>
  <c r="B197" i="5"/>
  <c r="C179" i="5"/>
  <c r="C178" i="5"/>
  <c r="C177" i="5"/>
  <c r="C176" i="5"/>
  <c r="C175" i="5"/>
  <c r="B149" i="5"/>
  <c r="A142" i="5"/>
  <c r="B133" i="5"/>
  <c r="B134" i="5" s="1"/>
  <c r="B131" i="5"/>
  <c r="B132" i="5" s="1"/>
  <c r="B118" i="5"/>
  <c r="B119" i="5" s="1"/>
  <c r="B120" i="5" s="1"/>
  <c r="B114" i="5"/>
  <c r="B115" i="5" s="1"/>
  <c r="B116" i="5" s="1"/>
  <c r="C109" i="5"/>
  <c r="C110" i="5" s="1"/>
  <c r="D111" i="5" s="1"/>
  <c r="B98" i="5"/>
  <c r="B99" i="5" s="1"/>
  <c r="B90" i="5"/>
  <c r="B91" i="5" s="1"/>
  <c r="D66" i="5"/>
  <c r="C66" i="5"/>
  <c r="A57" i="5"/>
  <c r="A56" i="5"/>
  <c r="A55" i="5"/>
  <c r="B40" i="5"/>
  <c r="B41" i="5" s="1"/>
  <c r="E42" i="5" s="1"/>
  <c r="E30" i="5"/>
  <c r="E31" i="5" s="1"/>
  <c r="D30" i="5"/>
  <c r="D31" i="5" s="1"/>
  <c r="C30" i="5"/>
  <c r="C31" i="5" s="1"/>
  <c r="B30" i="5"/>
  <c r="B31" i="5" s="1"/>
  <c r="E26" i="5"/>
  <c r="E27" i="5" s="1"/>
  <c r="D26" i="5"/>
  <c r="D27" i="5" s="1"/>
  <c r="C26" i="5"/>
  <c r="C27" i="5" s="1"/>
  <c r="B26" i="5"/>
  <c r="B27" i="5" s="1"/>
  <c r="C9" i="5"/>
  <c r="C8" i="5"/>
  <c r="C7" i="5"/>
  <c r="C6" i="5"/>
  <c r="C328" i="4"/>
  <c r="C327" i="4"/>
  <c r="C326" i="4"/>
  <c r="B318" i="4"/>
  <c r="B316" i="4"/>
  <c r="E320" i="4" s="1"/>
  <c r="B312" i="4"/>
  <c r="B313" i="4" s="1"/>
  <c r="D305" i="4"/>
  <c r="D304" i="4"/>
  <c r="D303" i="4"/>
  <c r="B296" i="4"/>
  <c r="B292" i="4"/>
  <c r="G285" i="4"/>
  <c r="D285" i="4"/>
  <c r="A285" i="4"/>
  <c r="B281" i="4"/>
  <c r="B259" i="4"/>
  <c r="B261" i="4" s="1"/>
  <c r="B248" i="4"/>
  <c r="B249" i="4" s="1"/>
  <c r="B242" i="4"/>
  <c r="B241" i="4"/>
  <c r="B237" i="4"/>
  <c r="F231" i="4"/>
  <c r="B233" i="4" s="1"/>
  <c r="I224" i="4"/>
  <c r="B215" i="4"/>
  <c r="B219" i="4" s="1"/>
  <c r="E207" i="4"/>
  <c r="B207" i="4"/>
  <c r="B187" i="4"/>
  <c r="B188" i="4" s="1"/>
  <c r="B173" i="4"/>
  <c r="C175" i="4" s="1"/>
  <c r="B180" i="4" s="1"/>
  <c r="B160" i="4"/>
  <c r="B161" i="4" s="1"/>
  <c r="B162" i="4" s="1"/>
  <c r="B163" i="4" s="1"/>
  <c r="B164" i="4" s="1"/>
  <c r="B149" i="4"/>
  <c r="B142" i="4"/>
  <c r="B132" i="4"/>
  <c r="B133" i="4" s="1"/>
  <c r="C122" i="4"/>
  <c r="B112" i="4"/>
  <c r="B107" i="4"/>
  <c r="B110" i="4" s="1"/>
  <c r="B106" i="4"/>
  <c r="B109" i="4" s="1"/>
  <c r="B92" i="4"/>
  <c r="B90" i="4"/>
  <c r="B82" i="4"/>
  <c r="C69" i="4"/>
  <c r="B60" i="4"/>
  <c r="B62" i="4" s="1"/>
  <c r="B48" i="4"/>
  <c r="B50" i="4" s="1"/>
  <c r="B38" i="4"/>
  <c r="C31" i="4"/>
  <c r="C29" i="4"/>
  <c r="B21" i="4"/>
  <c r="B22" i="4" s="1"/>
  <c r="B11" i="4"/>
  <c r="B12" i="4" s="1"/>
  <c r="B71" i="5" l="1"/>
  <c r="B180" i="5"/>
  <c r="B198" i="5"/>
  <c r="E199" i="5" s="1"/>
  <c r="D332" i="8"/>
  <c r="B391" i="8"/>
  <c r="F484" i="8"/>
  <c r="F483" i="8"/>
  <c r="F490" i="8"/>
  <c r="B24" i="9"/>
  <c r="B25" i="9" s="1"/>
  <c r="B594" i="9"/>
  <c r="B597" i="9" s="1"/>
  <c r="J664" i="9"/>
  <c r="B469" i="9"/>
  <c r="B546" i="9"/>
  <c r="B550" i="9" s="1"/>
  <c r="B615" i="9"/>
  <c r="B625" i="9" s="1"/>
  <c r="B621" i="9"/>
  <c r="B627" i="9" s="1"/>
  <c r="I295" i="9"/>
  <c r="B436" i="10"/>
  <c r="B480" i="10"/>
  <c r="B490" i="9"/>
  <c r="B548" i="9"/>
  <c r="C551" i="9" s="1"/>
  <c r="B592" i="9"/>
  <c r="B596" i="9" s="1"/>
  <c r="A177" i="9"/>
  <c r="B233" i="9"/>
  <c r="B512" i="9"/>
  <c r="C513" i="9"/>
  <c r="B555" i="9"/>
  <c r="B618" i="9"/>
  <c r="B626" i="9" s="1"/>
  <c r="A58" i="5"/>
  <c r="A61" i="5" s="1"/>
  <c r="A62" i="5" s="1"/>
  <c r="D226" i="5"/>
  <c r="C330" i="4"/>
  <c r="D320" i="4"/>
  <c r="B320" i="4" s="1"/>
  <c r="B322" i="4" s="1"/>
  <c r="B114" i="4"/>
  <c r="D223" i="5"/>
  <c r="B11" i="5"/>
  <c r="G666" i="9"/>
  <c r="F666" i="9"/>
  <c r="G667" i="9"/>
  <c r="F667" i="9"/>
  <c r="F665" i="9"/>
  <c r="F664" i="9"/>
  <c r="G664" i="9"/>
  <c r="B318" i="9"/>
  <c r="B405" i="9" a="1"/>
  <c r="B405" i="9" s="1"/>
  <c r="B404" i="9" a="1"/>
  <c r="B404" i="9" s="1"/>
  <c r="B403" i="9" a="1"/>
  <c r="B403" i="9" s="1"/>
  <c r="J294" i="9"/>
  <c r="J295" i="9"/>
  <c r="B53" i="9"/>
  <c r="E21" i="9"/>
  <c r="I344" i="9"/>
  <c r="B316" i="9"/>
  <c r="J344" i="9"/>
  <c r="F23" i="9"/>
  <c r="C234" i="9"/>
  <c r="E328" i="9"/>
  <c r="E24" i="9"/>
  <c r="F328" i="9"/>
  <c r="B380" i="9"/>
  <c r="E376" i="9" s="1"/>
  <c r="F24" i="9"/>
  <c r="G330" i="9"/>
  <c r="B391" i="9" a="1"/>
  <c r="B391" i="9" s="1"/>
  <c r="B390" i="9" a="1"/>
  <c r="B390" i="9" s="1"/>
  <c r="B392" i="9" a="1"/>
  <c r="B392" i="9" s="1"/>
  <c r="C53" i="9"/>
  <c r="B51" i="9"/>
  <c r="D53" i="9"/>
  <c r="G328" i="9"/>
  <c r="A330" i="9"/>
  <c r="I359" i="9"/>
  <c r="C51" i="9"/>
  <c r="E329" i="9"/>
  <c r="B330" i="9"/>
  <c r="J359" i="9"/>
  <c r="D51" i="9"/>
  <c r="F329" i="9"/>
  <c r="I360" i="9"/>
  <c r="B52" i="9"/>
  <c r="G329" i="9"/>
  <c r="C52" i="9"/>
  <c r="E330" i="9"/>
  <c r="I343" i="9"/>
  <c r="F485" i="8"/>
  <c r="F491" i="8"/>
  <c r="F486" i="8"/>
  <c r="F492" i="8"/>
  <c r="F487" i="8"/>
  <c r="F488" i="8"/>
  <c r="F489" i="8"/>
  <c r="B330" i="7"/>
  <c r="B256" i="7"/>
  <c r="B292" i="7"/>
  <c r="B291" i="7"/>
  <c r="B289" i="7"/>
  <c r="B280" i="7"/>
  <c r="B279" i="7"/>
  <c r="B277" i="7"/>
  <c r="F38" i="7"/>
  <c r="C34" i="7"/>
  <c r="C38" i="7" s="1"/>
  <c r="F35" i="7"/>
  <c r="B278" i="7"/>
  <c r="B290" i="7"/>
  <c r="B44" i="7"/>
  <c r="D44" i="7" s="1"/>
  <c r="D34" i="7"/>
  <c r="D38" i="7" s="1"/>
  <c r="B125" i="7"/>
  <c r="D124" i="7" s="1"/>
  <c r="B126" i="7" s="1"/>
  <c r="E34" i="7"/>
  <c r="E38" i="7" s="1"/>
  <c r="F328" i="7"/>
  <c r="B331" i="7" s="1"/>
  <c r="C331" i="7" s="1"/>
  <c r="B92" i="7"/>
  <c r="F253" i="7"/>
  <c r="B257" i="7" s="1"/>
  <c r="B35" i="7"/>
  <c r="B45" i="7" s="1"/>
  <c r="D45" i="7" s="1"/>
  <c r="B137" i="7"/>
  <c r="B139" i="7" s="1"/>
  <c r="B28" i="5"/>
  <c r="B32" i="5"/>
  <c r="B122" i="5"/>
  <c r="E212" i="4"/>
  <c r="F493" i="8" l="1"/>
  <c r="B495" i="8" s="1"/>
  <c r="B497" i="8" s="1"/>
  <c r="B552" i="9"/>
  <c r="B514" i="9"/>
  <c r="A515" i="9" s="1"/>
  <c r="C558" i="9"/>
  <c r="B561" i="9" s="1"/>
  <c r="J665" i="9"/>
  <c r="J666" i="9"/>
  <c r="J667" i="9" s="1"/>
  <c r="J668" i="9" s="1"/>
  <c r="E316" i="9" a="1"/>
  <c r="E316" i="9" s="1"/>
  <c r="B31" i="9" a="1"/>
  <c r="B31" i="9" s="1"/>
  <c r="B34" i="9" s="1" a="1"/>
  <c r="B34" i="9" s="1"/>
  <c r="E300" i="9" a="1"/>
  <c r="E300" i="9" s="1"/>
  <c r="B317" i="9" s="1"/>
  <c r="B407" i="9"/>
  <c r="B409" i="9" s="1"/>
  <c r="B406" i="9"/>
  <c r="B408" i="9"/>
  <c r="E373" i="9"/>
  <c r="J331" i="9" a="1"/>
  <c r="J331" i="9" s="1"/>
  <c r="B394" i="9"/>
  <c r="B393" i="9"/>
  <c r="B57" i="9" a="1"/>
  <c r="B57" i="9" s="1"/>
  <c r="B56" i="9" a="1"/>
  <c r="B56" i="9" s="1"/>
  <c r="B55" i="9" a="1"/>
  <c r="B55" i="9" s="1"/>
  <c r="B349" i="9" a="1"/>
  <c r="B349" i="9" s="1"/>
  <c r="B348" i="9" a="1"/>
  <c r="B348" i="9" s="1"/>
  <c r="B347" i="9" a="1"/>
  <c r="B347" i="9" s="1"/>
  <c r="B363" i="9" a="1"/>
  <c r="B363" i="9" s="1"/>
  <c r="B364" i="9" a="1"/>
  <c r="B364" i="9" s="1"/>
  <c r="B365" i="9" a="1"/>
  <c r="B365" i="9" s="1"/>
  <c r="J333" i="9" a="1"/>
  <c r="J333" i="9" s="1"/>
  <c r="J332" i="9" a="1"/>
  <c r="J332" i="9" s="1"/>
  <c r="C330" i="7"/>
  <c r="B333" i="7" s="1"/>
  <c r="B332" i="7"/>
  <c r="B38" i="7"/>
  <c r="B40" i="7" s="1"/>
  <c r="B47" i="7" s="1"/>
  <c r="B255" i="7"/>
  <c r="B254" i="7"/>
  <c r="C669" i="9" l="1"/>
  <c r="E301" i="9" a="1"/>
  <c r="E301" i="9" s="1"/>
  <c r="E317" i="9"/>
  <c r="E405" i="9" a="1"/>
  <c r="E406" i="9" s="1"/>
  <c r="B35" i="9"/>
  <c r="B351" i="9"/>
  <c r="H391" i="9"/>
  <c r="E392" i="9" a="1"/>
  <c r="B58" i="9"/>
  <c r="B60" i="9" s="1"/>
  <c r="B366" i="9"/>
  <c r="B367" i="9" s="1"/>
  <c r="B350" i="9"/>
  <c r="E348" i="9" s="1" a="1"/>
  <c r="J334" i="9"/>
  <c r="J336" i="9" s="1"/>
  <c r="E302" i="9" l="1"/>
  <c r="E405" i="9"/>
  <c r="E404" i="9" s="1" a="1"/>
  <c r="E404" i="9" s="1"/>
  <c r="B61" i="9"/>
  <c r="B63" i="9" s="1" a="1"/>
  <c r="B65" i="9" s="1"/>
  <c r="E393" i="9"/>
  <c r="E392" i="9"/>
  <c r="B369" i="9"/>
  <c r="B368" i="9"/>
  <c r="E350" i="9"/>
  <c r="E351" i="9" s="1"/>
  <c r="E348" i="9"/>
  <c r="E349" i="9"/>
  <c r="J335" i="9"/>
  <c r="B332" i="9" s="1" a="1"/>
  <c r="B352" i="9"/>
  <c r="B353" i="9"/>
  <c r="E365" i="9" l="1" a="1"/>
  <c r="E366" i="9" s="1"/>
  <c r="B63" i="9"/>
  <c r="B64" i="9"/>
  <c r="E391" i="9" a="1"/>
  <c r="E391" i="9" s="1"/>
  <c r="B332" i="9"/>
  <c r="B334" i="9"/>
  <c r="B333" i="9"/>
  <c r="B336" i="9" l="1" a="1"/>
  <c r="B336" i="9" s="1"/>
  <c r="B337" i="9" s="1"/>
  <c r="G52" i="9" a="1"/>
  <c r="G52" i="9" s="1"/>
  <c r="G53" i="9" s="1"/>
  <c r="E365" i="9"/>
  <c r="F63" i="9"/>
  <c r="I210" i="5" l="1"/>
  <c r="J210" i="5" l="1"/>
  <c r="J212" i="5" s="1"/>
  <c r="I21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<sst xmlns="http://schemas.openxmlformats.org/spreadsheetml/2006/main" count="3191" uniqueCount="1470">
  <si>
    <t>Простые проценты</t>
  </si>
  <si>
    <t>1. Ссуда в размере 100 тыс. руб. выдана 20.01.22 до 05.10.22 включительно под 18% годовых. Какую сумму должен заплатить должник в конце срока при начислении простых процентов? При решении использовать три метода (365/365, 360/365, 360/360). (Ответ. 112723,23; 112900,00; 112750,00)</t>
  </si>
  <si>
    <t>2. Ссуда 1 200 000 руб. выдана на квартал по простой ставке процентов 17% годовых. Определите наращенную сумму. (Ответ. 1251000)</t>
  </si>
  <si>
    <t>3. Какова простая ставка процентов, при которой первоначальный капитал в размере 120 000 руб., достигнет через 90 дней 150 000 руб.? Число дней в году считается приближенно и равно Y=360. Ответ приведите с точностью до 0,01%. (Ответ. 100%)</t>
  </si>
  <si>
    <t>4. Ссуда 800 000 руб. выдана на квартал по простой ставке процентов 17% годовых. Определите наращенную сумму. (Ответ. 834 000)</t>
  </si>
  <si>
    <t>5. Если начальная сумма возросла в k раз, то, на сколько процентов она увеличилась?</t>
  </si>
  <si>
    <t>6. Если начальная сумма возросла на r%, то во сколько раз она увеличилась?</t>
  </si>
  <si>
    <t>7. Если начальная сумма уменьшилась в k раз (k&gt;1), то на сколько процентов она уменьшилась?</t>
  </si>
  <si>
    <t>8. Если начальная сумма уменьшилась на r% (r&lt;100), то во сколько раз она уменьшилась?</t>
  </si>
  <si>
    <t>9. Найдите сумму накопленного долга и проценты, если ссуда 350 000 руб. выдана на три года под простые 15% годовых. Во сколько раз увеличится наращенная сумма при увеличении ставки на 2%? (Ответ. 1,04 раза)</t>
  </si>
  <si>
    <t>10. Определите период, за который начальный капитал в размере 33 000 у.е. вырастет до 40 000 у.е., если ставка простых процентов равна 4% годовых. (Ответ. 5,3)</t>
  </si>
  <si>
    <t>11. Ссуда 400 000 руб. выдана на 4 года под 21% годовых (простые проценты). Во сколько раз больше наращенная сумма по сравнению со ссудой? (Ответ. 1,84)</t>
  </si>
  <si>
    <t>12. Заемщик должен платить 800 000 руб. через 75 дней. Кредит выдан под 21% годовых (простые проценты). Какова первоначальная сумма долга и дисконт Y=360? (Ответ. 766467,0659; 33532,93)</t>
  </si>
  <si>
    <t>13. На счет в банке кладется сумма в размере 400 000 руб. на 3 года под 10% годовых по схеме простых процентов с дальнейшей пролонгацией на последующие 2 года под 6% годовых по той же схеме. Найдите размер вклада через 5 лет. Определите наращенную сумму, если вклад изымается через 3 года и кладется на новый счет на 2 года по той же схеме. (Ответ. 568000; 582400)</t>
  </si>
  <si>
    <t>14. Вклад открыт под 10% годовых. На него начислен процентный платеж в сумме 1000 руб. Найдите величину вклада, если он был открыт на: а) 10 лет; б) 1 год; в) 6 месяцев; г) 10 дней. Временная база Y=365 дней. (Ответ. 1000; 10000; 20000; 365000)</t>
  </si>
  <si>
    <t>15. За сколько лет при ставке 10% годовых вклад вырастет в 4 раза в схеме простых процентов? (Ответ. 30)</t>
  </si>
  <si>
    <t>16. За сколько лет удвоится капитал в схеме простых процентов при ставке 16% годовых (использовать «правило 100»? (Ответ. 6,25)</t>
  </si>
  <si>
    <t>17. Клиент поместил в банк вклад в сумме 20 000 руб. под 16% годовых с ежемесячной выплатой процентов. Какую сумму будет получать каждый месяц, если начисления производится по формуле простых процентов? (Ответ. 266,6667)</t>
  </si>
  <si>
    <t>Сложные проценты</t>
  </si>
  <si>
    <t>1. За сколько лет произойдет удвоение капитала при начислении сложных процентов раз в год по процентной ставке 12%? (Ответ. 6,12)</t>
  </si>
  <si>
    <t>2. Банк предлагает различные варианты начисления сложного процента по ставке 18% годовых. Начальная сумма равна 500 000 руб. Найдите величину вклада через четыре года при начислении сложного процента: а) 1; б) 2; в) 3; г) 4; д) 6; е) 12 раз в году. (Ответ. 969 388,88; 996 281,32; 1011185,08; 1 016 397,05; 1 021 739,14)</t>
  </si>
  <si>
    <t>3. В условиях примера 19 найдите величину вклада при непрерывном начислении процента. Ответ округлите до ближайшего целого. (Ответ. 1027216,61)</t>
  </si>
  <si>
    <t>4. В банк 09.03.2022 на депозит положили сумму 50 000 руб. под 21% годовых по схеме сложных процентов. Какую сумму вкладчик снимет 11 октября 2022? (Ответ. 55 970,7)</t>
  </si>
  <si>
    <t>5. За какой период первоначальный капитал в размере 100 000 руб. вырастет до 150 000 руб. при сложной ставке 18% годовых? (Ответ. 2,45)</t>
  </si>
  <si>
    <t>6. Кредит 567 000 руб. взят на 7 месяцев по 20% сложных годовых процентов. Чему равен процентный платёж? (Ответ. 63 626,358 руб.)</t>
  </si>
  <si>
    <t>7. Вклад открыт под 12% сложных годовых на 8 месяцев. На него начислен процентный платёж в сумме 1375 руб. Чему равна величина вклада? (Ответ. 17 520,432)</t>
  </si>
  <si>
    <t>8. Компания получила кредит на 4 года в размере 250 000 руб. с условием возврата 400 000 руб. Определите процентную ставку для случаев простого и сложного процентов. (Ответ: 0,15; 0,1247.)</t>
  </si>
  <si>
    <t>9. Инвестор намерен положить некоторую сумму под 14% годовых с целью накопления через три года 1 750 000 руб. Определите сумму вклада. (Ответ: 1 181 200,15.)</t>
  </si>
  <si>
    <t>10. На вклад 20000 руб в банке ежемесячно начисляется 2%, причём начисленные проценты не изымаются, а капитализируются. Во что превратится данный вклад через 5 месяцев? (Ответ: 22081,62.)</t>
  </si>
  <si>
    <t>11. На вклад в банке ежемесячно начисляется 2%, причём начисленные проценты не изымаются, а капитализируются. Через сколько месяцев накопится сумма 30000 руб, если первоначальный вклад составляет 20000 руб? (Ответ: 20,5 месяца.)</t>
  </si>
  <si>
    <t>12. Найдите период времени, за который сумма, положенная на депозит под 12% годовых по схеме сложных процентов, возрастет в 3 раза. (Ответ: 9,69.)</t>
  </si>
  <si>
    <t>13. При какой годовой сложной процентной ставке сумма удвоится за 7 лет, если проценты начисляются ежеквартально? (Ответ: 10%.)</t>
  </si>
  <si>
    <t>14. При какой годовой сложной процентной ставке сумма утроится за 10 лет, если проценты начисляются: а) ежемесячно; б) ежеквартально? (Ответ: 11,037%; 11,138%.)</t>
  </si>
  <si>
    <t>Кратное и непрерывное начисление процентов</t>
  </si>
  <si>
    <t>1. На счет в банке помещено 800 000 руб. За первые 4 года и 6 месяцев процентная ставка равнялась 12%, а в следующие 2 года и 3 месяца - 11%, капитализация полугодовая. Чему будет равна наращенная величина вклада через 6 лет и 9 месяцев? (Ответ: 1 719 803,56.)</t>
  </si>
  <si>
    <t>2. На счет в банке поместили 25 000 руб., а через 5 лет сняли 20 000 руб. Чему будет равна наращенная величина вклада через 12 лет (со дня помещения), если процентная ставка равна 11%, а капитализация полугодовая? (Ответ: 48042,92.)</t>
  </si>
  <si>
    <t>3. Банк предлагает вкладчикам на двухлетний срок два варианта начисления процентов: 1) в первый год 2,5% ежеквартально, во второй год по 2% ежеквартально; 2) в первое полугодие по 3% ежеквартально, а в каждом последующем полугодии ежеквартальная ставка убывает на 0,5%. Какой вклад выгоднее? (Ответ: первый.)</t>
  </si>
  <si>
    <t>4. Банк объявил следующие условия выдачи ссуды на один год: за первый квартал ссудный процент равен 10%; за второй квартал - 15%; за третий квартал - 17%; за четвертый квартал - 20%. Определите сумму к возврату в банк, если ссуда составляет 400 000 руб. (Ответ: 710 424.)</t>
  </si>
  <si>
    <t>5. При условии ежегодного начисления дохода сумма вклада за пятый год увеличилась на 1092 руб., а за седьмой год - на 1432 руб. На сколько рублей увеличится вклад за восьмой год? (Ответ: увеличилась на 1639 руб. 64 коп.)</t>
  </si>
  <si>
    <t>Эквивалентные и эффективные ставки</t>
  </si>
  <si>
    <t>1. Вычислить эффективную ставку процента, если банк начисляет проценты ежеквартально, исходя из номинальной ставки 10% годовых. (Ответ: 10,38%.)</t>
  </si>
  <si>
    <t>j=</t>
  </si>
  <si>
    <t>m=</t>
  </si>
  <si>
    <t>i=</t>
  </si>
  <si>
    <t>2. Найдите сложную процентную ставку, эквивалентную непрерывной ставке 9%. Ответ приведите с точностью до 0,01%.(Ответ: 9,42%.)</t>
  </si>
  <si>
    <t>δ =</t>
  </si>
  <si>
    <t>3. Найдите сложную процентную ставку, эквивалентную простой ставке 11% для временного интервала в 3 года. (Ответ: 9,97%.)</t>
  </si>
  <si>
    <t>iп =</t>
  </si>
  <si>
    <t>n=</t>
  </si>
  <si>
    <t>ic=</t>
  </si>
  <si>
    <t>4. Найдите простую процентную ставку, эквивалентную сложной ставке в 12% для временного интервала в 7 лет при ежемесячном начислении процентов. (Ответ: 18,67%.)</t>
  </si>
  <si>
    <t>5. Предполагается поместить капитал на 4 года либо под сложную процентную ставку 20 % годовых с полугодовым начислением процентов, либо под простую процентную ставку 26 % годовых. Найти оптимальный вариант. (Ответ: первый вариант оптимален.)</t>
  </si>
  <si>
    <t>i2=</t>
  </si>
  <si>
    <t>P1=P2=1</t>
  </si>
  <si>
    <t>S1=P(1+i/m)^n*m</t>
  </si>
  <si>
    <t>S1=</t>
  </si>
  <si>
    <t>S2=P(1+in)</t>
  </si>
  <si>
    <t>S2=</t>
  </si>
  <si>
    <t>Ответ:</t>
  </si>
  <si>
    <t>Первый вариант оптимален</t>
  </si>
  <si>
    <t>&gt;</t>
  </si>
  <si>
    <t>6. Три платежа: 110 000, 260 000 и 320 000 руб., произведенные в начале третьего, начале четвертого и в конце пятого периодов, соответственно, замените двумя платежами в конце шестого и седьмого периодов. При этом первый платеж в три раза больше второго. Годовая ставка сложных процентов составляет 12%. (Ответ: первый платёж – 691087,58 руб., второй платёж – 230362,53 руб.)</t>
  </si>
  <si>
    <t>7. Три платежа: 200 000, 250 000 и 400 000 руб., произведенные в начале третьего, начале четвертого и в конце пятого периодов, соответственно, замените платежом 900 000 руб. по годовой процентной ставке 10%. Определите время последнего платежа (Ответ: срок платежа 4,29.)</t>
  </si>
  <si>
    <t>8. Годовая эффективная процентная ставка в банке равна 700%. Найти эквивалентную номинальную ставку при условии ежемесячного начисления процентов. Укажите сумму вклада в 1000 руб., сделанного в начале года через 4 месяца при условии ежемесячного начисления процентов. (Ответ: 227,05%)</t>
  </si>
  <si>
    <t>9. В банк положена сумма 150 000 руб. сроком на 6 лет по ставке 14% годовых. Найдите наращенную сумму, величину полученного процента и эффективную процентную ставку для следующих вариантов начисления процентов:</t>
  </si>
  <si>
    <t>а) полугодового; б) ежеквартального; в) ежемесячного; г) непрерывного при силе роста 14%. (Ответ: а) S=337828,74; I=187828,74; i_эф=14,49%;</t>
  </si>
  <si>
    <t>б) S=342499,27; I=192499,27; i_эф=14,75%; в) S=345769,74; I=195769,74; i_эф=14,93%; г) S=347455,05; I=197455,05; i_эф=15,03%;.)</t>
  </si>
  <si>
    <t>10. Средства в размере 155 000 руб. положены на полугодовой депозит под 14% годовых с пролонгацией на тех же условиях. Чему равны</t>
  </si>
  <si>
    <t>процентные деньги через год? (Ответ. 177 459,5 руб.)</t>
  </si>
  <si>
    <t>11. В банк положена сумма 450 000 руб. сроком на 5 лет по ставке 8% годовых. Чему равна эффективная процентная ставка при непрерывном начислении процентов (в %)? (Ответ. 8,33%)</t>
  </si>
  <si>
    <t>12. Номинальная процентная ставка составляет 10% годовых. Чему равна эффективная процентная ставка при ежемесячном начислении процентов (в%)? (Ответ. 10,47%)</t>
  </si>
  <si>
    <t>13.  Номинальная процентная ставка составляет 14% годовых. Чему равна эффективная процентная ставка при ежедневном начислении процентов (число дней в году равно 365) (в %)? (Ответ. 15,02%)</t>
  </si>
  <si>
    <t>14. Ставка по годовому депозиту равна 20%. Чему равна ставка годовых процентов (в %), которую нужно назначить на полугодовой депозит, чтобы последовательное переоформление полугодового депозита привело бы к такому же результату, что и при использовании годового депозита? (Ответ. 19,09%)</t>
  </si>
  <si>
    <t>Самостоятельная работа</t>
  </si>
  <si>
    <t>1. Определите простую ставку процентов, при которой первоначальный капитал в размере 150 000 руб. достигнет через 150 дней величины 205000 руб. Временная база Y=365. (Ответ. 89,22%)</t>
  </si>
  <si>
    <t>P</t>
  </si>
  <si>
    <t>S</t>
  </si>
  <si>
    <t>m</t>
  </si>
  <si>
    <t>y</t>
  </si>
  <si>
    <t>s=p+pni</t>
  </si>
  <si>
    <t>i=(s-p)/pn</t>
  </si>
  <si>
    <t>2. Клиент поместил в банк вклад в сумме 2 000 000 руб. под 12% годовых с ежемесячной выплатой процентов. Какую сумму клиент будет получать каждый месяц, если начисление производится по формуле: а) простых; б) сложных процентов? (Ответ. а) 20 000; б) 18977,59)</t>
  </si>
  <si>
    <t>i</t>
  </si>
  <si>
    <t>p1</t>
  </si>
  <si>
    <t>p2</t>
  </si>
  <si>
    <t>3. За какой период первоначальный капитал в размере 3 000 000 руб. вырастет до 5 000 000 руб. при простой и сложной ставке 10% годовых? (Ответ. а) 6,67; б) 5,36)</t>
  </si>
  <si>
    <t>4. Вклад на 80 000 руб., открытый в банке на 10 месяцев, принес вкладчику 7000 руб. Под какой простой (сложный) процент годовых был открыт вклад? (Ответ: 10,5% - простой процент; 10,59% - сложный процент.)</t>
  </si>
  <si>
    <t>5. Вклад открыт под 9% сложных годовых на 8 месяцев. На него начислен процентный платёж в сумме 1200 руб. Чему равна величина вклада? (Ответ. 20 292,8198 руб.)</t>
  </si>
  <si>
    <t>6. На сумму долга в течение 7 лет начисляются проценты по ставке 17% годовых. Во сколько раз возрастет наращенная сумма, если проценты будут капитализироваться: а) ежегодно; б) ежемесячно; в) ежеквартально; г) непрерывно? (Ответ. б) 1,086; в) 1,0686; г) 1,0462)</t>
  </si>
  <si>
    <t>7. Найдите простую процентную ставку, эквивалентную сложной ставке в 15% годовых для временного интервала в 5 лет при ежемесячном начислении процентов. (Ответ: 1,19%.)</t>
  </si>
  <si>
    <t>8. Чему равен процентный платеж, если кредит 170 тыс. руб. взят на 7 месяцев под сложные проценты, составляющие 17% годовых? (Ответ: 16304,78 руб..)</t>
  </si>
  <si>
    <t>9. Банк принимает депозиты на сумму 600 000 руб. на следующих условиях: а) под 11% годовых с ежеквартальным начислением процентов; б) под 11,3% годовых с полугодовым начислением процентов; в) под 11,5% годовых начислением процентов в конце года (во всех трех случаях проценты капитализируются). Выберите оптимальную схему вложения денежных средств. (Ответ. Выгоден депозит б)</t>
  </si>
  <si>
    <t>P =</t>
  </si>
  <si>
    <t>a)</t>
  </si>
  <si>
    <t>б)</t>
  </si>
  <si>
    <t>в)</t>
  </si>
  <si>
    <t>S = P(1+ i/m)^m*n</t>
  </si>
  <si>
    <t>S=</t>
  </si>
  <si>
    <t>Ответ: Лучший вариант - Б</t>
  </si>
  <si>
    <t>10. Контракт предусматривает следующий порядок начисления сложных процентов: первый год - 10%, в каждом последующем полугодии ставка повышается на 1%. Определите множитель наращения за 2,5 года. (Ответ: 1,3273.)</t>
  </si>
  <si>
    <t>S = P(1+ i)^n</t>
  </si>
  <si>
    <t>Год</t>
  </si>
  <si>
    <t>Процент</t>
  </si>
  <si>
    <t>Сумма</t>
  </si>
  <si>
    <t>Проверила решение, оно правильное, но ответу немного не соответсвует почему-то</t>
  </si>
  <si>
    <t>в ответе наверное ошибка</t>
  </si>
  <si>
    <t>11. Какая сумма предпочтительнее при сложной ставке 6% годовых: 1000 долл. сегодня или 1500 долл. через шесть лет? (Ответ: Второй вариант лучше.)</t>
  </si>
  <si>
    <t>P=</t>
  </si>
  <si>
    <t>&lt; 1500</t>
  </si>
  <si>
    <t>Значит начать с 1500 через 6 лет выгоднее</t>
  </si>
  <si>
    <t>Ответ: Второй вариант лучше</t>
  </si>
  <si>
    <t>12. Годовая процентная ставка в банке ≪Надежный≫ равна 100% при условии начисления процентов через каждые три дня. Считая, что финансовый год является високосным (Y=366), определите, во сколько раз увеличится срочный вклад за 183 дня. (Ответ: Вклад увеличится в 1,6454 раза.)</t>
  </si>
  <si>
    <t>S = P(1+ i/m)^n*m</t>
  </si>
  <si>
    <t>формула сл процентов</t>
  </si>
  <si>
    <t>i=((S/P)^(1/mn) -1)*m</t>
  </si>
  <si>
    <t>достаю i оттуда</t>
  </si>
  <si>
    <t>i=(2^(1/(366/3)) -1)*(366/3)=</t>
  </si>
  <si>
    <t>S=1*(1+i/61)^61*(183/366)=</t>
  </si>
  <si>
    <t>с учетом этого i считаю сколько бы накопилось за 183 дня из 366</t>
  </si>
  <si>
    <t>Шамраева сказала что решение правильное, ее ответ неправильный</t>
  </si>
  <si>
    <t>13. Три платежа: 20 000, 40 000 и 70 000 руб., произведенные в начале второго, начале пятого и в конце шестого периодов, соответственно, замените платежом 120 000 руб. Определите время последнего платежа при годовой ставке 10%. (Ответ: 4,069 года.)</t>
  </si>
  <si>
    <t>Пример из инета:</t>
  </si>
  <si>
    <t xml:space="preserve">S1 = </t>
  </si>
  <si>
    <t>S3=</t>
  </si>
  <si>
    <t>n1=</t>
  </si>
  <si>
    <t>n2=</t>
  </si>
  <si>
    <t>n3=</t>
  </si>
  <si>
    <t>S4=S5=S6=</t>
  </si>
  <si>
    <t>n=??</t>
  </si>
  <si>
    <t>Составим равенство:</t>
  </si>
  <si>
    <t>120 000 / 1,1^n = 20 000 / 1,1^1 + 40 000 / 1,1^4 + 70 000 / 1,1^6</t>
  </si>
  <si>
    <t>1,1^n = 120 000 / ( 20 000 / 1,1^1 + 40 000 / 1,1^4 + 70 000 / 1,1^6 )</t>
  </si>
  <si>
    <t>n = Log1,1 (120 000 / ( 20 000 / 1,1^1 + 40 000 / 1,1^4 + 70 000 / 1,1^6 )</t>
  </si>
  <si>
    <t xml:space="preserve">n = </t>
  </si>
  <si>
    <t>1ый способ считать</t>
  </si>
  <si>
    <t>Шамраева сказала что все правильно, ее ответ неправильный</t>
  </si>
  <si>
    <t>2ой способ считать</t>
  </si>
  <si>
    <t>14. Один платеж 43 000 руб. в начале третьего периода замените тремя равными платежами, произведенными в начале первого, в конце четвертого и в конце седьмого периодов, соответственно. Годовая ставка простых процентов равна 17%. (Ответ: 16826,29 руб.)</t>
  </si>
  <si>
    <t>n4=</t>
  </si>
  <si>
    <t>s=?</t>
  </si>
  <si>
    <t>S + S / 1,17 ^ 4 + S / 1,17 ^ 7 = 43 000 / 1,17 ^ 2</t>
  </si>
  <si>
    <t>S * ( 1 + 1 / (1,17 ^ 4) + 1 / (1,17 ^ 7)) = 43 000 / 1,17 ^ 2</t>
  </si>
  <si>
    <t>S = ( 43 000 / 1,17 ^ 2) / ( 1 + 1 / (1,17 ^ 4) + 1 / (1,17 ^ 7))</t>
  </si>
  <si>
    <t>S =</t>
  </si>
  <si>
    <t>15. На годовом депозите можно получить 12% годовых, а на полугодовом - 11,5% годовых. Что выгоднее: а) положить средства на годовой депозит, или б) на полугодовой депозит с пролонгацией на тех же условиях? Чему будут равны проценты в обоих случаях при величине вклада 25 000 руб.? (Ответ: Наращенная сумма: а) 28 000 руб.; б) 27957,66 руб.; случай, а) выгоднее.)</t>
  </si>
  <si>
    <t xml:space="preserve">i1 = </t>
  </si>
  <si>
    <t>j2=</t>
  </si>
  <si>
    <t>S1&gt;S2</t>
  </si>
  <si>
    <t xml:space="preserve">Ответ: </t>
  </si>
  <si>
    <t>вариант а выгоднее</t>
  </si>
  <si>
    <t>Домашняя работа</t>
  </si>
  <si>
    <t>Задача 1</t>
  </si>
  <si>
    <t>Каким должен быть срок ссуды в днях, для того чтобы долг в размере 100 000 руб. вырос до 120 000 руб. при условии, что начисляются простые проценты по ставке 25% годовых? Число дней в году принять равным 365. (Ответ: 292 дня)</t>
  </si>
  <si>
    <t>Задача 2</t>
  </si>
  <si>
    <t>февраль</t>
  </si>
  <si>
    <t>В феврале цена на нефть увеличилась на 12% по сравнению с январской.</t>
  </si>
  <si>
    <t>март</t>
  </si>
  <si>
    <t>В марте цена упала на 25%. На сколько процентов изменилась мартовская</t>
  </si>
  <si>
    <t>решение</t>
  </si>
  <si>
    <t>цена по сравнению с январской? (Ответ: Цена упала на 16%.)</t>
  </si>
  <si>
    <t>Ответ</t>
  </si>
  <si>
    <t>Задача 3</t>
  </si>
  <si>
    <t>начальная цена</t>
  </si>
  <si>
    <t>Цена акции после двух «скачков» возросла на 110%, причем первый раз</t>
  </si>
  <si>
    <t>конечная цена</t>
  </si>
  <si>
    <t>цена подскочила на 40%. Сколько процентов составило второе</t>
  </si>
  <si>
    <t>конечная=начальная*(скачок1+100%)*(скачок2+100%)</t>
  </si>
  <si>
    <t>повышение? (Ответ: 50%.)</t>
  </si>
  <si>
    <t>скач2=</t>
  </si>
  <si>
    <t>В банк помещен вклад 3900 руб. под 50% годовых. В конце каждого из</t>
  </si>
  <si>
    <t>первых четырех лет хранения после начисления процентов вкладчик</t>
  </si>
  <si>
    <t>дополнительно вносил на счет одну и ту же фиксированную сумму. К</t>
  </si>
  <si>
    <t>1год=</t>
  </si>
  <si>
    <t>х</t>
  </si>
  <si>
    <t>концу пятого года после начисления процентов оказалось, что размер</t>
  </si>
  <si>
    <t>Sкон=</t>
  </si>
  <si>
    <t>2год=</t>
  </si>
  <si>
    <t>вклада увеличился по сравнению с первоначальным на 725%. Какую</t>
  </si>
  <si>
    <t>3год=</t>
  </si>
  <si>
    <t>сумму вкладчик ежегодно добавлял к вкладу? (Ответ: 210 руб.)</t>
  </si>
  <si>
    <t>4год=</t>
  </si>
  <si>
    <t>5год=</t>
  </si>
  <si>
    <t>х=</t>
  </si>
  <si>
    <t>Задача 5</t>
  </si>
  <si>
    <t>Контракт предусматривает следующий порядок начисления сложных</t>
  </si>
  <si>
    <t>процентов: первый год - 16%, в каждом последующем полугодии ставка</t>
  </si>
  <si>
    <t>повышается на 1%. Определите множитель наращения по простой ставке</t>
  </si>
  <si>
    <t>за 2,5 года. (Ответ: 1,4868.)</t>
  </si>
  <si>
    <t>вар 2</t>
  </si>
  <si>
    <t>Задача 6</t>
  </si>
  <si>
    <t>Клиент положил в банк 10 тыс. руб. сроком на 1 год. Согласно</t>
  </si>
  <si>
    <t>депозитному договору, годовая процентная ставка до середины второго</t>
  </si>
  <si>
    <t>n</t>
  </si>
  <si>
    <t>продолж лет</t>
  </si>
  <si>
    <t>простые</t>
  </si>
  <si>
    <t>сложные</t>
  </si>
  <si>
    <t>квартала составляет 30%, далее до конца третьего квартала - 25%, а</t>
  </si>
  <si>
    <t>середина второго квартала</t>
  </si>
  <si>
    <t>сначала четвертого квартала – снова 30%. Какую сумму клиент получит в</t>
  </si>
  <si>
    <t>третий квартал конец</t>
  </si>
  <si>
    <t>конце года при условии, что договор предусматривает начисление: а) по</t>
  </si>
  <si>
    <t>до конца года</t>
  </si>
  <si>
    <t>простым процентам; б) по сложным процентам? (Ответ: 12812,5;</t>
  </si>
  <si>
    <t>ОТВЕТ</t>
  </si>
  <si>
    <t>12810,2.)</t>
  </si>
  <si>
    <t>Задача 7</t>
  </si>
  <si>
    <t>В банк 7-го февраля на депозит положили сумму 20 000 у.е. под 11%</t>
  </si>
  <si>
    <t>годовых по схеме сложных процентов. Какую сумму вкладчик снимет 1-</t>
  </si>
  <si>
    <t>начало=</t>
  </si>
  <si>
    <t>го октября, если временная база составляет Y=365 дней? (Ответ:</t>
  </si>
  <si>
    <t>конец=</t>
  </si>
  <si>
    <t>21396,1.)</t>
  </si>
  <si>
    <t>дней=</t>
  </si>
  <si>
    <t>сумма</t>
  </si>
  <si>
    <t>Задача 8</t>
  </si>
  <si>
    <t>Ставка по годовому депозиту равна 8%. Какую ставку годовых процентов</t>
  </si>
  <si>
    <t>нужно назначить на полугодовой депозит, чтобы последовательное</t>
  </si>
  <si>
    <t>переоформление полугодового депозита привело бы к такому же</t>
  </si>
  <si>
    <t>результату, что и при использовании годового депозита? (Ответ: 7,85%.)</t>
  </si>
  <si>
    <t>Задача 9</t>
  </si>
  <si>
    <t>непрерывные</t>
  </si>
  <si>
    <t>В банк внесен вклад в размере 2400 руб. под 7% годовых по схеме</t>
  </si>
  <si>
    <t>сложных процентов. Подсчитайте величину вклада через три года при</t>
  </si>
  <si>
    <t>начислении процентов: а) 1; б) 4; в) 6; г) 12 раз в году и в случае</t>
  </si>
  <si>
    <t>непрерывного начисления процентов. (Ответ: а) 2940,1 руб.; б)</t>
  </si>
  <si>
    <t>2955,45 руб.; б) 2957,23 руб.; г) 2959,02 руб.; 2960,83 руб – в случае</t>
  </si>
  <si>
    <t>непрерывного начисления процентов.)</t>
  </si>
  <si>
    <t>Задача 10</t>
  </si>
  <si>
    <t>Сумма вклада в банке после первого года хранения равнялась 24 у.е., а</t>
  </si>
  <si>
    <t>1 год</t>
  </si>
  <si>
    <t>ставка</t>
  </si>
  <si>
    <t>после третьего года хранения - 54 у.е. На сколько у.е. увеличился вклад за</t>
  </si>
  <si>
    <t>3 год</t>
  </si>
  <si>
    <t>первый год хранения, если процентная ставка не менялась, доход</t>
  </si>
  <si>
    <t>0 год</t>
  </si>
  <si>
    <t>начисляется в конце каждого года по схеме сложных процентов? (Ответ:</t>
  </si>
  <si>
    <t>8 у.е.)</t>
  </si>
  <si>
    <t>Задача 11</t>
  </si>
  <si>
    <t>При условии ежегодного начисления дохода по схеме сложных процентов</t>
  </si>
  <si>
    <t>Пусть P(1+i) =x</t>
  </si>
  <si>
    <t>сумма вклада за пятый год увеличилась на 320 руб., а за седьмой год - на</t>
  </si>
  <si>
    <t>Тогда х^5=320</t>
  </si>
  <si>
    <t xml:space="preserve"> x^7=500</t>
  </si>
  <si>
    <t>500 руб. На сколько рублей увеличится вклад за восьмой год? (Ответ: 625</t>
  </si>
  <si>
    <t>(x^7)/(x^5)=500/320</t>
  </si>
  <si>
    <t>руб.)</t>
  </si>
  <si>
    <t>x=1,25</t>
  </si>
  <si>
    <t>500*1,25=625</t>
  </si>
  <si>
    <t>В банк положена сумма 40 тыс. у.е. сроком на 2 года по ставке 10%</t>
  </si>
  <si>
    <t>Задача 12</t>
  </si>
  <si>
    <t>годовых. Найдите наращенную сумму, величину полученного процента и</t>
  </si>
  <si>
    <t>наращенная сумма</t>
  </si>
  <si>
    <t>процентные деньги</t>
  </si>
  <si>
    <t>ЭПС</t>
  </si>
  <si>
    <t>эффективную процентную ставку для следующих вариантов начисления</t>
  </si>
  <si>
    <t>процентов: а) ежеквартального; б) ежемесячного. Найдите непрерывную</t>
  </si>
  <si>
    <t>процентную ставку, эквивалентную простой ставке в 15% годовых для</t>
  </si>
  <si>
    <t>временного интервала в 5 лет. (Ответ: Наращенная сумма: а) 48736,12</t>
  </si>
  <si>
    <t>у.е., б) 48815,64 у.е.; процентные деньги: а) 8736,12 у.е., б) 8815,64 у.е.;</t>
  </si>
  <si>
    <t>эффективная процентная ставка: а) 10,38%, б) 10,47%.)</t>
  </si>
  <si>
    <t>Задача 13</t>
  </si>
  <si>
    <t>Два платежа: 13 000 и 35 000 руб., произведенные в начале четвертого и</t>
  </si>
  <si>
    <t xml:space="preserve">S2 = </t>
  </si>
  <si>
    <t>в конце пятого периодов, соответственно, замените двумя платежами в</t>
  </si>
  <si>
    <t>конце шестого и восьмого периодов. При этом первый платеж на 20%</t>
  </si>
  <si>
    <t>больше второго. Чему равны эти платежи, если годовая ставка сложных</t>
  </si>
  <si>
    <t>процентов составляет 9%. (Ответ: Первый платеж равен 32317,72 руб.,</t>
  </si>
  <si>
    <t xml:space="preserve">второй – 26931,44 руб.) </t>
  </si>
  <si>
    <t>S2 = S1*1,2</t>
  </si>
  <si>
    <t>1,2S/1,09^6+S/1,09^8=13000/1,09^3+35000/1,09^5</t>
  </si>
  <si>
    <t>Задача 14</t>
  </si>
  <si>
    <t>Ссуда в размере 100 000 у.е. выдана на 100 дней под простые 9% годовых</t>
  </si>
  <si>
    <t>(Y=366 дней). Однако, она не была возвращена в намеченный срок, а была</t>
  </si>
  <si>
    <t>N</t>
  </si>
  <si>
    <t>погашена спустя 20 дней, не считая даты погашения. Какую сумму</t>
  </si>
  <si>
    <t>следует вернуть, если за просроченное время на сумму возврата долга</t>
  </si>
  <si>
    <t>Y</t>
  </si>
  <si>
    <t>начислялись простые проценты по ставке 12% годовых? Ответ округлите</t>
  </si>
  <si>
    <t>до целого числа. (Ответ: 103131 у.е.)</t>
  </si>
  <si>
    <t>P(1+i^t/k)</t>
  </si>
  <si>
    <t>Задача 15</t>
  </si>
  <si>
    <t>n=10</t>
  </si>
  <si>
    <t>При какой годовой процентной ставке сумма увеличится в 3 раза за 10</t>
  </si>
  <si>
    <t>m=4</t>
  </si>
  <si>
    <t>(1+x/m)^(n*m)=3</t>
  </si>
  <si>
    <t>лет, если проценты начисляются поквартально? (Ответ: 11,14%.)</t>
  </si>
  <si>
    <t>Математическое дисконтирование. Банковский учёт.</t>
  </si>
  <si>
    <t>Учётная ставка.</t>
  </si>
  <si>
    <t>1. Через 170 дней после подписания договора должник уплатит 250 тыс. руб. Кредит выдан под 18% годовых. Какова первоначальная сумма долга при условии, что временная база равна 365 дням, а для дисконтирования погашаемого долга используется математический учёт простыми процентами?? (Ответ: 230 662,29 руб.)</t>
  </si>
  <si>
    <t>Y=</t>
  </si>
  <si>
    <t>t=</t>
  </si>
  <si>
    <t>S=P(1+ni)</t>
  </si>
  <si>
    <t>n=t/Y=</t>
  </si>
  <si>
    <t>P=S/(1+ni)</t>
  </si>
  <si>
    <t>2. Вексель стоимостью 710 000 руб. учитывается за два года до погашения по сложной процентной ставке 14% годовых. Чему равна величина дисконта? (Ответ: 163 678,05 руб.)</t>
  </si>
  <si>
    <t>S=P(1+i)^n</t>
  </si>
  <si>
    <t>P=S/(1+i)^n</t>
  </si>
  <si>
    <t>D=S-P=</t>
  </si>
  <si>
    <t>3. Предприятие получило кредит на один год в размере 12 млн руб. с условием возврата 13,5 млн руб. Рассчитайте процентную и учетную ставки. (Ответ: 12,5%; 11,11%)</t>
  </si>
  <si>
    <t>S=P(1+ni)---&gt; i=(S/P-1)/n</t>
  </si>
  <si>
    <t>P=S(1-nd)---&gt; d=(1-P/S)/n</t>
  </si>
  <si>
    <t>4. Какова приведённая стоимость векселя номиналом 625 000 руб. при его учёте за 5 лет до срока погашения по учётной ставке 22,5% годовых и начислении процентов раз в год? Каков дисконт банка? (Ответ: 174 738,47 руб.; 450 261,53 руб.)</t>
  </si>
  <si>
    <t>Задача 4</t>
  </si>
  <si>
    <t>d=</t>
  </si>
  <si>
    <t>P=S(1-d)^n</t>
  </si>
  <si>
    <t>5. Вексель номиналом 800 000 руб. и сроком погашения 31 декабря 2019 года учитывается сегодня (19 февраля 2019 года) по годовой простой учётной ставке d=21%. Какую сумму получит держатель векселя? (Ответ: 655 013,7 руб.)</t>
  </si>
  <si>
    <t>P=S(1-nd)</t>
  </si>
  <si>
    <t>6.Клиент имеет вексель на 15 000 y.e., который он хочет учесть 12.01.2020 в банке по сложной учётной ставке 7%. Какую сумму он получит, если срок погашения 12.07.2020? (Ответ: 14 468,34 руб.)</t>
  </si>
  <si>
    <t>P=S(1-d)^n=</t>
  </si>
  <si>
    <t>7. Определите номинал векселя, если при его учёте за 6 лет до срока погашения его владелец получил на руки 225 375 руб. Дисконтирование осуществлялось по учётной ставке 12% годовых раз в год. (Ответ: 485299,35 руб.)</t>
  </si>
  <si>
    <t>P=S(1-d)^n ---&gt; S=P/(1-d)^n</t>
  </si>
  <si>
    <t>8. Банк учитывает вексель по номинальной учетной ставке 8% с ежемесячным начислением процентов. Найдите сложную учетную ставку, при которой доход банка не изменится. (Ответ: 7,71%)</t>
  </si>
  <si>
    <t>f=</t>
  </si>
  <si>
    <t>S=P(1-f/m)^(nm)</t>
  </si>
  <si>
    <t>S=P(1-d)^n</t>
  </si>
  <si>
    <t>P(1-f/m)^(nm)=P(1-d)^n ---&gt; (1-f/m)^(nm)=(1-d)^n ---&gt; (1-f/m)^(m)=1-d</t>
  </si>
  <si>
    <t>d=1-(1-f/m)^m</t>
  </si>
  <si>
    <t>9. Что выгоднее, положить 2000 у.е. в банк на год под 8% годовых или купить вексель с номиналом 2170 у.е. и погашением через год? Чему равна доходность покупки векселя, измеренная в виде годовой ставки процентов? (Ответ: Наращенная сумма 2160 руб. меньше, чем 2170 руб; 8,5%)</t>
  </si>
  <si>
    <t>S1=P(1+ni)</t>
  </si>
  <si>
    <t>&lt;</t>
  </si>
  <si>
    <t>i=(S/P-1)/n</t>
  </si>
  <si>
    <t>10. Вексель куплен за 300 дней до его погашения. На момент покупки рыночная простая учетная ставка составляла 7% годовых. Через 10 дней вексель продали по простой учетной ставке 6% годовых. Оцените эффективность данной финансовой операции в виде ставки простых процентов. Временная база Y=365 дней. (Ответ: 38,2%)</t>
  </si>
  <si>
    <t>t1=</t>
  </si>
  <si>
    <t>d1=</t>
  </si>
  <si>
    <t>d2=</t>
  </si>
  <si>
    <t>P1=S(1-n1d1)</t>
  </si>
  <si>
    <t>P2=S(1-n2d2)</t>
  </si>
  <si>
    <t>P2=P1(1+ni) ---&gt; i=(P2/P1-1)/n</t>
  </si>
  <si>
    <t>t2=</t>
  </si>
  <si>
    <t>n1=t1/Y=</t>
  </si>
  <si>
    <t>n2=t2/Y=</t>
  </si>
  <si>
    <t>1-n1d1=</t>
  </si>
  <si>
    <t>1-n2d2=</t>
  </si>
  <si>
    <t>n=n1-n2=</t>
  </si>
  <si>
    <t>11. Определить срок долга, который необходим для того, чтобы первоначальный долг в 20 000 рублей вырос до величины 30 000 рублей при условии, что на сумму долга начисляются простые проценты при годовой учётной ставке 11%. (Ответ: 3,03 года)</t>
  </si>
  <si>
    <t>P=S(1-nd) ---&gt; n=(1-P/S)/d</t>
  </si>
  <si>
    <t>12. Определить величину дисконта при продаже финансового инструмента на сумму 5000 долларов, если до срока погашения осталось 2,5 года. Банк, покупающий этот инструмент, применяет сложные  проценты  по  годовой  учётной  ставке  9%. (Ответ: 1050,22 руб.)</t>
  </si>
  <si>
    <t xml:space="preserve">S= </t>
  </si>
  <si>
    <t xml:space="preserve">d = </t>
  </si>
  <si>
    <t>P = S(1-d)^n</t>
  </si>
  <si>
    <t>S-P=</t>
  </si>
  <si>
    <t>Процентные ставки в условиях инфляции</t>
  </si>
  <si>
    <t>13. Ожидается среднемесячный темп инфляции 4%. Найдите ожидаемый годовой темп инфляции. (Ответ: 60,1%)</t>
  </si>
  <si>
    <t>alpha_мес=</t>
  </si>
  <si>
    <t>1+alpha_год=(1+alpha_мес)^12 ---&gt; alpha_год=(1+alpha_мес)^12-1</t>
  </si>
  <si>
    <t>alpha_год=</t>
  </si>
  <si>
    <t>14. Ожидаемый годовой темп инфляции составляет 9%. Найдите ожидаемый среднеквартальный темп инфляции. (Ответ: 2,18%)</t>
  </si>
  <si>
    <t>1+alpha_год=(1+alpha_кв)^4 ---&gt; alpha_кв=(1+alpha_год)^0,25-1</t>
  </si>
  <si>
    <t>alpha_кв=</t>
  </si>
  <si>
    <t>15. Темп инфляции за два периода равен 0,4, а за второй период - на 50% выше, чем за первый. Найдите темп инфляции за каждый из периодов. (Ответ: 14,7%; 22,05%)</t>
  </si>
  <si>
    <t>alpha_1</t>
  </si>
  <si>
    <t>alpha_2=1,5*alpha_1</t>
  </si>
  <si>
    <t>1+alpha=(1+alpha_1)(1+1,5*alpha_1)</t>
  </si>
  <si>
    <t>alpha=</t>
  </si>
  <si>
    <t>alpha_2</t>
  </si>
  <si>
    <t>16. Ставка процентов составляет 10% годовых. Месячный темп инфляции в первом полугодии был постоянен и составил 0,2%, во втором - 0,3%. Во сколько раз реальная наращенная сумма превзойдет сумму депозита за год? (Ответ: в 1,0675 раз)</t>
  </si>
  <si>
    <t>Задача 16</t>
  </si>
  <si>
    <t>1+alpha=(1+alpha1)^6(1+alpha2)^6 ----&gt; alpha=</t>
  </si>
  <si>
    <t>i_alpha=(i-alpha)/(1+alpha)=</t>
  </si>
  <si>
    <t>(Формула Фишера)</t>
  </si>
  <si>
    <t>S=P(1+i_alpha)</t>
  </si>
  <si>
    <t>1+i_alpha=</t>
  </si>
  <si>
    <t>17. Темп инфляции a за период 𝑡 = 𝑡1 + 𝑡2 равен 0,4. Темпы инфляции</t>
  </si>
  <si>
    <t>НЕПОЛНАЯ</t>
  </si>
  <si>
    <t>a1, a2 за периоды 𝑡1, 𝑡2 соответственно, составляют арифметическую прогрессию с разностью 0,03. Найдите темп инфляции за каждый период. (Ответ: 0,1683; 0,1983)</t>
  </si>
  <si>
    <t>Задача 17</t>
  </si>
  <si>
    <t>alpha</t>
  </si>
  <si>
    <t>alpha1=</t>
  </si>
  <si>
    <t>alpha2=</t>
  </si>
  <si>
    <t>alpha1+0,03</t>
  </si>
  <si>
    <t>D=</t>
  </si>
  <si>
    <t>18. Темп инфляции a за период 𝑡 = 𝑡1 + 𝑡2 равен 0,9. Темпы инфляции a1, a2 за периоды 𝑡1, 𝑡2 соответственно, составляют геометрическую прогрессию со знаменателем 0,6. Найдите темп инфляции за каждый период. (Ответ: 0,4771; 0,2862)</t>
  </si>
  <si>
    <t>19. Ожидается среднемесячный темп инфляции 0,7%. Годовая номинальная ставка составляет 15%. Найдите эффективную реальную процентную ставку, если начисление происходит три раза в году. (Ответ: 6,47%)</t>
  </si>
  <si>
    <t>20. Найдите реальный доход вкладчика, если на депозит положено 250 000 у.е. на 4 года под 12% с ежемесячным начислением процентов при квартальной инфляции, которая составляет в среднем за данный период 2%. (Ответ: 43 604,83 руб.)</t>
  </si>
  <si>
    <t>21. Месячный темп инфляции составляет 0,4%. Найдите индекс цен и темп инфляции за год. (Ответ: 4,91%; 104,91%)</t>
  </si>
  <si>
    <t>22. Ставка процентов составляет 12% годовых. Месячный темп инфляции в первом полугодии был постоянен и составил 3%, во втором полугодии – 5%. Чему равна реальная наращенная сумма депозита величиной 650 000 руб. через год? (Ответ: 454 958,98 руб.)</t>
  </si>
  <si>
    <t>23. Прогнозируется среднемесячный темп инфляции 6%. Чему равен квартальный  темп  инфляции,  выраженный  в  процентах? (Ответ: 19,1%)</t>
  </si>
  <si>
    <t>24. Прогнозируется среднемесячный темп инфляции 3%. Чему равен годовой темп инфляции, выраженный в процентах? (Ответ: 42,58%)</t>
  </si>
  <si>
    <t>25. Месячный темп инфляции составляет 2%. На сумму 150 000 руб. в течение года начислялась простая процентная ставка 12,5% годовых. Чему равна реальная наращенная сумма с учётом инфляции? (Ответ: 133 058,22 руб.)</t>
  </si>
  <si>
    <t>1. Банк учитывает вексель по номинальной учетной ставке 10% с ежемесячным начислением процентов. Найдите сложную учетную ставку, при которой доход банка не изменится. (Ответ: 9,55%)</t>
  </si>
  <si>
    <t>d eff</t>
  </si>
  <si>
    <t xml:space="preserve">ответ </t>
  </si>
  <si>
    <t>2. Сертификат куплен за 10 000 руб. и продан за 11 200 руб. через 100 дней. Какова доходность этой финансовой операции, измеренная в виде годовых ставок простых и сложных процентов? Временная база Y=365 дней. (Ответ: 𝑑𝑠 ≈ 0,438 (43,8%); 𝑑𝑐 ≈ 0,5123 (51,23%))</t>
  </si>
  <si>
    <t>Простой процент:</t>
  </si>
  <si>
    <t>К0</t>
  </si>
  <si>
    <t>R =</t>
  </si>
  <si>
    <t>К</t>
  </si>
  <si>
    <t>R</t>
  </si>
  <si>
    <t>?</t>
  </si>
  <si>
    <t>Сложный процент:</t>
  </si>
  <si>
    <t>3. Предприятие получило кредит на один год в размере 5,0 млн руб. с условием возврата 5,45 млн руб. Рассчитайте процентную и учетную ставки. (Ответ: процентная ставка 𝑖 = (5,45−5)/5 ∙ 100% = 9%. Учётная ставка: 𝑑 = (5,45−5)/5,45 ∙ 100% ≈ 8,26%)</t>
  </si>
  <si>
    <t>Процентная ставка</t>
  </si>
  <si>
    <t>Учетная ставка</t>
  </si>
  <si>
    <t>Пропорция</t>
  </si>
  <si>
    <t>d</t>
  </si>
  <si>
    <t>(100% + х)</t>
  </si>
  <si>
    <t>5000000 / 100% = 5450000 / (100% + х)</t>
  </si>
  <si>
    <t>500000000 + 5000000  * х = 545000000</t>
  </si>
  <si>
    <t>5000000  * х = 545000000 - 500000000</t>
  </si>
  <si>
    <t>x =</t>
  </si>
  <si>
    <t xml:space="preserve">Или </t>
  </si>
  <si>
    <t>4. За 7 лет начисленные по долгу сложные проценты сравнялись с величиной долга. Чему равна принятая процентная ставка? Задачу решите двумя способами: а) по «правилу 70»; б) пользуясь определением эффективной процентной ставки. (Ответ: a) 10%, б)10,41%)</t>
  </si>
  <si>
    <t>1) i=</t>
  </si>
  <si>
    <t>2) d=</t>
  </si>
  <si>
    <t>5. Вексель стоимостью 550 тыс. руб. учитывается за три года до погашения по сложной учетной ставке 12% годовых. Найдите сумму, которую получит векселедержатель, и величину дисконта. (Ответ: а) 374809,6 руб. б) 𝐷 = 175190,4 руб.)</t>
  </si>
  <si>
    <t>6. Клиент имеет вексель на 20 000 руб., который он хочет учесть 24 апреля 2015 г. в банке по сложной учетной ставке 10% годовых. Какую сумму он получит, если срок погашения 12 сентября 2015 г., а временная база Y=365 дней? (Ответ: 19202,32 руб.)</t>
  </si>
  <si>
    <t>7. В государстве U в результате инфляционных процессов цены выросли на 300%. Оппозиция потребовала от правительства возвращения цен на прежний уровень, для чего предложила двухлетнюю программу снижения цен на одно и то же число процентов каждый год. В ходе переговоров правительству удалось смягчить это требование до 40% и достичь соглашения об увеличении срока антиинфляционной программы. Определите: а) предусмотренный двухлетней программой темп дефляции; б) срок скорректированной программы.</t>
  </si>
  <si>
    <t>8. Темп инфляции за период 𝑡 = 𝑡1 + 𝑡2 равен 0,4. Темп инфляции за первый период в 1, 173 раза меньше, чем за второй. Найдите темп инфляции за каждый период. (Ответ: 16,87%; 19,8%)</t>
  </si>
  <si>
    <t>x</t>
  </si>
  <si>
    <t>1,173x</t>
  </si>
  <si>
    <t>1,173x^2+2,173x-0,4=0</t>
  </si>
  <si>
    <t>x1=-2.0212</t>
  </si>
  <si>
    <t>x2=0.16871</t>
  </si>
  <si>
    <t>9. Прогнозируется среднемесячный темп инфляции 3%. Найдите квартальный, полугодовой и годовой темпы инфляции. (Ответ: 12,55%; 19,41%; 42,58%)</t>
  </si>
  <si>
    <t xml:space="preserve">Квартальный </t>
  </si>
  <si>
    <t>полугодовой</t>
  </si>
  <si>
    <t xml:space="preserve">Годовой </t>
  </si>
  <si>
    <t>10. Пусть темп инфляции за год равен 𝛼 = 20% . Найдите темп инфляции 𝛼кв за квартал при условии его постоянства. (Ответ: 4,66%)</t>
  </si>
  <si>
    <t>aльфа</t>
  </si>
  <si>
    <t>альфа кв = (1+ альфа)^(1/4) -1</t>
  </si>
  <si>
    <t>ответ</t>
  </si>
  <si>
    <t>11. Какую процентную ставку должен  установить банк, чтобы  при инфляции 8% годовых он мог иметь 10%-ю доходность? (Ответ: 18,8%)</t>
  </si>
  <si>
    <t>альфа</t>
  </si>
  <si>
    <t>12. Номинальная процентная ставка составляет 15% годовых, а индекс инфляции Λ = 1,1 . Найдите эффективную реальную ставку, если проценты начисляются а) ежемесячно;  б) ежедневно; в) ежеквартально. Временная база Y=365 дней. (Ответ: а) 5,52%. б) 6,62%. в) 5,33%)</t>
  </si>
  <si>
    <t xml:space="preserve"> A=</t>
  </si>
  <si>
    <t>ip=</t>
  </si>
  <si>
    <t>Iэфф=</t>
  </si>
  <si>
    <t>13. На депозит на шесть месяцев положили 120 000 руб. под 10% простых годовых (Y=360 дней). Темп инфляции за год составит 7%. Чему равно реальное значение наращенной суммы депозита? (Ответ: 121682,24 руб.)</t>
  </si>
  <si>
    <t>a=</t>
  </si>
  <si>
    <t>14. Найдите реальный доход вкладчика, если на депозит положено 1 млн руб. на пять лет под 12% годовых с ежеквартальным начислением процентов при полугодовой инфляции 3%. Ответ округлите до рубля. (Ответ: 343916 руб.)</t>
  </si>
  <si>
    <t>Alpha</t>
  </si>
  <si>
    <t>I eff</t>
  </si>
  <si>
    <t>I alpha</t>
  </si>
  <si>
    <t>15. На сумму 1,5 млн руб. в течение трех месяцев начисляются простые проценты из расчета 28% годовых. Ежемесячная инфляция в рассматриваемом периоде характеризуется темпами 2,5, 2,0 и 1,8%. Определите  наращенную  сумму  с  учетом  инфляции. (Ответ: 1499070,08 руб.)</t>
  </si>
  <si>
    <t>1 месяц</t>
  </si>
  <si>
    <t>2 месяц</t>
  </si>
  <si>
    <t>3 месяц</t>
  </si>
  <si>
    <t>1.  По условиям контракта должник уплачивает 36000 руб. через 100 дней. Кредит предоставлен под годовую процентную ставку 14%. Определить величину кредита и сумму дисконта, если для дисконтирования погашаемого долга используется математический учёт простыми процентами. (Ответ: 34876,96 руб.; 1123,04 руб.)</t>
  </si>
  <si>
    <t>D</t>
  </si>
  <si>
    <t>2. Банк осуществляет учёт векселей по простой учётной ставке 20% годовых. Вексель учитывается за 30 дней до погашения. Какой величине простой ставки наращения эквивалентна данная учётная ставка? (Ответ: 20,3%)</t>
  </si>
  <si>
    <t>n=30/365</t>
  </si>
  <si>
    <t>1/(1+ni)=(1-nd)</t>
  </si>
  <si>
    <t>1-nd</t>
  </si>
  <si>
    <t>i=(1-(1-nd))/((1-nd)*n)</t>
  </si>
  <si>
    <t>3. Вексель стоимостью 200 000 руб. учитывается за 3 года до погашения по сложной учетной ставке 17% годовых. Найдите сумму, получаемую векселедержателем и величину дисконта. (Ответ: 114357,4 руб.; 85642,6 руб.)</t>
  </si>
  <si>
    <t>p</t>
  </si>
  <si>
    <t>4. Клиент имеет вексель на 200 000 у.е., который он хочет учесть 12.02.2015 г. в банке по сложной учетной ставке 10%. Какую сумму он  получит,  если  срок  погашения  10.08.2015  г.? (Ответ: 189928,45 y.e.)</t>
  </si>
  <si>
    <t>5. Вексель учтён за два года до погашения по сложной учётной ставке 5% годовых. Какую простую учётную ставку d, можно поставить в договоре, чтобы не изменился конечный результат операции? (Ответ: 4,88%)</t>
  </si>
  <si>
    <t>d2</t>
  </si>
  <si>
    <t>(1-5%)^2</t>
  </si>
  <si>
    <t>(1-n*d1)=(1-d2)^n</t>
  </si>
  <si>
    <t>(1-2*d1)=(1-5%)^2</t>
  </si>
  <si>
    <t>d1</t>
  </si>
  <si>
    <t>6. Студент имеет 100 долл. и решает: сберечь их или потратить. Если он положит деньги в банк, то через год получит 112 долл. Инфляция составит 14% в год. Определите: а) номинальную процентную ставку; б) реальную процентную ставку; в) что вы посоветовали бы студенту; г) как повлияло бы на ваш совет снижение темпа инфляции до 10% при неизменной номинальной ставке процента. (Ответ: a) i = 12%, б) ia = -1,75% в) потратить деньги на текущее потребление г) сберечь деньги.)</t>
  </si>
  <si>
    <t>s1</t>
  </si>
  <si>
    <t>s+D</t>
  </si>
  <si>
    <t>a</t>
  </si>
  <si>
    <t>s/p=1+a</t>
  </si>
  <si>
    <t>p=s/(1+a)</t>
  </si>
  <si>
    <t>ia</t>
  </si>
  <si>
    <t>ia1</t>
  </si>
  <si>
    <t>это при 10%</t>
  </si>
  <si>
    <t>Основные характеристики потоков платежей</t>
  </si>
  <si>
    <t>1. Приведите финансовый поток 𝐶𝐹 = {(250; 0), (300; 1), (400; 2), (200; 3)} к моменту времени 𝑡 = 1 при ставке 7%. (Ответ: 1116,02)</t>
  </si>
  <si>
    <t>tk</t>
  </si>
  <si>
    <t>Pk</t>
  </si>
  <si>
    <t>1/(1+i)^(tk-t)</t>
  </si>
  <si>
    <t>S(1)=</t>
  </si>
  <si>
    <t xml:space="preserve">2. Даны два потока: c одинаковой годовой процентной ставкой 𝑖 . Какой из этих потоков является предпочтительнее и почему? (Ответ: первый финансовый поток
предпочтительнее)
𝐶𝐹1 = {(320; 1), (150; 2), (210; 3)} и
𝐶𝐹2 = {(200; 1), (270; 2), (205; 3)}
</t>
  </si>
  <si>
    <t>tk1</t>
  </si>
  <si>
    <t>Pk1</t>
  </si>
  <si>
    <t>tk2</t>
  </si>
  <si>
    <t>Pk2</t>
  </si>
  <si>
    <t>НУ СКОРЕЕ ВСЕГО ТАКОГО НЕ БУДЕТ</t>
  </si>
  <si>
    <t>3. При годовой ставке сложного процента 𝑟 = 11% найдите современную и наращенную величины потока платежей 𝐶𝐹 =  {(−1500; 1), (6000; 2), (−23275; 3), (710452; 4)} Ответ округлите до ближайшего целого числа. (Ответ: 454 496,64; 689 957,9 руб.)</t>
  </si>
  <si>
    <t>r =</t>
  </si>
  <si>
    <t>t =</t>
  </si>
  <si>
    <t>pk</t>
  </si>
  <si>
    <t>(1+r)^(1-0)</t>
  </si>
  <si>
    <t>S(0) =</t>
  </si>
  <si>
    <t>(1+r)^(4-1)</t>
  </si>
  <si>
    <t>S(4) =</t>
  </si>
  <si>
    <t>4.Найдите внутреннюю норму доходности 𝐼𝑅𝑅 потока платежей 𝐶𝐹 = {(−2500; 0), (1400; 1), (4000; 2)}. (Ответ: 57,55%)</t>
  </si>
  <si>
    <t>40x^2+14x-25=0</t>
  </si>
  <si>
    <t>1/(1+i)=x</t>
  </si>
  <si>
    <t>1/(1+i)</t>
  </si>
  <si>
    <t>x1</t>
  </si>
  <si>
    <t>i=1/x-1</t>
  </si>
  <si>
    <t>5. Четырехлетний кредит в 1 млн руб., взятый под 10% годовых, погашается по следующей схеме: 500 тыс. руб. возвращается в конце первого года, 300 тыс. руб. – в конце второго года, 250 тыс. руб. – в конце третьего года, а остаток возвращается в конце четвертого года. Найдите величину остатка. (Ответ: 160 600 руб.)</t>
  </si>
  <si>
    <t>NPV=S(0)=-1+0,5/1,1+0,3/1,1^2+0,25/1,1^3+x/1,1^4=0</t>
  </si>
  <si>
    <t>NPV = -0,10969 + x/(1,1)^4 = 0</t>
  </si>
  <si>
    <t>x = (1,1)^4 * 0,10969)</t>
  </si>
  <si>
    <t>6.        Найти средний срок платежа 𝐶𝐹 = {(0; 150), (1; 250), (2; 350), (3; 150)}. (Ответ: 1,556)</t>
  </si>
  <si>
    <t>задача 6</t>
  </si>
  <si>
    <t>Числитель</t>
  </si>
  <si>
    <t>Знаменатель</t>
  </si>
  <si>
    <t>Для потока платежей 𝐶𝐹 = {(1; 200), (2; 570), (3; 420)} вычислите дюрацию потока платежей при сложной процентной ставке 8%. (Ответ: ≈ 2,15)</t>
  </si>
  <si>
    <t>задача 7</t>
  </si>
  <si>
    <t>(1+i)^(-tk)</t>
  </si>
  <si>
    <t>wk</t>
  </si>
  <si>
    <t>Обыкновенная годовая рента (аннуитет)</t>
  </si>
  <si>
    <t>8. Формируется фонд на основе ежегодных отчислений в сумме 7000 у.е. с начислением на них сложных процентов по ставке 14% годовых. Определите величину фонда через 12 лет. (Ответ: 190 895,24 y.e.)</t>
  </si>
  <si>
    <t>I =</t>
  </si>
  <si>
    <t>s =</t>
  </si>
  <si>
    <t>9. Определите размер вклада, который обеспечивает ежегодное (в конце года) получение денежной суммы в размере 1650 у.е. в течение 8 лет по годовой ставке 12%.(Ответ: 8196,606 y.e.)</t>
  </si>
  <si>
    <t>R=</t>
  </si>
  <si>
    <t>A=</t>
  </si>
  <si>
    <t>10. Резервный фонд создается в течение 18 лет. На поступающие в него средства начисляются сложные проценты по ставке 4,5% годовых. В течение первых 6 лет в конце каждого года в фонд вносили по 15 000 у.е., в течение 4 последующих лет - по 18 000 у.е. в конце года, а в последующие 8 лет – по 22 000 у.е. в конце года. Чему будет равна сумма фонда через 18 лет? Ответ приведите с точностью до 0,01. (Ответ: 486738,41 y.e.)</t>
  </si>
  <si>
    <t>R1=</t>
  </si>
  <si>
    <t>R2=</t>
  </si>
  <si>
    <t>R3=</t>
  </si>
  <si>
    <t>s(n1;i)=((1+i)^n1-1)/i</t>
  </si>
  <si>
    <t>S(6)=R1*s(6;i)=</t>
  </si>
  <si>
    <t>S(15000)=S(6)*(1+i)^(n-n1-n2)</t>
  </si>
  <si>
    <t>s(n2;i)=</t>
  </si>
  <si>
    <t>S(4)</t>
  </si>
  <si>
    <t>S(18000)=</t>
  </si>
  <si>
    <t>s(n3;i)=</t>
  </si>
  <si>
    <t>S(8)</t>
  </si>
  <si>
    <t>S(22000)=</t>
  </si>
  <si>
    <t>11. Определите современную и наращенную величины девятилетней ренты постнумерандо с ежегодным платежом 15 тыс. руб., если годовая процентная ставка 𝑝 = 11% . Ответы округлите до ближайшего целого числа. (Ответ: 83055,71 руб.; 212459,58 руб.)</t>
  </si>
  <si>
    <t>p=</t>
  </si>
  <si>
    <t>s=</t>
  </si>
  <si>
    <t>12. Найдите длительность ренты постнумерандо с современной величиной 𝐴 = 48456 руб. и ежегодным платежом 𝑅 = 12 500 руб., если годовая процентная ставка 𝑝 = 14% . Ответ округлите до ближайшего целого числа. (Ответ: приблизительно 6 лет)</t>
  </si>
  <si>
    <t>A =</t>
  </si>
  <si>
    <t xml:space="preserve">R = </t>
  </si>
  <si>
    <t xml:space="preserve">p = </t>
  </si>
  <si>
    <t>13. Сотрудник компании получил кредит на трехлетнее обучение в размере 𝐾 = 700 тыс. руб. под 𝑟 =5% годовых. После обучения он обязуется выплачивать 10% от годовой зарплаты 1 млн 400 тыс. руб. в конце года. Через сколько лет после окончания обучения он выплатит кредит? (Ответ: 7 лет)</t>
  </si>
  <si>
    <t>K =</t>
  </si>
  <si>
    <t>n1 =</t>
  </si>
  <si>
    <t>Год_зарплата =</t>
  </si>
  <si>
    <t>14. Сколько лет должна выплачиваться рента с годовым платежом 5000 руб., чтобы ее текущая (наращенная) стоимость превзошла величину 75 000 руб. при процентной ставке 9% годовых? (Ответ: наименьшее число лет 10)</t>
  </si>
  <si>
    <t>15. Какую сумму нужно положить в банк женщине 55 лет, чтобы в течение 18 лет в конце каждого года снимать по 3000 у.е., если на остаток вклада меньше 10 000 у.е. начисляется 3% годовых, а на остаток вклада не менее 10 000 у.е. – 4% годовых? (Ответ: 38067,04 y.e. )</t>
  </si>
  <si>
    <t>16. Вам досталось по наследству 50 000 руб., и вы хотите иметь стабильный доход в течение 15 лет. Некоторая финансовая компания продает такие аннуитеты из расчета 4% годовых. Какова будет сумма вашего ежегодного дохода, если вы воспользуетесь этой услугой? (Ответ: 4 497,055 руб.)</t>
  </si>
  <si>
    <t>17. Найдите размер равных взносов в конце года для следующих двух ситуаций: а) создание к концу пятилетия фонда, равного 1 млн руб.; (Ответ: 179456,45) б) погашение к концу пятилетия текущей задолженности, равной 1 млн руб. В каждой из этих двух операций предусматривается начисление на взносы в размере 8% годовых. (Ответ: 250456,45 руб.)</t>
  </si>
  <si>
    <t>18. Определите доходность инвестиций, выраженную в виде годовой ставки сложного процента, если ожидаемый доход на 60 тыс. руб. вложений составит 14 тыс. руб. в течение 12 лет. (Ответ: 20,36%)</t>
  </si>
  <si>
    <t>1. Приведите финансовый поток 𝐶𝐹 = {(600; 0), (250; 1), (350; 2), (600; 3)} к моменту времени 𝑡 = 3 при ставке 9%. (Ответ: 2055,54)</t>
  </si>
  <si>
    <t>2. Пусть процентная ставка потока платежей 𝐶𝐹 = {(−2500; 0), (2000; 2), (3000; 4)} составляет 10%. Найдите приведенную стоимость и наращенную величину этого потока. (Ответ: 1201,93)</t>
  </si>
  <si>
    <t>S(0)=</t>
  </si>
  <si>
    <t>3. Вычислите средний срок финансового потока</t>
  </si>
  <si>
    <t>𝐶𝐹 = {(100; 0), (200; 1), (400; 2), (100; 3)}</t>
  </si>
  <si>
    <t>(Ответ: 1,625)</t>
  </si>
  <si>
    <t>4. Найдите внутреннюю норму доходности 𝐼𝑅𝑅 потока платежей</t>
  </si>
  <si>
    <t>𝐶𝐹 = {(−7200; 0), (1000; 1), (10000; 2)}</t>
  </si>
  <si>
    <t>(Ответ: 25%)</t>
  </si>
  <si>
    <t>50х^2+5x-36=0</t>
  </si>
  <si>
    <t>5. На ближайшие 3 года сумма обязательств Арсения перед Дмитрием составляет 400 млн у.е., которые ему разрешается погасить не более чем за 3 раза. Согласно договоренности, платежи могут производиться только в конце года, и последняя выплата втрое превышает первую. Годовая ставка доходности от взятых взаймы денег равна 10%. Арсений пытается найти наиболее выгодный для себя вариант предстоящих ему перечислений. Найти эту оптимальную последовательность выплат. (Ответ: {100;0;300})</t>
  </si>
  <si>
    <t>млн</t>
  </si>
  <si>
    <t>p=p1+p2+p3=&gt;p2=3p1 or p3=3p1</t>
  </si>
  <si>
    <t>Поток платежей CF={P1;t1,P2;t2,(P3;t3)}</t>
  </si>
  <si>
    <t>Будущие накопленные значения потока платежей, которые Арсений выплатит Дмитрию:</t>
  </si>
  <si>
    <t>FV=P1(1+i)t3-t1+P2(1+i)t3-t2+P3</t>
  </si>
  <si>
    <t>Рассмотрим финансовый поток: CF={50;1,200;2,150;3}</t>
  </si>
  <si>
    <t xml:space="preserve">FV </t>
  </si>
  <si>
    <t>Рассмотрим финансовый поток: CF={100;1,300;2,0;3}</t>
  </si>
  <si>
    <t>Для Арсения данный вариант является не выгодным</t>
  </si>
  <si>
    <t>Рассмотрим финансовый поток: CF={100;1,0;2,(300;3)}</t>
  </si>
  <si>
    <t>6. На сколько процентов изменятся современная и наращенная величины пятилетней годовой ренты постнумерандо при увеличении годовой процентной ставки с 10% до 11%? (Ответ: увеличилась на 2,01%)</t>
  </si>
  <si>
    <t>r1</t>
  </si>
  <si>
    <t>r2</t>
  </si>
  <si>
    <t>pv2 =А*((1+r)^n -1)/r НАР</t>
  </si>
  <si>
    <t>7. На сколько процентов изменятся современная и наращенная величины пятилетней годовой ренты постнумерандо с процентной ставкой 10% годовых при уменьшении срока ренты с пяти лет до четырех? (Ответ: уменьшится на 23,98%)</t>
  </si>
  <si>
    <t>pv2 =((1+r)^n -1)/r НАР</t>
  </si>
  <si>
    <t>PV1=(1-(1+r)^(-n)/r) СОВ</t>
  </si>
  <si>
    <t>r</t>
  </si>
  <si>
    <t>n1</t>
  </si>
  <si>
    <t>n2</t>
  </si>
  <si>
    <t>8. Какую сумму должен отец вложить сегодня на накопительный вклад при ставке 8% годовых, чтобы обеспечить сыну ежегодные выплаты в начале каждого учебного года в размере 1000 у.е. в течение четырех лет обучения в колледже? (Ответ: 𝐴2 = 1000 ∙ a(4; 0,08) ∙ 1,08 = 3312,13)</t>
  </si>
  <si>
    <t>9. Участок сдан в аренду на 10 лет. Арендная плата будет осуществляться ежегодно по схеме постнумерандо (выплаты в конце периода) на следующих условиях: первые 6 лет по - 10 млн руб., а в оставшиеся 4 года - по 11 млн руб. Оцените приведенную стоимость этого договора, если процентная ставка, используемая аналитиком, равна 15%.(Ответ: Сумма двух аннуитетов: с платежом 10 в течение 10-ти лет и начиная с 7-го года по 11 в течение 4- х лет; 𝐴 = 10 ∙ a(6; 0,15) + 11 ∙ a(4; 0,15) ∙ (1 + 0,15)−6 ≈ 51421972,19)</t>
  </si>
  <si>
    <t>A1-6=</t>
  </si>
  <si>
    <t>A7-10=</t>
  </si>
  <si>
    <t>10. Предполагается, что станок будет служить 3 года, принося ежегодный доход в 2000 долл. Его остаточная стоимость к концу 3-го года составит 6000 долл. В качестве альтернативы потенциальный покупатель станка рассматривает вложение денег на депозит под ставку 8% годовых. Определите верхний предел цены для покупателя станка, считая, что в конце срока эксплуатации станок будет продан по его остаточной стоимости. (Ответ: Верхний предел цены Р должен совпадать с ценой станка, уравнивающей выгодность рассматриваемых альтернатив, т.е. являться современным эквивалентом потока доходов 𝐶𝐹 = {(2000; 1), (2000; 2), (2000 + 6000; 3)} при ставке 8%. Отсюда получим, что 𝑃 = 2000 ∙ 𝑎(3; 0,08) + 6000 ∙ 1,08−3 ≈ 9917,19)</t>
  </si>
  <si>
    <t>станок=</t>
  </si>
  <si>
    <t>11. В ходе судебного заседания выяснилось, что г-н Плюшкин недоплачивал налогов 100 руб. ежемесячно. Налоговая инспекция собирается взыскать налоги, недоплаченные за последние 2 года, вместе с процентами (5% ежемесячно). Какую сумму должен заплатить г-н Плюшкин? (Ответ: 𝑆 = 100 ∙ (1,05^24−1)/0.6 ≈ 4450,2)</t>
  </si>
  <si>
    <t>i(мес)=</t>
  </si>
  <si>
    <t>12. Определите годовую ставку сложных процентов, если наращенная величина месячной ренты постнумерандо увеличится в 1,0234 раза при начислении платежей в начале периода. (Ответ: )</t>
  </si>
  <si>
    <t>S(пре)/S(пост)=1,0234</t>
  </si>
  <si>
    <t>i-?</t>
  </si>
  <si>
    <t>S(пост)</t>
  </si>
  <si>
    <t>S(пре)=S(пост)* (1+i/m)^(m/p)</t>
  </si>
  <si>
    <t>1+i/m=1,0234</t>
  </si>
  <si>
    <t>i=0,0234*m</t>
  </si>
  <si>
    <t>13. Заем величиной 12 000, взятый на 6 лет под 9,0% годовых, погашается ежегодными равными выплатами. Найдите размер выплат. (Ответ: 2657,04)</t>
  </si>
  <si>
    <t>14. Студент получил кредит на пятилетнее обучение в вузе в размере 10 000 долл. под 2% годовых. Он обязуется выплачивать 16% от годовой зарплаты 10 000 долл. Через сколько лет после окончания вуза он выплатит кредит? (Ответ: приблизительно 7,5 лет)</t>
  </si>
  <si>
    <t>10000*(1+2%)^5=1600*(1-(1+2%)^-n)/2%*</t>
  </si>
  <si>
    <t>=(1,02)^-n</t>
  </si>
  <si>
    <t>(1,02)^n=</t>
  </si>
  <si>
    <t>15. Лена следует тенденциям моды, поэтому покупает себе каждый сезон новую сумку. Ее мама любит классику и предпочитает дорогие кожаные сумки, которые носит в среднем в течение 4-х лет. На новый год папа дал жене и дочери по 200 долл. на обновки. Определите: а) на сколько сезонов хватит Лене этих денег, если она будет каждый год приобретать по сумке стоимостью 50 долл., а остаток хранить на банковском счете с годовой процентной ставкой 12,6%; б) по какой максимальной цене может покупать сумки Лена, чтобы они с мамой  «износили» свои сумки в одно и то же время. (Ответ: a) 200 ∙ 1,126𝑛 = 50 ∙ (1,126𝑛 − 1)/0,126;n=[5,908596]=5; б) 200 ∙ 1,1264 = 𝑅 ∙ (1,1264 − 1)/0,126; R≈ 66,68.)</t>
  </si>
  <si>
    <t>n-?</t>
  </si>
  <si>
    <t>200=50*(1-(1+12,6%)^-n)/12,6%</t>
  </si>
  <si>
    <t>=1,126^n</t>
  </si>
  <si>
    <t>1. Найдите внутреннюю норму доходности 𝐼𝑅𝑅 потока платежей</t>
  </si>
  <si>
    <t>𝐶𝐹 = {(−3500; 0), (3000; 1), (3500; 2)}</t>
  </si>
  <si>
    <t>(Ответ: 51,65%)</t>
  </si>
  <si>
    <t>35x^2+30x-35=0</t>
  </si>
  <si>
    <t>7x^2+6x-7=0</t>
  </si>
  <si>
    <t>d=36+4*7*7</t>
  </si>
  <si>
    <t>x2</t>
  </si>
  <si>
    <t>2. Для потока платежей CF = {(1; 200), (2; 300), (3; 100)} вычислите дюрацию потока платежей при сложной процентной ставке 12%. (Ответ:</t>
  </si>
  <si>
    <t>≈ 1,15)</t>
  </si>
  <si>
    <t>3. Ежегодно в начале года в банк делается очередной взнос в размере 10 млн руб.; банк платит 20% годовых. Какая сумма будет на счете по истечении 3-х лет? (Ответ: схема пренумерандо, 43,68 млн. руб.)</t>
  </si>
  <si>
    <t>4. На сколько процентов изменятся современная и наращенная величины пятилетней годовой ренты постнумерандо при уменьшении годовой процентной ставки с 10% до 9%?(Ответ: соответственно увеличится на 2,61% и уменьшится на 1,97%)</t>
  </si>
  <si>
    <t>5. На сколько процентов изменятся современная и наращенная величины пятилетней годовой ренты постнумерандо с процентной ставкой 10% годовых при увеличении срока ренты с пяти лет до шести? (Ответ: Увеличатся соответственно на 14,89% и на 26,38%.)</t>
  </si>
  <si>
    <t>6. Во сколько раз увеличится приведенная величина ренты постнумерандо, если платежи будут поступать в начале периода при годовой процентной ставке 20%?(Ответ: увеличится в 1,2 раза.)</t>
  </si>
  <si>
    <t>1. Семья планирует через 7 лет купить квартиру за 1 млн 500 тыс. руб. и с этой целью ежемесячно на банковский депозит вносится определенная сумма. Найдите ее, если годовая банковская процентная ставка составляет 13% с ежемесячным начислением процентов. (Ответ: 132 455,34 руб.)</t>
  </si>
  <si>
    <t>p=m=</t>
  </si>
  <si>
    <t>S=s(mn;j/m)*R</t>
  </si>
  <si>
    <t>s(mn;j/m)=</t>
  </si>
  <si>
    <t>R=S/s=</t>
  </si>
  <si>
    <t>2. Кредит, взятый под 22% годовых, начисляемых ежеквартально, погашается ежеквартальными выплатами в размере 10 тыс. руб. в конце каждого квартала в течение трёх лет. В результате снижения процентной ставки до 11% годовых ежеквартальные выплаты были пересчитаны. Найдите новую сумму ежеквартального платежа. (Ответ: 8529,64 руб.)</t>
  </si>
  <si>
    <t>j1=</t>
  </si>
  <si>
    <t>m=p=</t>
  </si>
  <si>
    <t>A=R*a</t>
  </si>
  <si>
    <t>R1*((1-(1+j1/m)^(-mn))/j1=(R2/4)*(1-(1+j2/m)^(-mn))/j2</t>
  </si>
  <si>
    <t>R2/4=[R1*((1-(1+j1/m)^(-mn))/j1]/[(1-(1+j2/m)^(-mn))/j2]</t>
  </si>
  <si>
    <t>знам=(1-(1+j2/m)^(-mn))/j2=</t>
  </si>
  <si>
    <t>числ=((1-(1+j1/m)^(-mn))/j1=</t>
  </si>
  <si>
    <t>R2/4=</t>
  </si>
  <si>
    <t>3. Во сколько раз увеличится приведенная величина квартальной ренты постнумерандо, если платежи будут поступать в начале периода из расчета 25% годовых? (Ответ: в 1,057 раз больше)</t>
  </si>
  <si>
    <t>(1+i)^(m/p)</t>
  </si>
  <si>
    <t>4. Найдите годовую ставку сложных процентов, если наращенная величина ежедневной ренты постнумерандо с временной базой 𝑌 =360 дней увеличится в 1,000687 раза при начислении платежей в начале периода. (Ответ: 28,05%)</t>
  </si>
  <si>
    <t>(1+i)^(1/360)</t>
  </si>
  <si>
    <t xml:space="preserve">5. На банковский счет ежегодно зачисляется сумма 12 тыс. руб. под 12% годовых. Найдите сумму на счете через семь лет для следующих схем платежей и начислений процентов: </t>
  </si>
  <si>
    <t>а) поступление средств в конце года, годовое начисление процентов; (Ответ: 121 068 руб.)</t>
  </si>
  <si>
    <t>б) поступление средств в конце года, полугодовое начисление процентов; (Ответ: 122417,86 руб. )</t>
  </si>
  <si>
    <t>в) поступление средств в конце каждого полугодия равными суммами, годовое начисление процентов; (Ответ: 124597,31 руб.)</t>
  </si>
  <si>
    <t>г) поступление средств в конце каждого квартала равными суммами, полугодовое начисление процентов; (Ответ: 127954,2 руб.)</t>
  </si>
  <si>
    <t>a) p=m=1</t>
  </si>
  <si>
    <t>д) поступление средств в конце каждого квартала равными суммами и ежеквартальное начисление процентов. (Ответ: 128792,77 руб.)</t>
  </si>
  <si>
    <t>S=s*R</t>
  </si>
  <si>
    <t>s</t>
  </si>
  <si>
    <t xml:space="preserve">б) </t>
  </si>
  <si>
    <t xml:space="preserve">s </t>
  </si>
  <si>
    <t>S=s*R/2</t>
  </si>
  <si>
    <t>г)</t>
  </si>
  <si>
    <t>S=s*R/4</t>
  </si>
  <si>
    <t>д)</t>
  </si>
  <si>
    <t>m=p=4</t>
  </si>
  <si>
    <t>6. За сколько лет можно накопить 200 000 у.е., если в конце каждого квартала на счет вносится 10 000 у.е. и на данные средства начисляются проценты в конце каждого полугодия по ставке 8% годовых? (Ответ: 4,25 года)</t>
  </si>
  <si>
    <t>R/4</t>
  </si>
  <si>
    <t>??</t>
  </si>
  <si>
    <t>7. Фонд создается в течение 10-ти лет, взносы поступают в конце каждого квартала равными суммами. На поступившие средства в конце года начисляются 7% годовых по схеме сложных процентов. На сколько процентов возрастет сумма в конце 10-го года при переходе к непрерывной капитализации процентов? (Ответ: 1,34%)</t>
  </si>
  <si>
    <t>S1/R</t>
  </si>
  <si>
    <t>S2/R</t>
  </si>
  <si>
    <t>s2-s1/s1*100%</t>
  </si>
  <si>
    <t>Перепроверить!!!</t>
  </si>
  <si>
    <t>8. Вычислите приведенную и наращенную величины 9-летней 16%-ной непрерывной ренты постнумерандо с 12-кратным начислением процентов и рентным платежом 𝑅 = 170 у.е. (Ответ: 813,744 y.e.; 3402 y.e.)</t>
  </si>
  <si>
    <t>9. Найдите приведенную и наращенную величины непрерывной 6-летней ренты с непрерывным начислением процентов и рентным платежом 500 у.е. при ставке 14% годовых. (Ответ: 2029,6 y.e.; 4701,3 y.e.)</t>
  </si>
  <si>
    <t xml:space="preserve">I = </t>
  </si>
  <si>
    <t xml:space="preserve">A1 = </t>
  </si>
  <si>
    <t>10. Семья планирует через 7 лет купить машину за 4 500 000 руб. С этой целью ежемесячно на банковский депозит вносится определенная сумма в руб. Найти этот ежемесячный платеж, если годовая банковская ставка составляет 12% с ежемесячным начислением процентов. (Ответ: 34437,3 руб.)</t>
  </si>
  <si>
    <t>НЕ ДОДЕЛАНО</t>
  </si>
  <si>
    <t>R/12=</t>
  </si>
  <si>
    <t>11. Фонд создается в течение 8 лет, взносы в размере 15000 руб. поступают в конце каждого полугодия. На поступившие средства в конце года начисляется 10% годовых. Чему равна накопленная к концу седьмого года сумма (в руб.). (Ответ: 351449,23 руб.)</t>
  </si>
  <si>
    <t>12. Фонд создается в течение 8 лет, средства поступают в фонд в конце каждого года равными суммами. На собранные средства в конце года начисляется 10% годовых. На сколько процентов возрастет наращенная сумма фонда при переходе к взносам в конце каждого квартала? (Ответ: 3,68%)</t>
  </si>
  <si>
    <t>13. Фонд создается в течение 9 лет, средства поступают в фонд в конце каждого года равными суммами. На собранные средства в конце года начисляется 12% годовых. На сколько процентов возрастет наращенная сумма фонда при переходе к ежемесячному начислению процентов? (Ответ: 2,94%)</t>
  </si>
  <si>
    <t>14. Фонд создается в течение 10 лет, годовые взносы в размере 121000 руб. поступают в конце каждого полугодия равными суммами. На поступившие средства в конце года начисляется 17% годовых. Чему равна накопленная к концу седьмого года сумма при непрерывной капитализации процентов (в руб.). (Ответ: 3050977,98 руб.)</t>
  </si>
  <si>
    <t>Отложенная рента и вечная рента.</t>
  </si>
  <si>
    <t>15. Начало выплат годовой ренты со сроком 9 лет, процентной ставкой 10%, рентным платежом 12 000 руб. отложено на 3,5 года. Найдите современную величину отсроченной ренты. (Ответ: 49505,76 руб.)</t>
  </si>
  <si>
    <t>16. Найдите выкупную цену бессрочной аренды, если ежегодная арендная плата составляет 120 тыс. руб., а годовая процентная ставка 𝑟 = 14,5%. Ответ округлите до ближайшего целого числа. (Ответ: 827 586 руб.)</t>
  </si>
  <si>
    <t>17. Фермеру предлагают продать находящийся в его владении участок земли, на котором он выращивает в среднем 600 т картофеля в год. Цена одного килограмма картофеля из года в год одна и та же - 0,3 долл. Банковский процент устойчиво держится на уровне 15% годовых. Ниже какой цены фермеру не имеет смысла продавать землю, если затраты на выращивание, сбор и реализацию картофеля оцениваются в 60 000 долл. в год? (Ответ: 800000 долл.)</t>
  </si>
  <si>
    <t>Эквивалентность и замена рент</t>
  </si>
  <si>
    <t>18. Вы прочитали рекламное объявление: ≪Платите нам 40 тыс. руб. в год в течение 10-ти лет, а потом мы будем платить вам по 40 тыс. руб. в год бесконечно≫. Если это стоящая сделка, то какова процентная ставка? (Ответ: 7,2%)</t>
  </si>
  <si>
    <t>19. Найдите современную величину и ежегодный платеж 7-летней ренты-суммы для двух годовых рент: одна длительностью 3 года с годовым платежом 12 тыс. руб., а другая – 5 лет и 24 тыс. руб. Годовая ставка сложных процентов 𝑖 = 12%.(Ответ: 115 337 руб.; 25272 руб.)</t>
  </si>
  <si>
    <t>20. Консолидируйте три ренты постнумерандо с параметрами 𝑅1 = 1000, 𝑛1 = 3, 𝑖1 = 10%, 𝑅2 = 1500, 𝑛2 = 5, 𝑖2 = 10%, 𝑅3 = 2000, 𝑛3 = 7, i3 = 10%, 4-летней рентой постнумерандо с годовой ставкой i = 15%.(Ответ: 6273,21)</t>
  </si>
  <si>
    <t>21. Замените обычную (годовую) ренту с параметрами 𝑅1 = 200, 𝑛1 = 5, 𝑖 = 10%, 𝑝 −срочной (квартальной) рентой с параметрами</t>
  </si>
  <si>
    <t>R2 = 100, i= 10%. (Ответ: длительность квартальной ренты 13,78)</t>
  </si>
  <si>
    <t>22. Замените немедленную p-срочную ренту с параметрами 𝑅 = 1300, 𝑛 = 6, 𝑝 = 4 отсроченной рентой с параметрами 𝑅 = 1500,</t>
  </si>
  <si>
    <t>n= 5,  и неизвестной отсрочкой t при годовой процентной ставке i = 8%.(Ответ: 0,423)</t>
  </si>
  <si>
    <t>1. Господин Копейкин проработал в фирме «Карманов и К 0» 10 лет. При выходе на пенсию руководство фирмы предложило ему вознаграждение в размере 15 000 долл., на что господин Копейкин высказал пожелание заменить ему это разовое поощрение ежемесячными выплатами по 150 долл. в течение 10-ти лет. Какой вариант выгоднее для господина Копейкина, а какой - для фирмы при следующих возможностях начисления процентов на рентные платежи: для Копейкина - пенсионный вклад с начислением процентов раз в году по ставке 6%, для фирмы – ежеквартально под ставку 10% годовых? (Ответ: Для пенсионера поток ежемесячных выплат по 150 долл. имеет современную величину 13 608 долл., а для фирмы - 11 390 долл. Отсюда понятно, что предлагаемый г-ном Копейкиным вариант выгоден для фирмы и невыгоден для него.)</t>
  </si>
  <si>
    <t>При равных выплатах фирма потратит в современном эквиваленте 11389,87 вместо 15000, а копейкин получит в современном эквиваленте 13 609 вместо 15 000. Следовательно для фирмы выгодно, для копейкина нет</t>
  </si>
  <si>
    <t>2. Каждое полугодие страховая компания принимает взнос 250 тыс. руб. в течение 3-х лет. Чему равна сумма, полученная страховой компанией по истечении срока договора, если обслуживающий компанию банк начисляет проценты из расчета 15% годовых: а) по полугодиям; б) ежеквартально? (Ответ: а) S ≈ 1811005 тыс. руб. б) S ≈1817437,49 тыс.руб.)</t>
  </si>
  <si>
    <t>3. Инвестор ежегодно вносит в банк на пополняемый счет 30 тыс. руб. Банк платит 10% годовых по ставке сложного процента. Какова будет сумма вклада через 5 лет, если инвестор вносит очередной вклад: а) в конце года; б) в начале года; (Ответ: а) 183,153 тыс. руб.; б) 201,468 тыс. руб.)</t>
  </si>
  <si>
    <t>S(пост)=</t>
  </si>
  <si>
    <t>S(пре)=</t>
  </si>
  <si>
    <t>4. Фонд создается в течение 12 лет с ежегодными взносами 120000 у.е. в конце года. На поступившие средства начисляется 4% годовых, если сумма не превышает 250 000 у.е. и 4,5% годовых, если сумма превышает 250 000 у.е. Чему будет равна величина фонда через 12 лет? (Ответ: S ≈ 1852933,06 у.е.)</t>
  </si>
  <si>
    <t>S(2)=</t>
  </si>
  <si>
    <t>S(12)=</t>
  </si>
  <si>
    <t>5. Пятилетний кредит в 600 тыс. руб., взятый под 10% годовых, погашается выплатами в конце каждого месяца. Найдите сумму, которую нужно платить каждый месяц по контракту. (Ответ: R ≈ 12621,35 руб.)</t>
  </si>
  <si>
    <t>R*p=</t>
  </si>
  <si>
    <t>6. Определите доходность инвестиций, выраженную в виде годовой ставки сложного процента, если первоначальное вложение составляет 3 млн руб., а ежегодные доходы (в конце каждого года) равны 300 тыс. руб. Период вложения n = 13 лет. (Ответ: i ≈ 0,07 (7%))</t>
  </si>
  <si>
    <t>Pi=</t>
  </si>
  <si>
    <t>S=P*(1+i)^n</t>
  </si>
  <si>
    <t>7. Приведенная величина 12-летней ренты пренумерандо с непрерывным начислением процентов, процентной ставкой 5% равна 27 000 руб. Найдите наращенную сумму. (Ответ: 49197,21 руб.)</t>
  </si>
  <si>
    <t>8. Наращенная сумма 5-летней ренты постнумерандо с ежеквартальным начислением процентов, процентной ставкой 4,25% равна 50 000 руб. Найдите ее приведенную величину. (Ответ: 40473,36 руб.)</t>
  </si>
  <si>
    <t>S/A=</t>
  </si>
  <si>
    <t>9. Для создания премиального фонда один раз в год производятся взносы в размере 15 000 руб. На вносимые средства начисляются проценты по ставке 12% годовых. Определите размер фонда через n = 7 лет в следующих ситуациях: а) поступление средств в конце года, ежеквартальное начисление процентов; б) поступление средств в конце квартала, начисление процентов 6 раз в году; в)ежемесячное поступление средств и ежеквартальное начисление процентов. (Ответ: а) 153924,77 руб.; б) 161351,47 руб.; в) 162590,29 руб.)</t>
  </si>
  <si>
    <t>10. Начало выплат квартальной ренты со сроком 7 лет, процентной ставкой 8,5% годовых, рентным платежом 24 000 руб. отложено на 3 года. Найдите современную величину отсроченной ренты. (99189,32)</t>
  </si>
  <si>
    <t>11. В течение 7-ми лет предполагается погасить долг в размере 400 000 у.е. равными выплатами в конце каждого года. На остаток долга начисляется 6% годовых. В каком случае годовые расходы на обслуживание долга возрастут больше и на сколько, если: а) будет предоставлена годовая отсрочка, проценты за этот период присоединяются к сумме долга; б) ставка годовых процентов
возрастет на 0,25%?(Ответ: а) R = 86225,75 у.е. б) R = 72292 у.е. Годовые расходы в первом случае вырастут на 13933,75 у.е. больше, чем во втором.)</t>
  </si>
  <si>
    <t>в1 больше на</t>
  </si>
  <si>
    <t>12. Замените годовую ренту с параметрами R1 = 2; n1 = 2; r = 20% на p-срочную (месячную) ренту с n2 = 4; r = 20%.(Ответ: R2 = 1,0842)</t>
  </si>
  <si>
    <t>13. Замените единовременный платеж 345 тыс. руб. в момент времени t = 2 pсрочной рентой постнумерандо с параметрами R1; n1 = 5; p = 6. Процентная ставка постоянна и равна 15%.(Ответ: R1 = 73360,95 руб.)</t>
  </si>
  <si>
    <t>14. По вине пенсионного фонда семье в течение 3-х лет не доплачивали 625 руб. ежемесячно. Какую сумму должен выплатить фонд вместе с процентами (10% годовых)? (Ответ: 25943,24 руб.)</t>
  </si>
  <si>
    <t>R/p=</t>
  </si>
  <si>
    <t>15. Какую сумму нужно положить в банк под 8% годовых женщине 42 лет, чтобы по достижению пенсионного возраста 55 лет в течение 25-ти лет в начале каждого месяца снимать по 15 000 руб., если проценты капитализируются: а) в конце года; б) в конце каждого полугодия; в) в конце каждого квартала; г) в конце каждого месяца? (Ответ: а) 790627,42 руб.; б)766734,66 руб.; в) 754636,77 руб.; г) 693898,07 руб.)</t>
  </si>
  <si>
    <t>S=A*(1+i/m)^n*m</t>
  </si>
  <si>
    <t>1. Для того чтобы обеспечить себе дополнительный пенсионный доход, 50- летний г-н хочет воспользоваться услугами накопительной пенсионной системы. Какую сумму денег он должен внести на индивидуальный лицевой счет пенсионного фонда, чтобы после выхода на пенсию иметь в течение</t>
  </si>
  <si>
    <t>всей оставшейся жизни прибавку за счет накопительной части пенсии суммой 24 тыс. руб. ежегодно? Ставка начисления - 12% годовых. (Ответ: 621169,64 руб.)</t>
  </si>
  <si>
    <t>2. Долг 100 тыс. у.е. должен быть погашен в течение 10-ти лет равными платежами в конце каждого года. На остаток долга начисляются 7% годовых. После 5-ти лет выплат должник решил гасить задолженность равными выплатами в конце каждого полугодия. Явившись в банк в конце 9-го года, должник решил погасить задолженность разовым платежом. Какую сумму он при этом заплатит? (Ответ: 13306,29 y.e.)</t>
  </si>
  <si>
    <t>3. В течение 12-ти лет предполагается погасить долг в размере 1 млн у.е. платежами постнумерандо по 100 тыс. у.е. ежегодно. Первые пять выплат были сделаны согласно достигнутой договоренности. Затем было решено на три года отложить погашение задолженности и возобновить погашение равными выплатами постнумерандо. Каковы должны быть погасительные платежи во втором периоде, чтобы выплатить задолженность в установленный срок. (Ответ: 182 869 y.e.)</t>
  </si>
  <si>
    <t>4. Найдите выкупную цену бессрочной аренды, если ежегодная арендная плата составляет 120 тыс. руб., а годовая процентная ставка 𝑟 = 12%. (Ответ: 1 млн. руб.)</t>
  </si>
  <si>
    <t>5. Фонд учреждает стипендию в размере 24 тыс. руб. в год. Какую сумму для этого нужно внести в банк под 12% годовых? Для защиты от инфляции</t>
  </si>
  <si>
    <t>предусмотрен постоянный годовой рост стипендии на 7%. Какую сумму в этом случае нужно положить в банк под 12% годовых? (Ответ: 480 000 руб.)</t>
  </si>
  <si>
    <t>6. Бессрочный аннуитет состоит из равных по величине платежей R, которые следуют с периодичностью в K лет. Сложные проценты по ставке I начисляются раз в году. Первая выплата производится в начале первого года. Найдите текущую стоимость (современную величину) аннуитета. (Ответ:</t>
  </si>
  <si>
    <t>A = R ∙ [1 − (1 + i)−k]−1 = R(1 + i)k ∙ [(1 + i)k − 1]−1.)</t>
  </si>
  <si>
    <t>7. За хорошую работу начальник предложил своей секретарше каждый год увеличивать ее заработную плату на 1000 долл. С сегодняшнего дня в течение ближайшего года, - сказал он ей, - вы будете получать заработную плату из расчета 6000 долл. в год; в следующем году ваша заработная плата составит 7000 долл.; в последующем - 8000 долл. и т.д.. Однако секретарша предложила свой вариант: начиная с этого дня, выплачивать ей из расчета 6000 долл. в год. При этом в конце 6-го месяца ее годовая заработная плата должна увеличиться на 250 долл. и продолжать возрастать на 250 долл. через каждые 6 месяцев. Начальник согласился, однако один из сотрудников решил подсчитать, мудро ли поступил его шеф, приняв предложение своей служащей. А как считаете вы? (Ответ: для начальника вариант секретарши экономичнее)</t>
  </si>
  <si>
    <t>8. Суммы в размере 10, 20 и 15 млн руб. должны быть выплачены через 50, 80 и 150 дней соответственно. Стороны согласились заменить их при использовании простой ставки одним платежом в размере 50 млн руб. Процентная ставка – 10%. Определите: а) срок консолидации платежа; б) как изменится этот срок, если размер объединяющего платежа задан в сумме 45 млн руб.? (Ответ: 502 дня; 97 дней)</t>
  </si>
  <si>
    <t>9. (пенсионная задача). Женщина 40 лет открывает пенсионный счет, на который в конце каждого года вносит определенную сумму. На него начисляется 𝑟1 = 10% годовых. По достижении пенсионного возраста (55 лет) она хочет получать 20 000 руб. в начале каждого месяца. Какую сумму в конце каждого года вносит женщина, если она доживет до средней продолжительности жизни 75 лет? (Ответ: 67741,65)</t>
  </si>
  <si>
    <t>10. Какую сумму нужно положить в банк под 12% годовых мужчине 37 лет, чтобы по достижении им пенсионного возраста 60 лет в течение 𝑛 = 15 лет в начале каждого месяца снимать по 10 000 руб., если проценты капитализируются:</t>
  </si>
  <si>
    <t>а) в конце года; (Ответ: 64159,28 руб.)</t>
  </si>
  <si>
    <t>б) в конце каждого полугодия; (Ответ: 58569,81 руб. )</t>
  </si>
  <si>
    <t>в) в конце каждого квартала; (Ответ: 55816,84 руб.)</t>
  </si>
  <si>
    <t>г) в конце каждого месяца? (Ответ: 53463,67 руб.)</t>
  </si>
  <si>
    <t>11. Задолженность в сумме 100 тыс. у.е. должна быть погашена за 9 лет равными выплатами в конце каждого месяца. На остаток долга начисляется 6% годовых. После четырех лет выплат клиент попросил в банке отсрочку на 3 года для погашения долга. За последние 2 года долг должен быть погашен равными поквартальными платежами. Чему равен размер поквартальных платежей, выплачиваемых в конце каждого квартала, если: а) в течение льготного периода</t>
  </si>
  <si>
    <t>процентные платежи не выплачиваются, а присоединяются к сумме долга; б) в течение трехлетнего льготного периода выплачиваются только процентные платежи в конце каждого года? (Ответ: 9839,29 y.e.; 8261,26 y.e.)</t>
  </si>
  <si>
    <t>12. Фонд создается в течение 10-ти лет. Взносы поступают в фонд в конце года равными суммами. На собранные средства в конце года начисляются 10% годовых. На сколько процентов возрастет наращенная сумма фонда при переходе: а) к взносам в конце каждого квартала; б) к ежемесячному начислению процентов? Ответ приведите с точностью до 0,01%.(Ответ: а) 3,68%; б) 2,29%.)</t>
  </si>
  <si>
    <t>13. Платежи, поступающие в конце каждого квартала на протяжении 2-х лет, образуют регулярный по времени поток, первый член которого равен 500 тыс. руб.; последующие платежи увеличиваются каждый раз на 25 тыс. руб. Начисление процентов производится раз в год по ставке 6%. Найдите наращенную  и  современную  стоимости  такой  ренты.  (Ответ:</t>
  </si>
  <si>
    <t>1. Доли ценных бумаг в портфеле равны x1 = 0,7; x2 = 0,2; x3 = 0,1; ожидаемые доходности равны mu1 = −5%; mu2 = 15%; mu3 = 25%, ковариационная матрица имеет вид</t>
  </si>
  <si>
    <t>(81 -13 -9)</t>
  </si>
  <si>
    <t>A = (−13 36 10 )</t>
  </si>
  <si>
    <t>(−9 10 49)</t>
  </si>
  <si>
    <t>Найти ожидаемую доходность и риск портфеля. (Ответ: mu = 2%; sigma2 = 37,12)</t>
  </si>
  <si>
    <t>x1=</t>
  </si>
  <si>
    <t>mu1=</t>
  </si>
  <si>
    <t>x2=</t>
  </si>
  <si>
    <t>mu2=</t>
  </si>
  <si>
    <t>x3=</t>
  </si>
  <si>
    <t>mu3=</t>
  </si>
  <si>
    <t>mu=</t>
  </si>
  <si>
    <t>sigma^2=</t>
  </si>
  <si>
    <t>sigma=</t>
  </si>
  <si>
    <t>2. Данные о распределении доходностей двух ценных бумаг A и B приведены в таблице. Найти ковариацию и коэффициент корреляции этих бумаг.</t>
  </si>
  <si>
    <t>A</t>
  </si>
  <si>
    <t>B</t>
  </si>
  <si>
    <t>𝑃 (вероятность)</t>
  </si>
  <si>
    <t>(Ответ: cov(X,Y)= −22,41%; p(X, Y) = −0,16)</t>
  </si>
  <si>
    <t>A-mu1</t>
  </si>
  <si>
    <t>B-mu2</t>
  </si>
  <si>
    <t>(A-mu1)(B-mu2)</t>
  </si>
  <si>
    <t>cov(A,B)=</t>
  </si>
  <si>
    <t>rho(A,B)=cov(A,B)/(sigma1*sigma2)</t>
  </si>
  <si>
    <t>Var(A)=</t>
  </si>
  <si>
    <t>sigma1=</t>
  </si>
  <si>
    <t>Var(B)=</t>
  </si>
  <si>
    <t>sigma2=</t>
  </si>
  <si>
    <t>rho(A,B)=</t>
  </si>
  <si>
    <t>3. Портфель состоит из акций двух видов за 4 года, данные о которых приведены в таблице</t>
  </si>
  <si>
    <t>Доходность A</t>
  </si>
  <si>
    <t>Доходность B</t>
  </si>
  <si>
    <t>Определить риск портфеля, если доли ценных бумаг одинаковы. (Ответ: 0,0229)</t>
  </si>
  <si>
    <t>Дох А</t>
  </si>
  <si>
    <t>Дох В</t>
  </si>
  <si>
    <t>Столбец 1</t>
  </si>
  <si>
    <t>Столбец 2</t>
  </si>
  <si>
    <t>Var_A=</t>
  </si>
  <si>
    <t>sigma^2=X^T*A*X=</t>
  </si>
  <si>
    <t>4. Портфель состоит из акций четырех видов, данные о которых приведены в таблице</t>
  </si>
  <si>
    <t>C</t>
  </si>
  <si>
    <t>Количество</t>
  </si>
  <si>
    <t>Начальная цена</t>
  </si>
  <si>
    <t>Конечная цена</t>
  </si>
  <si>
    <t>Дивиденды не выплачиваются. Найти доходность портфеля. (Ответ: 0,1376)</t>
  </si>
  <si>
    <t>Кол</t>
  </si>
  <si>
    <t>Нач цена</t>
  </si>
  <si>
    <t>Кон цена</t>
  </si>
  <si>
    <t>p_X0=</t>
  </si>
  <si>
    <t>p_X1=</t>
  </si>
  <si>
    <t>r_X=</t>
  </si>
  <si>
    <t>5. Портфель состоит из двух ценных бумаг A и B, ожидаемые доходности которых равны 9% и 4%, а ценовые доли относятся как 12:18. Найти портфель и его доходность. (Ответ: X = (0,4; 0,6); mu = 6%)</t>
  </si>
  <si>
    <t>6. Ценовые доли портфеля минимального риска из двух независимых бумаг (0,4; 0,7), (0,6; x) (первая цифра – доходность ценной бумаги, вторая – ее риск) относятся как 2:8. Найти риск второй бумаги, доходность и риск портфеля минимального риска. (Ответ: 0,35; mu = 0,56; sigma = 0,31)</t>
  </si>
  <si>
    <t>rho=</t>
  </si>
  <si>
    <t>sigma2^2=</t>
  </si>
  <si>
    <t>7. Портфель состоит из двух ценных бумаг A и B, ожидаемая доходность и риск которых (в процентах) равны A(7; 15) и B(18; 35). Коэффициент корреляции бумаг равен 1. Доходность портфеля равна 17%. Найти портфель и его риск. (Ответ: X = (0,09; 0,91); sigma = 33,2%)</t>
  </si>
  <si>
    <t>8. Портфель состоит из двух ценных бумаг A и B, ожидаемая доходность и риск которых (в процентах) равны A(16; 43), B(32; 71). Коэффициент корреляции бумаг равен 1. Риск портфеля равен 45%. Найти портфель и его доходность. (Ответ: X = (0,93; 0,07); mu = 17,14%)</t>
  </si>
  <si>
    <t>sigma</t>
  </si>
  <si>
    <t>mu1</t>
  </si>
  <si>
    <t>mu2</t>
  </si>
  <si>
    <t>sig1</t>
  </si>
  <si>
    <t>sig2</t>
  </si>
  <si>
    <t>mu</t>
  </si>
  <si>
    <t>9. Портфель состоит из двух активов, ожидаемая доходность и риск (в процентах) которых равны A(40; 20) и B(30; 60). Коэффициент корреляции активов A и B равен –0,4. Найти портфель минимального риска, его риск и доходность. (Ответ: X = (0,8226; 0,1774); mu = 38,2; sigma = 15,6)</t>
  </si>
  <si>
    <t>10. Портфель состоит из двух бумаг A и B. Ожидаемые доходности равны 0,5 и 0,8, а риски 0,2 и 0,6. Коэффициент корреляции равен нулю. Найти портфель минимального риска и его доходность. (Ответ: x1 = 0,9; x2 = 0,1; mu = 0,53)</t>
  </si>
  <si>
    <t>11. Для портфеля из двух бумаг A и B с доходностью и риском соответственно</t>
  </si>
  <si>
    <t>A(30; 48) и B(42; 65) (в процентах) в случае полной антикорреляции вычислите доходность портфеля нулевого риска. (Ответ: x1 = 0,58; x2 = 0,42; mu = 0,35)</t>
  </si>
  <si>
    <t>12. Пусть портфель состоит из трех независимых бумаг с доходностями и рисками соответственно (0,23;0,38), (0,32;0,41) и (0,58;0,52). Найти портфель минимального риска, его доходность. (Ответ: X = (0,42; 0,39; 0,22); mu = 3,4%)</t>
  </si>
  <si>
    <t>13. Портфель состоит из трех активов A, B и C, ценовые доли которых образуют арифметическую прогрессию, причем ценовая доля актива A равна 0,18. Найти портфель. (Ответ: X = (0,18; 0,3333; 0,6166))</t>
  </si>
  <si>
    <t>14. Портфель состоит из трех активов A, B и C. Ценовая доля актива B равна 0,3, а ценовая доля актива A на 10% больше ценовой доли актива C. Найти портфель. (Ответ: X = (0,3667; 0,3; 0,3333))</t>
  </si>
  <si>
    <t>15. Портфель состоит из десяти активов, ценовые доли которых образуют арифметическую прогрессию, причем доля шестого актива равна 0,11. Найти портфель. (Ответ: x1 = 0,01; x2 = 0,03; x3 = 0,05; x4 = 0,07; x5 = 0,09; ; x6 = 0,11; x7 = 0,13; x8 = 0,15; x9 = 0,17; x10 = 0,19)</t>
  </si>
  <si>
    <t>1. Доли ценных бумаг в портфеле равны x1 = 0,2; x2 = 0,3; x3 = 0,5; ожидаемые доходности равны mu1 = −20%; mu2 = 15%; mu3 = 25%, ковариационная матрица имеет вид</t>
  </si>
  <si>
    <t>Найти ожидаемую доходность и риск портфеля. (Ответ: mu = 13%; sigma = 12,39)</t>
  </si>
  <si>
    <t>V=</t>
  </si>
  <si>
    <t>2. Портфель состоит из акций четырех видов, данные о которых приведены в таблице</t>
  </si>
  <si>
    <t>Найти доходность портфеля. (Ответ: 0,052)</t>
  </si>
  <si>
    <t>r_x=</t>
  </si>
  <si>
    <t>3. Одна из двух бумаг портфеля является безрисковой. Рисковая бумага имеет параметры (0,6; 0,5), доходность безрисковой бумаги равна 0,2. Найти портфель и его риск, если его доходность равна 0,4. (Ответ: X=(0,5; 0,5); риск портфеля 0,25)</t>
  </si>
  <si>
    <t>0,2x1+0,6-0,6x1=0,4</t>
  </si>
  <si>
    <t>X=</t>
  </si>
  <si>
    <t>(0,5;0,5)</t>
  </si>
  <si>
    <t>4. Портфель состоит из двух ценных бумаг A и B, ожидаемые доходности которых равны 20% и 50%, а ценовые доли относятся как 1:4. Найти портфель и его доходность. (Ответ: X = (0,2; 0,8); mu = 44%)</t>
  </si>
  <si>
    <t>muA=</t>
  </si>
  <si>
    <t>muB=</t>
  </si>
  <si>
    <t>xA=</t>
  </si>
  <si>
    <t>xB=</t>
  </si>
  <si>
    <t>(0,2;0,8)</t>
  </si>
  <si>
    <t>5. Портфель состоит из двух ценных бумаг A и B, ожидаемая доходность и риск которых, выраженные в процентах, равны A(8; 20), B(12; 24). Коэффициент корреляции бумаг равен 1. Найти множество допустимых портфелей, построить график. Определить доходность портфеля минимального риска. (Ответ: 8)</t>
  </si>
  <si>
    <t>sigmaA=</t>
  </si>
  <si>
    <t>sigmaB=</t>
  </si>
  <si>
    <t>roh=</t>
  </si>
  <si>
    <t>6. Портфель состоит из двух ценных бумаг A и B, ожидаемые доходность и риск которых, выраженные в процентах, равны A(10; 25), B(30; 45). Коэффициент корреляции бумаг равен –1, а его доходность равна 20%. Найти портфель и его риск. (Ответ: X = (0,5; 0,5); sigma = 10%)</t>
  </si>
  <si>
    <t>0,1x1+0,3(1-x1)=0,2</t>
  </si>
  <si>
    <t>X=(0,5;0,5)</t>
  </si>
  <si>
    <t>7. Портфель состоит из двух ценных бумаг A и B, ожидаемая доходность и риск которых, выраженные в процентах, равны A(20; 30), B(30; 50). Коэффициент корреляции бумаг равен 1. Доходность портфеля равна 25%. Найти портфель и его риск. (Ответ: X = (0,5; 0,5); sigma = 40%)</t>
  </si>
  <si>
    <t>0,2x+0,3(1-x)=0,25</t>
  </si>
  <si>
    <t>8. Доходность портфеля минимального риска из трех независимых бумаг (0.2; 0,3), (0,9; 0,6) и (x; 0,8) равна 0,75 (первое число в скобках — доходность ценной бумаги, вторая – ее риск). Найти доходность третьей бумаги. (Ответ: Ценовые доли портфеля (0,7191;0,1798;0,1011), доходность третьей бумаги mu3 = 4,4.)</t>
  </si>
  <si>
    <t>muC=</t>
  </si>
  <si>
    <t>sigma^2</t>
  </si>
  <si>
    <t>sigmaC=</t>
  </si>
  <si>
    <t>знаменатель</t>
  </si>
  <si>
    <t>xC=</t>
  </si>
  <si>
    <t>9. Портфель состоит из двух ценных бумаг A и B, ожидаемая доходность и риск которых, выраженные в процентах, равны A(20; 30), B(30; 60). Коэффициент корреляции бумаг равен 1. Риск портфеля равен 50%. Найти портфель и его доходность (Ответ: X = (1/3; 2/3); sigma = 26,67%)</t>
  </si>
  <si>
    <t>0,3x+0,6(1-x)=0,5</t>
  </si>
  <si>
    <t>X=(1/3;2/3)</t>
  </si>
  <si>
    <t>10. Портфель минимального риска из трех независимых бумаг (x; 0,7), (0,3; 0,6) и (0,4; 0,8) имеет доходность 0,5 (первое число в скобках – доходность ценной бумаги, вторая – ее риск). Найти портфель и доходность первой бумаги. (Ответ: Ценовые доли портфеля (0,3198;0,4353; 0,2449), доходность третьей бумаги mu1 = 0,8488)</t>
  </si>
  <si>
    <t>11. Найти портфель минимального риска из трех независимых бумаг (0,3; 0,7), (0,2;0,6) и (0,4;0,8) и его доходность и риск (первое число в скобках – доходность ценной бумаги, вторая – ее риск). (Ответ: Ценовые доли портфеля (0,3198;0,4353; 0,2449), доходность mu = 0,2808; риск sigma = 0,3959))</t>
  </si>
  <si>
    <t>12. Портфель состоит из двух ценных бумаг A и B, ожидаемые доходности которых равны 20% и 70%, а ценовая доля бумаги A и в три раза меньше ценовой доли бумаги B. Найти портфель и его доходность. (Ответ: X = (0,25; 0,75); mu = 57,5%)</t>
  </si>
  <si>
    <t>X=(0,25;0,75)</t>
  </si>
  <si>
    <t>13. Портфель состоит из двух ценных бумаг A и B, ожидаемая доходность и риск которых, выраженные в процентах, равны A(10; 30), B(30; 60). Коэффициент корреляции бумаг равен – 1. Найти портфель минимального риска и его доходность, а также портфель максимальной доходности и его риск. (Ответ: X = (2/3; 1/3); sigma = 16,67%)</t>
  </si>
  <si>
    <t>roh</t>
  </si>
  <si>
    <t>X=(2/3;1/3)</t>
  </si>
  <si>
    <t>X=(0;1)</t>
  </si>
  <si>
    <t>14. Для портфеля из двух бумаг с доходностью и риском соответственно (0,2; 0,6) и (0,4; 0,9) в случае полной антикорреляции найти портфель нулевого риска и его доходность. (Ответ: X = (0,4; 0,6); mu = 0,32)</t>
  </si>
  <si>
    <t>скорее всего перепутаны X в ответе</t>
  </si>
  <si>
    <t>X=(0,6;0,4)</t>
  </si>
  <si>
    <t>mu(как в ответе)=</t>
  </si>
  <si>
    <t>15. Портфель состоит из двух ценных бумаг A и B, ожидаемая доходность и риск которых, выраженные в процентах, равны A(10; 20) и B(20; 40). Коэффициент корреляции бумаг равен 0,3. Найти портфель минимального риска, его риск и его доходность. (Ответ: X = (0,8947; 0,1053); mu = 11,053; sigma = 19,574)</t>
  </si>
  <si>
    <t>roh*sigA*sigB=</t>
  </si>
  <si>
    <t>знаменатель=</t>
  </si>
  <si>
    <t>x^2</t>
  </si>
  <si>
    <t>16. Портфель состоит из двух ценных бумаг A и B, ожидаемая доходность и риск которых, выраженные в процентах, равны A(10; 15) и B(20; 30). Коэффициент корреляции бумаг равен –0,5. Ожидаемая доходность портфеля равна 14. Найти ценовые доли бумаг A и B в портфеле и риск портфеля. (Ответ: X = (0,6; 0,4); sigma = 10,82%)</t>
  </si>
  <si>
    <t>0,1x+0,2(1-x)=0,14</t>
  </si>
  <si>
    <t>X(0,6;0,4)</t>
  </si>
  <si>
    <t>17. Доходности двух независимых бумаг, составляющих портфель минимального риска равны 10% и 20%. Риски бумаг (первой ко второй) относятся как 3:4. Найти риски обеих бумаг, портфель минимального риска и его доходность, если его риск равен 12%.(Ответ: sigma1 = 15%; sigma2 = 20%; x1 = 0,64; x2 = 0,36; mu = 13,6%)</t>
  </si>
  <si>
    <t>3х</t>
  </si>
  <si>
    <t>4х</t>
  </si>
  <si>
    <t>^2</t>
  </si>
  <si>
    <t>0,0144=0,4096*9x^2+0,1296*16x^2</t>
  </si>
  <si>
    <t>x=</t>
  </si>
  <si>
    <t>18. Портфель состоит из трех активов A, B и C, ценовые доли которых образуют арифметическую прогрессию, причем ценовая доля актива A равна 0,2. Найти портфель. (Ответ: X = (0,2; 0,3333; 0,4667))</t>
  </si>
  <si>
    <t>xA+d</t>
  </si>
  <si>
    <t>xA+2d</t>
  </si>
  <si>
    <t>xA+xB+xC=1</t>
  </si>
  <si>
    <t>d=0,4/3</t>
  </si>
  <si>
    <t>x*(1+7,54%)</t>
  </si>
  <si>
    <t>19. Портфель состоит из трех активов A, B и C. Ценовая доля актива B равна 0,22, а ценовая доля актива A на 7,54% больше ценовой доли актива C. Найти портфель. (Ответ: X = (0,404; 0,22; 0,376))</t>
  </si>
  <si>
    <t>20. Портфель состоит из трех активов A, B и C. Ценовая доля актива A равна 0,4, а ценовая доля актива B в 1,4 раза больше ценовой доли актива C. Найти портфель. (Ответ: X = (0,4; 0,35; 0,25))</t>
  </si>
  <si>
    <t>1,4x</t>
  </si>
  <si>
    <t>1. Портфель состоит из трех активов A, B и C, ценовые доли которых образуют геометрическую прогрессию, причем ценовая доля актива C равна 1/6. Найти портфель. (Ответ: X = (0,5348; 0,2985; 0,1667))</t>
  </si>
  <si>
    <t>2. Для портфеля из трех независимых бумаг с доходностью и риском соответственно (0,1; 0,4), (0,3; 0,6) и (0,5; 0,8) найти портфель минимального риска,</t>
  </si>
  <si>
    <t>3. Найти портфель минимального риска из двух независимых бумаг, дисперсии которых равны 10 и 20 соответственно. (Ответ: x1 = 0,8; x2 = 0,2)</t>
  </si>
  <si>
    <t>4. Портфель состоит из двух бумаг A и B. Ожидаемые доходности равны 0,3 и 0,7, а риски 0,2 и 0,6. Коэффициент корреляции равен 1/2. Риск портфеля равен 0,5. Найти портфель и его доходность. (Ответ: X = (0,2025; 0,7975); mu = 0,619)</t>
  </si>
  <si>
    <t>5. Портфель состоит из двух ценных бумаг A и B, ожидаемая доходность и риск которых, выраженные в процентах, равны A(6; 10), B(20; 40). Коэффициент корреляции бумаг равен 1. Найти: а) портфель минимального риска, б) портфель максимальной доходности. (Ответ: Портфель минимального риска имеет ценовые доли (1:0), портфель максимальной доходности имеет ценовые доли (0:1).)</t>
  </si>
  <si>
    <t>6. Найти портфель минимального риска из трех независимых бумаг, дисперсии которых равны 25, 4 и 16 соответственно. (Ответ: 0,1135; 0,7092; 0,1773)</t>
  </si>
  <si>
    <t>7. Портфель состоит из двух ценных бумаг A и B, ожидаемые доходности которых равны 15% и 25%, а ценовые доли относятся как 2:3. Найти портфель и его доходность. (Ответ: X = (0,4; 0,6); mu = 21%)</t>
  </si>
  <si>
    <t>8. Портфель состоит из двух ценных бумаг A и B, ожидаемая доходность и риск которых, выраженные в процентах, равны A(10; 20) и B(30; 50). Коэффициент корреляции бумаг равен –1, а его доходность равна 20%. Найти портфель и его риск. (Ответ: X = (0,5; 0,5); sigma = 15%)</t>
  </si>
  <si>
    <t>9. Портфель состоит из двух активов, ожидаемая доходность и риск (в процентах) которых равны A(20; 10) и B(30; 40). Коэффициент корреляции активов A и B равен –0,5. Найти портфель минимального риска, его риск и доходность. (Ответ:</t>
  </si>
  <si>
    <t>X = (6/7; 1/7); mu = 21,43; sigma = 7,56)</t>
  </si>
  <si>
    <t>10. Портфель состоит из двух ценных бумаг A и B, ожидаемая доходность и риск которых, выраженные в процентах, равны A(10; 20) и B(20; 60). Коэффициент корреляции бумаг равен –1. Определить доходность портфеля минимального риска и риск портфеля максимальной доходности. Изобразить график допустимого множества портфелей. (Ответ: X = (0,75; 0,25); mu = 12,5%; 60%)</t>
  </si>
  <si>
    <t>11. Портфель состоит из трех активов A, B и C, взятых в равных ценовых долях. Ожидаемые доходности активов равны mu1 = −15%; mu2 = 12%; mu3 = 12%;,. Найти ожидаемую доходность портфеля. (Ответ: mu = 3%)</t>
  </si>
  <si>
    <t>12. Портфель состоит из двух ценных бумаг A и B, ожидаемые доходности которых равны 15% и 25%, а ценовая доля бумаги A в четыре раза меньше ценовой доли бумаги B . Найти портфель и его доходность. (Ответ: X = (0,2; 0,8); mu = 23%)</t>
  </si>
  <si>
    <t>13. Портфель состоит из двух ценных бумаг A и B, ожидаемые доходности которых равны 30% и 20%, а ценовая доля бумаги A на 40% меньше ценовой доли бумаги</t>
  </si>
  <si>
    <t>B. Найти портфель и его доходность. (Ответ: X = (0,375; 0,625); mu = 23,75%)</t>
  </si>
  <si>
    <t>14. Портфель состоит из двух ценных бумаг A и B, ожидаемая доходность и риск которых, выраженные в процентах, равны A(10; 20) и B(20; 40). Коэффициент корреляции бумаг равен –1, а его риск равен 5%. Найти портфель и его доходность. Ответ:</t>
  </si>
  <si>
    <t>15. Доходность актива mu за период 𝑡 = 𝑡1 + 𝑡2 равна 0,32. Доходности актива mu1,</t>
  </si>
  <si>
    <t>mu2, за периоды 𝑡1, 𝑡2, соответственно составляют арифметическую прогрессию с разностью 0,1. Найти доходность актива за каждый период. (Ответ: mu1 = 0,1; mu2 = 0,2)</t>
  </si>
  <si>
    <t>16. Портфель минимального риска из двух независимых бумаг (0,7; 0,3), (0,4; x) (первая цифра доходность ценной бумаги, вторая – ее риск) имеет вид (0,6; 0,4). Найти риск второй бумаги, доходность и риск портфеля минимального риска. (Ответ: x = 0,3674; mu = 0,58; sigma = 0,2324)</t>
  </si>
  <si>
    <t>17. Доходность актива mu за период 𝑡 = 𝑡1 + 𝑡2 равна 0,5. Доходность актива за второй период на 25% выше, чем за первый. Найти доходность актива за каждый период. (Ответ: mu1 = 0,2; mu2 = 0,25)</t>
  </si>
  <si>
    <t>18. Портфель минимального риска из двух независимых бумаг (0,9; 0,4), (x;y)</t>
  </si>
  <si>
    <t>(первая цифра – доходность ценной бумаги, вторая – ее риск) имеет вид (0,2; 0,8), его доходность равна 0,7. Найти риск второй бумаги, ее доходность, а также риск портфеля минимального риска. (Ответ: : x = 0,65; 𝑦 = 0,2; sigma = 0,1789)</t>
  </si>
  <si>
    <t>19. Доходность актива mu за период 𝑡 = 𝑡1 + 𝑡2 равна 0,536. Доходность актива за первый период в 1,4 раза меньше, чем за второй. Найти доходность актива за каждый период. (Ответ: mu1 = 0,2; mu2 = 0,28)</t>
  </si>
  <si>
    <t>20. Доходность актива mu за период 𝑡 = 𝑡1 + 𝑡2 + 𝑡3 равна 0,95. Доходности актива</t>
  </si>
  <si>
    <t>mu1, mu2 за периоды 𝑡1, 𝑡2 соответственно, равны 0,2 и 0,3. Найти доходность актива за период 𝑡3. (Ответ: mu3 = 0,25)</t>
  </si>
  <si>
    <t>21. Портфель состоит из двух бумаг A и B. Ожидаемые доходности равны 0,5 и 0,8,</t>
  </si>
  <si>
    <t>а риски 0,2 и 0,6. Коэффициент корреляции равен нулю. Найти портфель минимального риска и его доходность. (Ответ: x1 = 0,9; x2 = 0,1; mu = 0,53)</t>
  </si>
  <si>
    <t>22. Доходность актива за квартал равна 9,2727%. Найти доходность актива за месяц, предполагая ее постоянство. (Ответ: mu =3%)</t>
  </si>
  <si>
    <t>23. Ценовые доли портфеля минимального риска из двух независимых бумаг (0,3; 0,2), (0,5; x) (первая цифра – доходность ценной бумаги, вторая – ее риск) относятся как 1:2. Найти риск второй бумаги, доходность и риск портфеля минимального риска. (Ответ: x = 0,1414; mu = 0,4333; sigma = 0,1155)</t>
  </si>
  <si>
    <t>24. Пусть доходность актива за месяц mu1 равна 3%. Найти доходность mu актива за год при условии постоянства месячной доходности в течение года. (Ответ:</t>
  </si>
  <si>
    <t>mu =42,58%)</t>
  </si>
  <si>
    <t>25. В портфеле минимального риска из двух независимых бумаг (0,3; 0,4), (0,5; x) (первая цифра – доходность ценной бумаги, вторая – ее риск) ценовая доля первой бумаги в 3 раза больше ценовой доли второй. Найти риск второй бумаги,</t>
  </si>
  <si>
    <t>доходность и риск портфеля минимального риска. (Ответ: x = 0,6928; mu = 0,35; sigma = 0,3464)</t>
  </si>
  <si>
    <t>26. Доходность актива за год mu равна 36%. Найти доходность актива за квартал mu1</t>
  </si>
  <si>
    <t>при условии ее постоянства. (Ответ: mu =7,99%)</t>
  </si>
  <si>
    <t>27. Риск портфеля минимального риска из двух независимых бумаг (0,2; x), (0,6; 0,8) равен 0,48 (первая цифра – доходность ценной бумаги, вторая – ее риск). Найти риск первой бумаги, портфель минимального риска и его доходность. (Ответ: x = 0,6; mu = 0,344; X = (0,64; 0,36))</t>
  </si>
  <si>
    <t>28. Пусть доходности за два последовательных периода времени 𝑡1; 𝑡2 равны 10% и 20% соответственно. Найти доходность mu за период 𝑡 = 𝑡1 + 𝑡2. (Ответ: mu =32%)</t>
  </si>
  <si>
    <t>29. Портфель минимального риска из двух независимых бумаг (0,7; 0,3), (x; y) (первая цифра – доходность ценной бумаги, вторая – ее риск) имеет вид (0,8; 0,2), его доходность равна 0,66. Найти риск второй бумаги, ее доходность, а также риск портфеля минимального риска. (Ответ: x = 0,5; 𝑦 = 0,6; sigma = 0,2683)</t>
  </si>
  <si>
    <t>30. В портфеле минимального риска из двух независимых бумаг (0,4; 0,2), (0,6; x) (первая цифра – доходность ценной бумаги, вторая – ее риск) ценовая доля первой бумаги на 50% больше ценовой доли второй. Найти риск второй бумаги, доходность и риск портфеля минимального риска. (Ответ: x = 0,245; mu = 0,48; sigma = 0,155)</t>
  </si>
  <si>
    <t>Текущая стоимость облигации. Рыночная цена и текущая доходность.</t>
  </si>
  <si>
    <t>1. Найти текущую стоимость облигации, если ее номинальная стоимость составляет 1500 у.е., срок до погашения 3 года, а купонные платежи выплачиваются в конце каждого года по годовой купонной ставке 15%. Банковская процентная ставка равна 11%. (Ответ: 1646,62 руб.)</t>
  </si>
  <si>
    <t>c</t>
  </si>
  <si>
    <t>P1</t>
  </si>
  <si>
    <t>2. Рыночная цена облигации составляет 5200 руб., номинальная стоимость равна 4000 руб., срок до погашения – 6 лет, купонные ежегодные платежи – 900 руб., доходность – 10%. Стоит ли продать облигацию и почему? (Ответ: P=6177,63)</t>
  </si>
  <si>
    <t>12 задач на 307-310 строках</t>
  </si>
  <si>
    <t>3. Три облигации с одинаковой номинальной стоимостью 3000 руб., купонной ставкой 8% и сроком до погашения 5 лет имеют различные текущие доходности к моменту погашения – 11%, 12% и 13%. Как будут отличаться рыночные цены облигаций? Найдите их. (Ответ: 2181,82; 2000; 1846,15)</t>
  </si>
  <si>
    <t>РЫНОЧНАЯ ЦЕНА =  ТЕКУЩАЯ СТОИМОСТЬ</t>
  </si>
  <si>
    <t>r3</t>
  </si>
  <si>
    <t>4. Используя приближённую формулу, найти доходность к погашению облигации со сроком 8 лет, номинальной стоимостью 3460 и купонной ставкой 9% при розничной цене на 12% больше номинальной. (Ответ: 7,03%)</t>
  </si>
  <si>
    <t>V</t>
  </si>
  <si>
    <t>k</t>
  </si>
  <si>
    <t>Иммунизация портфеля облигаций.</t>
  </si>
  <si>
    <t>Cn</t>
  </si>
  <si>
    <t>6. Купонная ставка 6-летней облигации номиналом 1000 руб. равна 14,5% годовых (выплаты в конце года). Найти средний срок поступления дохода от облигации.. (Ответ: 4,84 года.)</t>
  </si>
  <si>
    <t>числ</t>
  </si>
  <si>
    <t>знам</t>
  </si>
  <si>
    <t>T</t>
  </si>
  <si>
    <t>7. Купонная ставка 8-летней облигации номиналом 5000 руб. равна 15% годовых, выплаты производятся один раз в квартал. Найти средний срок поступления дохода от облигации. (Ответ: 5,89 лет.)</t>
  </si>
  <si>
    <t>t</t>
  </si>
  <si>
    <t>8. Найти дюрацию потока платежей (1500;1), (2500;2), (3500;3), (4500;4) при процентной ставке 𝑖 = 11%. (Ответ: 2,8)</t>
  </si>
  <si>
    <t>9. Облигация продается по номинальной стоимости со сроком погашения 6 лет с выплатой купонов в конце года по купонной ставке 15,5%. Найти дюрацию облигации. (Ответ: 4,31 года.)</t>
  </si>
  <si>
    <t>c = ro</t>
  </si>
  <si>
    <t>10. Облигация со сроком погашения 11 лет и купонной ставкой 12% имеет доходность к погашению 𝜌 = 7,5%. Найти ее дюрацию. (Ответ: 7,225 лет.)</t>
  </si>
  <si>
    <t>c=</t>
  </si>
  <si>
    <t>ro=</t>
  </si>
  <si>
    <t>11. Дюрация облигации равна 10. Известно, что ее доходность к погашению увеличилась с 12,5% до 13%. На сколько процентов изменилась цена облигации. (Ответ: понизилась на 4,44%.)</t>
  </si>
  <si>
    <t>ro1=</t>
  </si>
  <si>
    <t>ro2=</t>
  </si>
  <si>
    <t>dP/P=</t>
  </si>
  <si>
    <t>12. Найти портфель из 3-летней и 6-летней облигаций иммунизирующий 4- летнюю облигацию с номинальной стоимостью 1600 у.е., если процентная ставка составляет 12%. (Ответ: иммунизирующий портфель состоит из 3-летней облигации номинальной стоимостью 952,381 у.е. и 6-летней облигации стоимостью 669,0133 у.е.) Оценивание облигаций в произвольный момент времени и в календарной шкале.</t>
  </si>
  <si>
    <t>w1+w2=1</t>
  </si>
  <si>
    <t>это всегда</t>
  </si>
  <si>
    <t>3w1+6w2=4</t>
  </si>
  <si>
    <t>это из 3 и 6 лет в 4</t>
  </si>
  <si>
    <t>w1=1-w2</t>
  </si>
  <si>
    <t>3-3w2+6w2=4</t>
  </si>
  <si>
    <t>w2</t>
  </si>
  <si>
    <t>w1</t>
  </si>
  <si>
    <t>N1</t>
  </si>
  <si>
    <t>P2</t>
  </si>
  <si>
    <t>N2</t>
  </si>
  <si>
    <t>13. Используя дисконтирование по схеме сложных процентов, найти текущую стоимость облигации с номиналом 2350 руб., купонной ставкой 11% с годовыми купонными платежами и сроком до погашения 1,5 года относительно номинальной ставки 12% с годовым периодом начисления процентов. (Ответ: 2444,98.)</t>
  </si>
  <si>
    <t>N=</t>
  </si>
  <si>
    <t>T=</t>
  </si>
  <si>
    <t>r=</t>
  </si>
  <si>
    <t>r_p=(1+r/k)^(k/p)-1=r=</t>
  </si>
  <si>
    <t>(p=k=1)</t>
  </si>
  <si>
    <t>C_p=c*N/p=</t>
  </si>
  <si>
    <t>P_T=(1/(1+r_p)^t)*(C_p+(C_p+N)/(1+r_p)^1)</t>
  </si>
  <si>
    <t>14. Используя дисконтирование по схеме сложных процентов, найти текущую стоимость облигации с номиналом 1230 руб., купонной ставкой 10,5% с полугодовыми купонными платежами и сроком до погашения 1,2 года относительно номинальной ставки 12% с полугодовым периодом начисления процентов. (Ответ: 1248,227.)</t>
  </si>
  <si>
    <t>k=</t>
  </si>
  <si>
    <t>T=p*n=</t>
  </si>
  <si>
    <t>r_p=(1+r/k)^(k/p)-1=r/2=</t>
  </si>
  <si>
    <t>P_T=(1/(1+r_p)^t)*(C_p+C_p/(1+r_p)+(C_p+N)/(1+r_p)^2)</t>
  </si>
  <si>
    <t>15. Используя дисконтирование по схеме сложных процентов, найти чистую цену облигации с номиналом 3000 руб., купонной ставкой 11% с годовыми купонными платежами и сроком до погашения 1,4 года относительно номинальной ставки 12,5% с годовым периодом начисления процентов. (Ответ: 2940,59.)</t>
  </si>
  <si>
    <t>r_p=r=</t>
  </si>
  <si>
    <t>(k=p=1)</t>
  </si>
  <si>
    <t>C_p=c*N=</t>
  </si>
  <si>
    <t>P_T=(1/(1+r_p)^t)*(C_p+(C_p+N)/(1+r_p)^1)=</t>
  </si>
  <si>
    <t>Купон C_p*(1-t)=</t>
  </si>
  <si>
    <t>P_T(чист)=P_T-C_p*(1-t)=</t>
  </si>
  <si>
    <t>16. Найти полную и чистую цену облигации с номиналом 3300 руб. с годовыми купонными платежами в середине последнего купонного периода при процентной ставке, равной 19,5% годовых и купонной ставке 19,8%. (Ответ: 3616,49; 3289,79.)</t>
  </si>
  <si>
    <t>r_p=</t>
  </si>
  <si>
    <t>C_p=c*N</t>
  </si>
  <si>
    <t>C_p+N=</t>
  </si>
  <si>
    <t>P_T(полн)=(С_p+N)/(1+r_p)^t=</t>
  </si>
  <si>
    <t>P_t(чист)=P_t-C_p*(1-t)</t>
  </si>
  <si>
    <t>17. Найти накопленный купон по правилу ACT/365, если дата оценки облигации 25.06.20, а дата выплаты предыдущего купона 20.10.20. Купонный платеж 200 руб. (Ответ: 64,11 руб.)</t>
  </si>
  <si>
    <t>здесь скорее всего ошибка в усл потому что дата оценки должна быть больше даты предыдущего купона</t>
  </si>
  <si>
    <t>d0</t>
  </si>
  <si>
    <t>АСТ</t>
  </si>
  <si>
    <t>18. Найти накопленный купон по правилу ACT/360, если дата оценивания облигации 27.07.21, а дата выплаты предыдущего купона 18.04.21. Купонный платеж 300 руб. (Ответ: 83,33)</t>
  </si>
  <si>
    <t>первая дата должна стоять раньше чем вторая?</t>
  </si>
  <si>
    <t>19. Найти накопленный купон по правилу 30/360, если дата оценки облигации 12.07.21, а дата выплаты предыдущего купона 16.04.21. Купонный платеж 350 руб. (Ответ: 83,61)</t>
  </si>
  <si>
    <t>20. Найти накопленный купон по правилу ACT/ACT, если дата оценивания облигации 12.04.16, дата выплаты следующего купона 14.07.16. а дата выплаты предыдущего купона 19.01.16. Купонный платеж 230 руб. (Ответ: 108,47)</t>
  </si>
  <si>
    <t>крч здесь ответ неправильный я хз</t>
  </si>
  <si>
    <t>D между d0 и d</t>
  </si>
  <si>
    <t>D между d0 и d1</t>
  </si>
  <si>
    <t>21. Найти параметр t по правилу ACT/365, если дата оценки облигации 20.10.17, а дата выплаты предыдущего годового купона 15.06.17. (Ответ: 0,6521)</t>
  </si>
  <si>
    <t>потому что купон годовой значит +1 год к d0</t>
  </si>
  <si>
    <t>D между d и d1</t>
  </si>
  <si>
    <t>w</t>
  </si>
  <si>
    <t>я не понимаю почему так</t>
  </si>
  <si>
    <t>1. Рыночная цена 12-ти процентной облигации номиналом 1000 руб. за два года до погашения равна 1200 руб. Найти текущую стоимость облигации при процентной ставке: а) 10%, б) 14%, в) 12% и ее курс. (Ответ: 1034,71; 967,07; 1000.)</t>
  </si>
  <si>
    <t>P1=</t>
  </si>
  <si>
    <t>P2=</t>
  </si>
  <si>
    <t>P3=</t>
  </si>
  <si>
    <t>K=</t>
  </si>
  <si>
    <t xml:space="preserve">2. Найти текущую стоимость облигации номинальной стоимостью 1000 руб.,
сроком погашения 5 лет и ежегодными выплатами по купонной ставке 15%, если годовая процентная ставка составляет 20%.(Ответ: 850,47) </t>
  </si>
  <si>
    <t>3. Найдите значение текущей рыночной стоимости облигации со сроком обращения n = 7 лет, номинальной стоимостью N = 50 000, купонной ставкой с = 8% и доходностью к погашению ρ =10%, а также значения рыночной стоимости при увеличении и уменьшении доходности к погашению на 2%. (Ответ: 45131,58; 40872,49; 50000)</t>
  </si>
  <si>
    <t>ro3=</t>
  </si>
  <si>
    <t>V1=</t>
  </si>
  <si>
    <t>V2=</t>
  </si>
  <si>
    <t>V3=</t>
  </si>
  <si>
    <t>4. Рыночная цена 20-ти процентной облигации номиналом 3500 руб. за два года до погашения равна 4300 руб. найти текущую стоимость облигации при процентной ставке: а) 14%, б) 20%, в) 23% и ее курс. (Ответ: 3845,8; 3500; 3345,23; 122,86%)</t>
  </si>
  <si>
    <t>P3</t>
  </si>
  <si>
    <t>5. Найти доходность к погашению облигации со сроком обращения 8 лет, номинальной стоимостью 3000 и купонной ставкой 8%, если: 1) она продается за 3000, 2) ее розничная цена увеличится на 10%, 3) уменьшится на 5%? (Ответ: 0,08; 0,0639; 0,0887)</t>
  </si>
  <si>
    <t>V1</t>
  </si>
  <si>
    <t>V2</t>
  </si>
  <si>
    <t>V3</t>
  </si>
  <si>
    <t>ro1</t>
  </si>
  <si>
    <t>ro2</t>
  </si>
  <si>
    <t>ro3</t>
  </si>
  <si>
    <t>6. Найти доходность к погашению со сроком обращения 10 лет и номинальной стоимостью N = 1000 у.е., купонные выплаты по которой составляют 50 у.е. ежегодно, если облигация продается по 900 у.е. (Ответ: 0,638)</t>
  </si>
  <si>
    <t>K</t>
  </si>
  <si>
    <t>cN=</t>
  </si>
  <si>
    <t>ro</t>
  </si>
  <si>
    <t>7. Рыночная цена облигации составляет 4000 У.е., номинальная стоимость равна 2500 у.е., срок до погашения 5 лет, купонные платежи – 700 у.е., доходность – 10%. Стоит ли продать облигацию и почему? (Ответ: Найти текущую стоимость облигации по формуле P = с ∙ N 1−(1+r)−nr + N∙ (1 + r)−n, затем сравнить с рыночной ценой и сделать вывод.)</t>
  </si>
  <si>
    <t>получается, что продавать не выгодно, потому что текущая стоимость облигации выше рыночной</t>
  </si>
  <si>
    <t>v=</t>
  </si>
  <si>
    <t>8. Курс облигации равен 95, купонный доход – 15%, выплаты ежеквартально. Найти текущую доходность облигации. (Ответ: 15,79%)</t>
  </si>
  <si>
    <t>9. Чему равна выраженная в процентах доходность к погашению облигации со
сроком обращения 9 лет, номинальной стоимостью 2000 и купонной ставкой 9% при розничной цене на 10% больше номинальной? (Ответ: 7,47%)</t>
  </si>
  <si>
    <t>10. Чему равна доходность к погашению, выраженная в процентах, облигации со сроком обращения 8 лет, номинальной стоимостью 2000 и купонной ставкой 8% при розничной цене на 7% меньше номинальной? (Ответ: 9,24%)</t>
  </si>
  <si>
    <t>11. Чему равна доходность к погашению облигации со сроком обращения 10 лет и номинальной стоимостью N = 2000 у.е., купонные выплаты по которой составляют 80 у.е. ежегодно, если облигация продается по 1900 у.е.? (Ответ: 4,63%)</t>
  </si>
  <si>
    <t>12. Рыночная цена облигации составляет 4000 у.е., номинальная стоимость равна 2500 у.е., срок до погашения 5 лет, купонные платежи – 600 у.е., процентная ставка – 10%. Чему равна текущая стоимость и курс облигации? (Ответ: 3826,78; 1,6)</t>
  </si>
  <si>
    <t>13. Облигация продается по номинальной ставке со сроком погашения 10 лет и купонной ставкой 12%. Чему равна дюрация облигации, выраженная в годах? (Ответ: если облигация продаётся по номиналу, то ro = c и D = 6,328)</t>
  </si>
  <si>
    <t>c=ro</t>
  </si>
  <si>
    <t>14. Облигация со сроком погашения 10 лет и купонной ставкой 10% имеет доходность к погашению 8%. Чему равна дюрация облигации, выраженная в годах? (Ответ: 6,97)</t>
  </si>
  <si>
    <t>15. Дюрация облигации равна 8. На сколько процентов изменилась цена облигации при увеличении доходности к погашению с 12% до 12,5%? (Ответ: уменьшится на 3,57%)</t>
  </si>
  <si>
    <t>16. Дюрация облигации составляет 5 лет. Чему равно относительное процентное изменение цены облигации при увеличении доходности с 7% до 8%? (Ответ: уменьшится на 4,67%)</t>
  </si>
  <si>
    <t>17. Облигации со сроком погашения 6 лет, купонной ставкой 11% и номиналом 1000 у.е. продается по цене 800 у.е. Чему равна доходность к погашению облигации? (Ответ: 16,23%)</t>
  </si>
  <si>
    <t>18. Облигации со сроком погашения 5 лет, купонной ставкой 10% и номиналом 2000 у.е. продается по цене 1900 у.е. Чему равна доходность к погашению облигации? (Ответ: 11,34%)</t>
  </si>
  <si>
    <t>19. Облигации продается за 2000 у.е. при доходности к погашению 6%. Дюрация облигации составляет 8 лет. Чему равна новая цена облигации при увеличении доходности до 7%? (Ответ: 1849,06)</t>
  </si>
  <si>
    <t>20. Облигация номиналом 1000 руб., сроком погашения 6 лет и полугодовыми купонными платежами по годовой купонной ставке 13% продается через 1,38 года, Найти ее чистую стоимость, если годовая процентная ставка составляет 11%. (Ответ: 1081,35)</t>
  </si>
  <si>
    <t>t_погаш=</t>
  </si>
  <si>
    <t>C_p=</t>
  </si>
  <si>
    <t>P_T=</t>
  </si>
  <si>
    <t>AC_t=</t>
  </si>
  <si>
    <t>2. Номинальная цена 12,5-процентной облигации за 4 года до погашения равна 1850 руб. Найти текущую стоимость облигации при процентной ставке: а) 11%, б) 14%, в) 12,5%. (Ответ: а) 1936,09 руб., б) 1769,14 руб.; в) 1850 руб.)</t>
  </si>
  <si>
    <t>3. Найти чистую цену облигации с номиналом 1000 руб., купонной ставкой 10% с полугодовыми купонными платежами и сроком до погашения 1,3 года относительно номинальной ставки 12% с полугодовым периодом начисления процентов. (Ответ: 976,22.)</t>
  </si>
  <si>
    <t>4. Найти доходность к погашению облигации со сроком обращения 10 лет и купонной ставкой 8%, если: 1) она продается по номиналу, 2) ее розничная цена увеличится на 10%, 3) уменьшится на 5%? (Ответ: 0,08; 0,0664; 0,0874)</t>
  </si>
  <si>
    <t>6. Найти полную и чистую цену облигации с номиналом 2000 руб. с годовыми купонными платежами в середине последнего купонного периода при процентной ставке, равной 10% годовых и купонной ставке 8%. (Ответ: 2059,48; 1979,48.)</t>
  </si>
  <si>
    <t>7. Построить поток платежей для стандартной двухлетней облигации с номиналом 2000 руб. и полугодовыми купонами поставке 20% годовых с датой погашения: а) 15.12.2017; б) 31.12.2017. (Ответ: а) 𝑇4 = 15.12.2017; 𝑇3 = 15.06.2017; 𝑇2 = 15.12.2016; 𝑇1 = 15.06.2016; 𝑇0 = 15.12.2016; б) 𝑇4 = 31.12.2017; 𝑇3 = 30.06.2017; 𝑇2 = 31.12.2016; 𝑇1 = 30.06.2016; 𝑇0 = 31.12.2016)</t>
  </si>
  <si>
    <t>8. Найти накопленный купон по правилу ACT/ACT, если дата оценивания облигации 23.07.16, а дата выплаты следующего купона 17.01.17. Купонный платеж 100 руб. (Ответ: 48,63)</t>
  </si>
  <si>
    <t>9. На 25.08.16 найдите полную и чистую цену облигации с датой погашения 15.03.18, номиналом 1000 руб. и купонной ставкой 8%, если процентная ставка равна 10% годовых и кратность ее начисления совпадает с кратностью купонных выплат. Решить задачу для а) годовых и б) полугодовых купонов по правилу ACT/ACT. (Ответ: a) 1007,26; 971,53 б) 1007,15; 971,71)</t>
  </si>
  <si>
    <t>10. На 24.08.1998 найти чистую цену облигации номиналом 1000 USD, датой погашения 15.10.2010, годовыми купонами по купонной ставке 10% и при процентной ставке 8%. Использовать правило ACT/ACT. Найти чистую цену такой же облигации с полугодовыми и квартальными купонными</t>
  </si>
  <si>
    <t>выплатами. (Ответ: 1151,33 USD; 1166,49 USD; 1174,14 USD)</t>
  </si>
  <si>
    <t>1. Дан портфель из двух бумаг с доходностями mu1 = 18%; mu2 = 11% и ковариационной матрицей</t>
  </si>
  <si>
    <t>Найти портфель минимального риска, его риск и доходность. (Ответ: X∗ = (0,45; 0,55)T; sigma = 0,9747; mu∗ = 14,15%)</t>
  </si>
  <si>
    <t>sigma1^2=</t>
  </si>
  <si>
    <t>cov(R1,R2)=</t>
  </si>
  <si>
    <t>sigma1*sigma2*rho=</t>
  </si>
  <si>
    <t>A^(-1)=</t>
  </si>
  <si>
    <t>I=</t>
  </si>
  <si>
    <t>2 способ</t>
  </si>
  <si>
    <t>I^T=</t>
  </si>
  <si>
    <t>2. Дан портфель из трёх бумаг с доходностями mu1 = 10%; mu2 = 30%; mu3 = 40% и        ковариационной        матрицей</t>
  </si>
  <si>
    <t>Найти портфель минимального риска с доходностью mu = 0,3 и его риск. Требуется записать уравнение минимальной границы. (Ответ: X∗ = (0,171; 0,486; 0,343)T; sigma = 44,07%)</t>
  </si>
  <si>
    <t>mu0=</t>
  </si>
  <si>
    <t>beta=</t>
  </si>
  <si>
    <t>gamma=</t>
  </si>
  <si>
    <t>delta=</t>
  </si>
  <si>
    <t>lambda=</t>
  </si>
  <si>
    <t>nu=</t>
  </si>
  <si>
    <t>Проверка</t>
  </si>
  <si>
    <t>3. Дан портфель из трёх бумаг с доходностями mu1 = 12%; mu2 = 21%; mu3 = 35% и ковариационной матрицей</t>
  </si>
  <si>
    <t>Найти портфель минимального риска с доходностью mu = 27% и его риск. Требуется записать уравнение минимальной границы. (Ответ: X = (0,187; 0,266; 0,548)T; sigma = 77,03%)</t>
  </si>
  <si>
    <t>I^T</t>
  </si>
  <si>
    <t>mu^T</t>
  </si>
  <si>
    <t>A^-1=</t>
  </si>
  <si>
    <t>mu^T@X=mu0</t>
  </si>
  <si>
    <t>betta=</t>
  </si>
  <si>
    <t>4. На рынке присутствуют два актива с ожидаемыми доходностями: mu1 = 20%; mu2 = 10% и ковариационной матрицей</t>
  </si>
  <si>
    <t>Найти портфель минимального риска из портфелей доходности не менее a) 18% ; б)12% и его риск. (Ответ: 𝑎) X = (0,8; 0,2) = 18%; sigma = 57,62%; б) X</t>
  </si>
  <si>
    <t>mu0&gt;=</t>
  </si>
  <si>
    <t>mu*=</t>
  </si>
  <si>
    <t>&lt;mu0</t>
  </si>
  <si>
    <t>mu*&lt;mu0 =&gt; риск  = 18</t>
  </si>
  <si>
    <t>По иксам возможно неточно но сошлось и на том спасибо</t>
  </si>
  <si>
    <t>Я допускаю, что если у вас mu0&gt;mu* то вы берете формулу по Х которые в ячейке Е97, а если наоборот то формула Х из ячейки Е109</t>
  </si>
  <si>
    <t>&gt;mu0</t>
  </si>
  <si>
    <t>mu*&gt;mu0 =&gt; риск  13,33</t>
  </si>
  <si>
    <t>5. Дан портфель из двух бумаг с доходностями mu1 = 20%; mu2 = 10% и ковариационной матрицей</t>
  </si>
  <si>
    <t>Найти портфель максимальной доходности среди портфелей риска не более 60% и его ожидаемую доходность. (Ответ: mu0 = 18,91%; X∗ = (0,891; 0,109)T )</t>
  </si>
  <si>
    <t>sigma&lt;=</t>
  </si>
  <si>
    <t>X*=</t>
  </si>
  <si>
    <t>6. Одна из двух бумаг портфеля является безрисковой. Рисковая бумага имеет параметры (0,3; 0,5), доходность безрисковой бумаги равна 0,1. Найти портфель и его риск, если его доходность равна 0,2. (Ответ: X=(0,5; 0,5); риск портфеля 0,25)</t>
  </si>
  <si>
    <t>7. Одна из двух бумаг портфеля является безрисковой. Рисковая бумага имеет параметры (0,4; 0,7), доходность безрисковой бумаги равна 0,1. Найти портфель и его доходность, если его риск равен 0,35. (Ответ: X=(0,5; 0,5); доходность портфеля 0,25)</t>
  </si>
  <si>
    <t>8. На рынке присутствуют три актива: безрисковый с доходностью 6% и два рисковых с ожидаемыми доходностями 20% и 30% и ковариационной матрицей</t>
  </si>
  <si>
    <t>Найти портфель Тобина минимального риска с ожидаемой доходностью  mu0 = 13%  и  риск  этого  портфеля.  (Ответ: X𝑓 = (𝑥𝑓 = 0,62; 0,21; 0,17)T ; s =7,89%).</t>
  </si>
  <si>
    <t>9. На рынке присутствуют три актива: безрисковый с доходностью 2,5% и два рисковых с ожидаемыми доходностями 23% и 34% и ковариационной матрицей</t>
  </si>
  <si>
    <t>Найти касательный портфель и его ожидаемую доходность и риск. (Ответ: XT = (𝑥𝑓 = 0; 0,49987; 0,50013)T ; muT = 28,501%; sigmaT =30,824%).</t>
  </si>
  <si>
    <t>10. Дано уравнение минимальной границы: sigma = √(3mu2 − 0,32mu + 0,012) . Безрисковая доходность равна 0,03. Найти ожидаемую доходность и риск касательного портфеля. (Ответ: muT = 10,286%; sigmaT =10,404%).</t>
  </si>
  <si>
    <t>11. На рынке присутствуют три актива: безрисковый с доходностью 5% и два рисковых с ожидаемыми доходностями 10% и 25% и ковариационной матрицей</t>
  </si>
  <si>
    <t>Найти портфель Тобина максимальной ожидаемой доходности из всех портфелей риска не более 18% и его доходность. (Ответ: X𝑓 = (𝑥𝑓 = 0,323; 0,345; 0,332)T ; mu0 = 13,36%).</t>
  </si>
  <si>
    <t>12. Пусть безрисковая ставка 3,5%, а ожидаемая рыночная доходность 11%. Если бета β𝐴 актива А равна 1,3 , то какова его ожидаемая доходность? На сколько процентов увеличится ожидаемая доходность, если рыночная доходность увеличится до 18%? (Ответ: увеличится на 9,1%)</t>
  </si>
  <si>
    <t>mu_f=</t>
  </si>
  <si>
    <t>mu_m1=</t>
  </si>
  <si>
    <t>beta_A=</t>
  </si>
  <si>
    <t>mu_m2=</t>
  </si>
  <si>
    <t>mu=mu_f+beta*(mu_m-mu_f)</t>
  </si>
  <si>
    <t>mu_A=</t>
  </si>
  <si>
    <t>13. Известно, что в данный момент времени на финансовых рынках сложилась следующая ситуация: доходность государственных облигаций составляет 7,5%, а средняя рыночная доходность равна 11%. Предположим, что Вы склонны к риску, и Ваша цель сформировать наиболее доходный портфель активов, состоящий из акций трех видов. При этом у акций вида «А» коэффициент β = 1,3, у акций вида «В» и «С» коэффициент β равен 0,2 и 1,5 соответственно. Кроме того, удельный вес каждой из ценных бумаг в портфеле должен составлять не менее 0,3 каждый. Рассчитайте доходность портфеля, сформированного на подобных условиях. (Ответ: mu = 11,175%).</t>
  </si>
  <si>
    <t>mu_m=</t>
  </si>
  <si>
    <t>beta_B=</t>
  </si>
  <si>
    <t>beta_C=</t>
  </si>
  <si>
    <t>x_A=</t>
  </si>
  <si>
    <t>не доделано</t>
  </si>
  <si>
    <t>mu_B=</t>
  </si>
  <si>
    <t>x_B=</t>
  </si>
  <si>
    <t>mu_C=</t>
  </si>
  <si>
    <t>x_C=</t>
  </si>
  <si>
    <t>14. На фондовом рынке представлены только три равные по капитализации компании А, В и С. Годовые доходности обыкновенных акций компаний А, В и С равны 13%, 7% и 8,5% соответственно. Про компании А и В известно, что бета А равна 1,5, бета В равна 0,4. Дополнительно известно, что акции компании А оценены верно, а у компании В показатель альфа равен -1,4%. Определить, переоценены, недооценены или оценены верно акции компании С (ответ обосновать расчетами). (Ответ: alpha = −2,827, акции С переоценены).</t>
  </si>
  <si>
    <t>mu_A(факт)=</t>
  </si>
  <si>
    <t>НЕ ДОДЕЛАЛИ</t>
  </si>
  <si>
    <t>mu_B(факт)=</t>
  </si>
  <si>
    <t>mu_C(факт)=</t>
  </si>
  <si>
    <t>alpha_A=</t>
  </si>
  <si>
    <t>alpha_B=</t>
  </si>
  <si>
    <t>alpha_C - ?</t>
  </si>
  <si>
    <t>alpha_C=mu_C(факт)-mu_C(CAPM)</t>
  </si>
  <si>
    <t>mu_C(CAPM)=mu_f+beta_C*(mu_m-mu_f)</t>
  </si>
  <si>
    <t>mu_A(CAPM)=mu_f+beta_A*(mu_m-mu_f)</t>
  </si>
  <si>
    <t>mu_B(CAPM)=mu_f+beta_B*(mu_m-mu_f)</t>
  </si>
  <si>
    <t>0,13=mu_f+1,5(mu_m-mu_f)</t>
  </si>
  <si>
    <t>0,07=mu_f+0,4*(mu_m-mu_f)</t>
  </si>
  <si>
    <t>delta1=</t>
  </si>
  <si>
    <t>delta2=</t>
  </si>
  <si>
    <t>mu_m-mu_f=</t>
  </si>
  <si>
    <t>1=beta_A*x_A+beta_B*x_B+beta_C*x_C</t>
  </si>
  <si>
    <t>mu_C(CAPM)=</t>
  </si>
  <si>
    <t>15. Приведенные данные отражают фактические ставки доходности акций различных эмитентов A, B, C, D и их коэффициенты β. По мнению финансового аналитика, ставка доходности безрисковых вложений для данных условий – 5%, а доходность наиболее репрезентативного индекса, рассчитанного по доходности акций крупных компаний, равен 14%. Определите какие акции недооценены, переоценены или оценены верно. Каковы прогнозные тенденции изменения курсов данных акций? (ответы обосновать расчетами)</t>
  </si>
  <si>
    <t>Эмитент</t>
  </si>
  <si>
    <t>mu𝑖 (факт)</t>
  </si>
  <si>
    <t>𝛽𝑖</t>
  </si>
  <si>
    <t>(Ответ: акции 𝐵 и 𝐷 недооценены, 𝐴 и C переоценены).</t>
  </si>
  <si>
    <t>16. Пусть  уравнение  SML  задано  следующим  равенством m𝑖 = 0,06 + 0,07𝛽𝑖 . Аналитик подсчитал, что коэффициент бета для компании Х равен 0,3, а для компании Y равен 1,8. Каковы должны быть доходности этих активов, чтобы их приобретение можно было считать хорошим вложением средств? (Ответ: покупать активы следует при доходности больше 8,1%, а активы Y – при доходности выше 18,6%)</t>
  </si>
  <si>
    <t>17. Про актив А известно, что его фактическая доходность 7,5%, а коэффициент бета равен 0,7. Фактическая доходность актива В составила 14% при коэффициенте бета в три раза большем, чем у актива А. Альфа коэффициенты этих активов равны 0% и -1,3% соответственно. Определить, во сколько раз рыночная доходность больше, чем безрисковая. (Ответ: в 2,55 раз больше).</t>
  </si>
  <si>
    <t>18. Портфель состоит из 2-х акций 𝐴1 и 𝐴2 с равными весами. Стандартные отклонения доходностей акций sigma1= 25% и sigma2=30% соответственно, а их корреляции с рыночной доходностью 𝜌1= 0,2 и 𝜌2= 0,5. Безрисковая доходность mu𝑓= 5%. Ожидаемая рыночная доходность mu𝑚= 15%, а стандартное отклонение рыночной доходности sigma𝑚= 20%. Несистематические компоненты доходностей попарно взаимно независимы. Найти, а) ожидаемую доходность акций; б) ожидаемую доходность портфеля, его бету, систематическую и несистематическую компоненты риска портфеля.</t>
  </si>
  <si>
    <t>19. Акции компаний А и Б имеют следующие характеристики. Написать уравнение однофакторной модели АТР.</t>
  </si>
  <si>
    <t>Показатели</t>
  </si>
  <si>
    <t>Б</t>
  </si>
  <si>
    <t>Ожидаемые доходности в равновесном состоянии, %</t>
  </si>
  <si>
    <t>Коэффициент чувствительности к фондовому индексу</t>
  </si>
  <si>
    <t>(Ответ: mu𝑖=12+35𝛽𝑖 )</t>
  </si>
  <si>
    <t>20. Рассмотрим двухфакторную АРТ. Акции компаний А, Б, В, Г имеют характеристики, приведенные в таблице:</t>
  </si>
  <si>
    <t>В</t>
  </si>
  <si>
    <t>Г</t>
  </si>
  <si>
    <t>Ожидаемые доходности без учёта равновесного
 состояния, %</t>
  </si>
  <si>
    <t>Коэффициент чувствительности к рыночному индексу X</t>
  </si>
  <si>
    <t>Определить ожидаемую доходность акции Г, с учетом, что ситуация на рынке относительно этой акции будет стремиться к равновесной.</t>
  </si>
  <si>
    <t>(Ответ: muГ=38%)</t>
  </si>
  <si>
    <t>21. Фактическая доходность портфеля равна 20%, стандартное отклонение 15%, ставка без риска 10% годовых. Определить коэффициент Шарпа портфеля. (Ответ:0,67)</t>
  </si>
  <si>
    <t>22. Фактическая доходность портфеля А равна 19 %, стандартное отклонение доходности 12 %, доходность и стандартное отклонение портфеля В соответственно равны 25% и 17%, ставка без риска 9% годовых. Определить с помощью коэффициента Шарпа, какой портфель управлялся эффективнее.</t>
  </si>
  <si>
    <t>(Ответ: kSharp ratioA  = 0,83; kSharp ratioB = 0,94)</t>
  </si>
  <si>
    <t>23. В начале года размер инвестиций в портфель ценных бумаг составил 28 млн. руб. По окончании первого квартала стоимость портфеля составила 30 млн. руб. На следующий день дополнительно было приобретено ценных бумаг на сумму 3 млн. руб. По окончании второго квартала стоимость портфеля составила 36 млн. руб., и он был увеличен ещё на 3 млн. руб. По окончании третьего квартала стоимость портфеля составила 39 млн. руб., и часть ценных бумаг из его состава на сумму 2 млн. руб. были проданы. В конце года стоимость портфеля составила 44 млн. руб. Безрисковая процентная ставка равна 9% годовых. Определить коэффициент Шарпа портфеля в годовом исчислении (в  задаче  использовать  выборочное  стандартное  отклонение). (Ответ: 𝑘𝑆ℎ𝑎𝑟𝑝 𝑟𝑎𝑡𝑖𝑜 =2,22)</t>
  </si>
  <si>
    <t>1. Дан портфель из двух бумаг с доходностями mu1 = 20%; mu2 = 10% и ковариационной матрицей</t>
  </si>
  <si>
    <t xml:space="preserve">Найти портфель минимального риска, его риск и доходность. (Ответ:
</t>
  </si>
  <si>
    <t>I^t=</t>
  </si>
  <si>
    <t>ручной способ</t>
  </si>
  <si>
    <t>0,4x1^2+0,4x1x2+0,3x2^2+lambda(1-x1-x2)</t>
  </si>
  <si>
    <t>lambda</t>
  </si>
  <si>
    <t>X1=0,2L</t>
  </si>
  <si>
    <t>x2=0,4L</t>
  </si>
  <si>
    <t>x1/x2=1/2</t>
  </si>
  <si>
    <t>x1=1/3</t>
  </si>
  <si>
    <t>x2=2/3</t>
  </si>
  <si>
    <t>2. Дан портфель из трёх бумаг с доходностями mu1 = 10%; mu2 = 20%; mu3 = 30% и ковариационной матрицей</t>
  </si>
  <si>
    <t>Найти портфель минимального риска с доходностью mu = 25% и его риск. Требуется записать уравнение минимальной границы. (Ответ: X∗ = (0,107; 0,286; 0,607)T; sigma = 112,6%)</t>
  </si>
  <si>
    <t>3. Дан портфель из двух бумаг с доходностями mu1 = 20%; mu2 = 10% и ковариационной матрицей</t>
  </si>
  <si>
    <t>Найти портфель минимального риска доходности не менее 23% и его риск. (Ответ: 𝑎) X∗ = (0,846; 0,154)T;  sigma = 237,59%)</t>
  </si>
  <si>
    <t>4. Дан портфель из двух бумаг с доходностями mu1 = 15%; mu2 = 32% и ковариационной матрицей</t>
  </si>
  <si>
    <t>Найти портфель максимальной доходности среди портфелей риска не более 45% и его ожидаемую доходность. (Ответ: mu0 = 27,54%; X∗ = (0,26; 0,74)T )</t>
  </si>
  <si>
    <t>5. Одна из двух бумаг портфеля является безрисковой. Рисковая бумага имеет параметры (0,28; 0,49), доходность безрисковой бумаги равна 0,09. Найти портфель и его риск, если его доходность равна 0,2. (Ответ: X=(0,316; 0,684); риск портфеля 0,36)</t>
  </si>
  <si>
    <t>28x+9(1-x)=22</t>
  </si>
  <si>
    <t>6. На рынке присутствуют три актива: безрисковый с доходностью 5,5% и два рисковых с ожидаемыми доходностями 21% и 32% и ковариационной матрицей</t>
  </si>
  <si>
    <t>Найти портфель Тобина минимального риска с ожидаемой доходностью   𝜇0 = 13%   и   риск    этого    портфеля.    (Ответ:    𝑋 = (𝑥𝑓 = 0,64; 0,19; 0,17)𝑇 ; s =11,41%).</t>
  </si>
  <si>
    <t>muf=</t>
  </si>
  <si>
    <t>A23=</t>
  </si>
  <si>
    <t>Xf=</t>
  </si>
  <si>
    <t>d^2=</t>
  </si>
  <si>
    <t>7.  На рынке присутствуют три актива: безрисковый с доходностью 3,5% и два рисковых с ожидаемыми доходностями 21% и 38% и ковариационной матрицей</t>
  </si>
  <si>
    <t>Найти    касательный    портфель    и    его    ожидаемую доходность и риск.   (Ответ:   𝑋𝑇 = (𝑥𝑓 = 0; 0,49987; 0,50013)𝑇 ; 𝜇𝑇 = 29,987%; 𝜎𝑇 =34,004%).</t>
  </si>
  <si>
    <t>muT=</t>
  </si>
  <si>
    <t>sigmaT=</t>
  </si>
  <si>
    <t>8.Дано уравнение минимальной границы: 𝜎 =√(4mu^2 − 0,28mu + 0,019) Безрисковая доходность равна 0,023. Найти ожидаемую доходность и риск касательного портфеля. (Ответ: 𝜇𝑇 = 32,875%; 𝜎𝑇 sigma 59,938%).</t>
  </si>
  <si>
    <t>alpha/delta=</t>
  </si>
  <si>
    <t>betta/delta=</t>
  </si>
  <si>
    <t>gamma/delta=</t>
  </si>
  <si>
    <t>9. На рынке присутствуют три актива: безрисковый с доходностью 5,5% и два рисковых с ожидаемыми доходностями 11% и 26% с ковариационной матрицей</t>
  </si>
  <si>
    <t>Найти портфель Тобина максимальной ожидаемой доходности из всех портфелей риска не более 19% и его доходность. (Ответ: 𝑋𝑓 = (𝑥𝑓 = 0,103; 0,491; 0,406)𝑇 ; 𝜇0 = 16,52%).</t>
  </si>
  <si>
    <t>sigma0=</t>
  </si>
  <si>
    <t>X0=</t>
  </si>
  <si>
    <t>10.На рынке присутствуют три актива с ожидаемыми доходностями: mu1 =
10%;  mu2 = 25%; mu3 = 15% и ковариационной матрицей A</t>
  </si>
  <si>
    <t>Найти портфель минимального риска с ожидаемой доходностью mu0 = 20%, и
его риск. Составить уравнение	 минимальной границы. (Ответ:X∗ = (0,511; 0,256; 0,233)T; sigma = 108,91%, sigma = √(46,512mu^2 − 26,047mu + 4,047)</t>
  </si>
  <si>
    <t>ЗДЕСЬ ОТВЕТ НЕПРАВИЛЬНЫЙ ДАН РЕШЕНИЕ ПРАВИЛЬНОЕ</t>
  </si>
  <si>
    <t>уравнение: корень из(alpha*mu^2+2*betta*mu+gamma)</t>
  </si>
  <si>
    <t>корень(2,5mu^2+1,4mu+0,2175)</t>
  </si>
  <si>
    <t>mu=(проверка)</t>
  </si>
  <si>
    <t>11. Пусть безрисковая ставка 4,5%, а ожидаемая рыночная доходность 10%. Если бета βА актива А равна 1,4 , то какова его ожидаемая доходность? На сколько процентов увеличится ожидаемая доходность, если рыночная доходность увеличится до 17%? (Ответ: увеличится на 9,8%)</t>
  </si>
  <si>
    <t>betta_A=</t>
  </si>
  <si>
    <r>
      <t>12.</t>
    </r>
    <r>
      <rPr>
        <sz val="14"/>
        <color theme="1"/>
        <rFont val="Times New Roman"/>
        <family val="1"/>
        <charset val="204"/>
      </rPr>
      <t>Известно, что в данный момент времени на финансовых рынках сложилась следующая ситуация: доходность государственных облигаций составляет 6%, а средняя рыночная доходность равна 9%. Предположим, что Вы склонны к риску, и Ваша цель сформировать наиболее доходный портфель активов, состоящий из акций трех видов. При этом у акций вида «А» коэффициент β = 1, у акций вида</t>
    </r>
    <r>
      <rPr>
        <b/>
        <sz val="14"/>
        <color theme="1"/>
        <rFont val="Times New Roman"/>
        <family val="1"/>
        <charset val="204"/>
      </rPr>
      <t xml:space="preserve"> «В» и «С» коэффициент β равен 0,5 и 2 соответственно. Кроме того, удельный вес каждой из ценных бумаг в портфеле должен составлять не менее 0,25 каждый. Рассчитайте доходность портфеля, сформированного на подобных условиях. (Ответ: mu = 10,125%).</t>
    </r>
  </si>
  <si>
    <t>betta_B=</t>
  </si>
  <si>
    <t>betta_C=</t>
  </si>
  <si>
    <t>xA</t>
  </si>
  <si>
    <t>xB</t>
  </si>
  <si>
    <t>xC</t>
  </si>
  <si>
    <t>13. Про актив А известно, что его фактическая доходность 5%, а коэффициент бета равен 0,4. Фактическая доходность актива В составила 19% при коэффициенте бета в восемь раз большем, чем у актива А. Альфа коэффициенты этих активов равны 0% и -1,5% соответственно. Определить, во сколько раз рыночная доходность больше, чем безрисковая. (Ответ: в 2,987 раз больше)</t>
  </si>
  <si>
    <t>mu_A(факт)=mu_A(САРМ)</t>
  </si>
  <si>
    <t>mu_B(CAPM)=mu_B(факт) - alpha_B</t>
  </si>
  <si>
    <t>5%=mu_f+0,4*(mu_m-mu_f)</t>
  </si>
  <si>
    <t>mu_B(CAPM)=</t>
  </si>
  <si>
    <t>19%=mu_f+3,2(mu_m-mu_f)</t>
  </si>
  <si>
    <t>delta_1=</t>
  </si>
  <si>
    <t>dekta_2=</t>
  </si>
  <si>
    <r>
      <t>14.</t>
    </r>
    <r>
      <rPr>
        <sz val="11"/>
        <color theme="1"/>
        <rFont val="Times New Roman"/>
        <family val="1"/>
        <charset val="204"/>
      </rPr>
      <t>На фондовом рынке представлены только три равные по капитализации компании А, В и С. Годовые доходности обыкновенных акций компаний А, В и С равны 12,5%, 6% и 7,5% соответственно. Про компании А и В известно, что бета А равна 2, бета В равна 0,6. Дополнительно известно, что акции компании А оценены верно, а у компании В показатель альфа равен -1%. Определить, переоценены, недооценены или оценены верно акции компании С (ответ обосновать расчетами). (</t>
    </r>
    <r>
      <rPr>
        <b/>
        <sz val="11"/>
        <color theme="1"/>
        <rFont val="Times New Roman"/>
        <family val="1"/>
        <charset val="204"/>
      </rPr>
      <t>Ответ</t>
    </r>
    <r>
      <rPr>
        <sz val="11"/>
        <color theme="1"/>
        <rFont val="Times New Roman"/>
        <family val="1"/>
        <charset val="204"/>
      </rPr>
      <t xml:space="preserve">: </t>
    </r>
    <r>
      <rPr>
        <sz val="11"/>
        <color theme="1"/>
        <rFont val="Cambria Math"/>
        <family val="1"/>
        <charset val="204"/>
      </rPr>
      <t>𝛼 = 1,286, акции С недоооценены)</t>
    </r>
    <r>
      <rPr>
        <sz val="11"/>
        <color theme="1"/>
        <rFont val="Times New Roman"/>
        <family val="1"/>
        <charset val="204"/>
      </rPr>
      <t>.</t>
    </r>
  </si>
  <si>
    <t>mu_A(CAPM)=</t>
  </si>
  <si>
    <t>delta_2=</t>
  </si>
  <si>
    <t>mu_m - mu_f=</t>
  </si>
  <si>
    <t>alpha_C=</t>
  </si>
  <si>
    <t>недооценены</t>
  </si>
  <si>
    <r>
      <t>15.</t>
    </r>
    <r>
      <rPr>
        <b/>
        <sz val="7"/>
        <color theme="1"/>
        <rFont val="Times New Roman"/>
        <family val="1"/>
        <charset val="204"/>
      </rPr>
      <t xml:space="preserve">  </t>
    </r>
    <r>
      <rPr>
        <sz val="14"/>
        <color theme="1"/>
        <rFont val="Times New Roman"/>
        <family val="1"/>
        <charset val="204"/>
      </rPr>
      <t>Пусть уравнение  SML задано  следующим  равенством</t>
    </r>
    <r>
      <rPr>
        <b/>
        <sz val="14"/>
        <color theme="1"/>
        <rFont val="Times New Roman"/>
        <family val="1"/>
        <charset val="204"/>
      </rPr>
      <t xml:space="preserve"> mi = 0,035 + 0,09betai . Аналитик подсчитал, что коэффициент бета для компании Х равен 0,57, а для компании Y равен 1,6. Каковы должны быть доходности этих активов, чтобы их приобретение можно было считать хорошим вложением средств? (Ответ: покупать активы следует при доходности больше 8,6%, а активы Y – при доходности выше 17,9%)</t>
    </r>
  </si>
  <si>
    <t>betta_X=</t>
  </si>
  <si>
    <t>betta_Y=</t>
  </si>
  <si>
    <t>mu_X=</t>
  </si>
  <si>
    <t>больше 8,6%</t>
  </si>
  <si>
    <t>mu_Y=</t>
  </si>
  <si>
    <t>больше 17,9%</t>
  </si>
  <si>
    <t>16.Акции компаний А и Б имеют следующие характеристики. Написать уравнение однофакторной модели АТР. (Ответ: mui=-5+25betai )</t>
  </si>
  <si>
    <t>25=lambda0+1,2lambda1</t>
  </si>
  <si>
    <t>15=lambda0+0,8lambda1</t>
  </si>
  <si>
    <t>lambda1=</t>
  </si>
  <si>
    <t>lambda2=</t>
  </si>
  <si>
    <t>mu_i=-5+25*betta_i</t>
  </si>
  <si>
    <t>17.Рассмотрим двухфакторную АРТ. Акции компаний А, Б, В, Г имеют характеристики, приведенные в таблице: Определить ожидаемую доходность акции Г, с учетом, что ситуация на рынке относительно этой акции будет стремиться к равновесной. (Ответ: muГ=15,65%)</t>
  </si>
  <si>
    <t>Ожидаемые доходности без учёта равновесного</t>
  </si>
  <si>
    <t>состояния, %</t>
  </si>
  <si>
    <t>Коэффициент чувствительности к рыночному индексу Y</t>
  </si>
  <si>
    <t>19=lambda0+0,2lambda1+1,1lambda2</t>
  </si>
  <si>
    <t>13=lambda0+0,8lambda1+1,4lambda2</t>
  </si>
  <si>
    <t>20=lambda0+1,1lambda1+0,7lambda2</t>
  </si>
  <si>
    <t>delta</t>
  </si>
  <si>
    <t>delta3=</t>
  </si>
  <si>
    <t>B=</t>
  </si>
  <si>
    <t>lambda0=</t>
  </si>
  <si>
    <t>betta_Г=</t>
  </si>
  <si>
    <t>mu_Г=</t>
  </si>
  <si>
    <t>Акция Г переоцена</t>
  </si>
  <si>
    <t>18.Фактическая доходность портфеля равна 28%, стандартное отклонение 19%, ставка без риска 9,5% годовых. Определить коэффициент Шарпа портфеля. (Ответ:0,98)</t>
  </si>
  <si>
    <t>mu_p=</t>
  </si>
  <si>
    <t>sigma_p=</t>
  </si>
  <si>
    <t>K(sharp ratio)=</t>
  </si>
  <si>
    <t>19.Фактическая доходность портфеля А равна 24 %, стандартное отклонение доходности 18 %, доходность и стандартное отклонение портфеля В соответственно равны 27% и 22%, ставка без риска 8% годовых. Определить с помощью коэффициента Шарпа, какой портфель управлялся эффективнее. (Ответ: kSharp ratioA = 0,89)</t>
  </si>
  <si>
    <t>mu_p_A=</t>
  </si>
  <si>
    <t>mu_p_B=</t>
  </si>
  <si>
    <t>sigma_p_A=</t>
  </si>
  <si>
    <t>sigma_p_B=</t>
  </si>
  <si>
    <t>Портфель А управлялся эффективнее</t>
  </si>
  <si>
    <t>20. В начале года размер инвестиций в портфель ценных бумаг составил 35 млн. руб. По окончании первого квартала стоимость портфеля составила 38 млн. руб. На следующий день дополнительно было приобретено ценных бумаг на сумму 4 млн. руб. По окончании второго квартала стоимость портфеля составила 40 млн. руб., и он был увеличен ещё на 3 млн. руб. По окончании третьего квартала стоимость портфеля составила 40 млн. руб., и часть ценных бумаг из его состава на сумму 2 млн. руб. были проданы. В конце года стоимость портфеля составила 47 млн. руб.   Безрисковая   процентная   ставка   равна 7% годовых. Определить коэффициент Шарпа портфеля в годовом исчислении (в    задаче     использовать     выборочное     стандартное     отклонение). (Ответ: kSharp ratio =0,77)</t>
  </si>
  <si>
    <t>квартал</t>
  </si>
  <si>
    <t>увелич</t>
  </si>
  <si>
    <t>нач</t>
  </si>
  <si>
    <t>конец</t>
  </si>
  <si>
    <t>(r-r_avg)^2</t>
  </si>
  <si>
    <t>1+r</t>
  </si>
  <si>
    <t>r_avg</t>
  </si>
  <si>
    <t>1. Дан портфель из трёх бумаг с доходностями mu1 = 20%; mu2 = 40%; mu3 = 50 и ковариационной матрицей</t>
  </si>
  <si>
    <t>А=</t>
  </si>
  <si>
    <t>Найти портфель минимального риска произвольной доходности и портфель минимального риска с    доходностью    mu0 = 40%,    а    также     их     риски.     (Ответ:     X = (0,185; 0,444; 0,370)T;sigma = 47,14%)</t>
  </si>
  <si>
    <t>2.На рынке присутствуют три актива: безрисковый с доходностью 4,5% и два рисковых с ожидаемыми доходностями 8% и 19% с ковариационной матрицей</t>
  </si>
  <si>
    <t>Найти портфель Тобина минимального риска с ожидаемой доходностью 13% и риск этого портфеля. (Ответ: Xf = (xf = 0,019; 0,52; 0,46)T ;  sigma = 18,8%).</t>
  </si>
  <si>
    <t>3.Дано уравнение минимальной границы: sigma = √(2mu^2 − 0,3mu + 0,015) . Безрисковая доходность равна 0,05. Найти ожидаемую доходность и риск касательного портфеля. (Ответ: muT = 15%; sigmaT = 12,25%)</t>
  </si>
  <si>
    <t>4.На рынке присутствуют три актива: безрисковый с доходностью 3% и два рисковых с ожидаемыми доходностями 10% и 25% и ковариационной матрицей. Найти касательный портфель и его ожидаемую доходность и риск. (Ответ: XT = (0,554; 0,446)T ; muT = 16,69%; sigmaT = 20,53%)</t>
  </si>
  <si>
    <t>5.На рынке присутствуют три актива: безрисковый с доходностью 5% и два
рисковых с ожидаемыми доходностями 10% и 25% с ковариационной матрицей</t>
  </si>
  <si>
    <t>Найти портфель Тобина максимальной ожидаемой доходности из всех портфелей риска не более 18% и его доходность. (Ответ: Xf = (xf = 0,323; 0,345; 0,332)T ; mu0 = 13,36%).</t>
  </si>
  <si>
    <t>6.Пусть безрисковая ставка 8%, а ожидаемая рыночная доходность 15%. Если бета betaA актива А равна 1,2 , то какова его ожидаемая доходность? На сколько процентов увеличится ожидаемая доходность, если рыночная доходность увеличится до 17%? (Ответ: увеличится на 3,6%)</t>
  </si>
  <si>
    <t>7.Известно, что в данный момент времени на финансовых рынках сложилась следующая ситуация: доходность государственных облигаций составляет 5%, а средняя рыночная доходность равна 8%. Предположим, что Вы склонны к риску, и Ваша цель сформировать наиболее доходный портфель активов, состоящий из акций трех видов. При этом у акций вида «А» коэффициент beta = 1, у акций вида
«В» и «С» коэффициент beta равен 0,48 и 2,3 соответственно. Кроме того, удельный вес каждой из ценных бумаг в портфеле должен составлять не менее 0,2 каждый. Рассчитайте доходность портфеля, сформированного на подобных условиях. (Ответ: mu = 10,03%).</t>
  </si>
  <si>
    <t>8.Про актив А известно, что его фактическая доходность 7%, а коэффициент бета равен 0,62. Фактическая доходность актива В составила 17,5%, а коэффициент бета в шесть раз больше, чем у актива А. Альфа коэффициенты этих активов равны 0% и -1,8% соответственно. Определить, во сколько раз рыночная доходность больше, чем безрисковая. (Ответ: в 1,87 раз)</t>
  </si>
  <si>
    <t>9. Фактическая доходность портфеля равна 29%, стандартное отклонение 21%, ставка без риска 11% годовых. Определить коэффициент Шарпа портфеля. (Ответ:0,86)</t>
  </si>
  <si>
    <t>10.Фактическая доходность портфеля А равна 23 %, стандартное отклонение доходности 16 %, доходность и стандартное отклонение портфеля В соответственно равны 26% и 21%, ставка без риска 8,5% годовых. Определить с помощью коэффициента Шарпа, какой портфель управлялся эффективнее. (Ответ: kSharp ratioA = 0,9)</t>
  </si>
  <si>
    <t>1. Инвестор купил европейский трехмесячный опцион кол на акцию с ценой исполнения 120 руб. за 3 руб. К моменту окончания контракта спотовая цена акции составила 130 руб. Определите финансовый результат операции для инвестора. (Ответ: 7 руб.)</t>
  </si>
  <si>
    <t>S_T=</t>
  </si>
  <si>
    <t>FV( c)=</t>
  </si>
  <si>
    <t>Здесь цена спот больше цены исполнения, поэтому</t>
  </si>
  <si>
    <t>C_T=max(0;S_T-K)=</t>
  </si>
  <si>
    <t>R=S_T-К-c</t>
  </si>
  <si>
    <t>R=C_T-FV( c)=</t>
  </si>
  <si>
    <t>2.Инвестор купил европейский трехмесячный опцион кол на акцию с ценой исполнения 100 руб. за 7 руб. К моменту окончания контракта спотовая цена акции составила 106 руб. Определите финансовый результат операции для инвестора. (Ответ: -1 руб.)</t>
  </si>
  <si>
    <t>3. Инвестор купил европейский трехмесячный опцион кол на акцию с ценой исполнения 90 руб. за 6 руб. К моменту окончания контракта спотовая цена акции составила 75 руб. Определите финансовый результат операции для инвестора. (Ответ: -6 руб.)</t>
  </si>
  <si>
    <t>Здесь цена спот меньше цены исполнения, поэтому результат равен уплаченной цене т.е есть -6 потому что убыток</t>
  </si>
  <si>
    <t>4. Инвестор купил европейский трехмесячный опцион кол на акцию с ценой исполнения 200 руб. за 5 руб. К моменту окончания контракта спотовая цена акции составила 200 руб. Определите финансовый результат операции для инвестора. (Ответ: -5 руб.)</t>
  </si>
  <si>
    <t>Здесь цена спот равна цене исполнения, поэтому результат равен уплаченной цене т.е есть -5 потому что убыток</t>
  </si>
  <si>
    <t>5. Инвестор купил европейский трехмесячный опцион кол на акцию с ценой исполнения 255 руб. за 21 руб. К моменту окончания контракта спотовая цена акции составила 272 руб. Определите финансовый результат операции для инвестора. (Ответ: -9 руб.)</t>
  </si>
  <si>
    <t>Я НЕ ЗНАЮ ЧЕ ТАКОЕ, ЭТО ОДНОТИПНЫЕ ЗАДАЧИ, МБ В ОТВЕТЕ ОШИБКА</t>
  </si>
  <si>
    <t>и двумя способами вот так</t>
  </si>
  <si>
    <t>6.  Инвестор купил европейский трехмесячный опцион колл на акцию с ценой исполнения 250 руб. за 25 руб. К моменту окончания контракта спотовая цена акции составила 237 руб. Определите финансовый результат операции для инвестора. (Ответ: -25 руб.)</t>
  </si>
  <si>
    <t>Здесь цена спот меньше цены исполнения, поэтому результат равен уплаченной цене т.е есть -25 потому что убыток</t>
  </si>
  <si>
    <t>7.  Инвестор продал европейский трехмесячный опцион колл на акцию с ценой исполнения 160 руб. за 18 руб. К моменту окончания контракта спотовая цена акции составила 190 руб. Определите финансовый результат операции для инвестора. (Ответ: -12 руб.)</t>
  </si>
  <si>
    <t>R=-(S_T-К)+c</t>
  </si>
  <si>
    <t>R=-(S_T-X)+c</t>
  </si>
  <si>
    <t>8.  Инвестор продал европейский трехмесячный опцион колл на акцию с ценой исполнения 270 руб. за 40 руб. К моменту окончания контракта спотовая цена акции составила 295 руб. Определите финансовый результат операции для инвестора. (Ответ: 15 руб.)</t>
  </si>
  <si>
    <t>9.  Инвестор купил европейский трехмесячный опцион пут на акцию с ценой исполнения 110 руб. за 20 руб. К моменту окончания контракта спотовая цена акции составила 76 руб. Определите финансовый результат операции для инвестора. (Ответ: 14 руб.)</t>
  </si>
  <si>
    <t>FV( p)=</t>
  </si>
  <si>
    <t>P_T=max(0;K-S_T)=</t>
  </si>
  <si>
    <t>R=P_T-FV( p)=</t>
  </si>
  <si>
    <t>10.  Инвестор купил европейский трехмесячный опцион пут на акцию с ценой исполнения 100 руб. за 5 руб. К моменту окончания контракта спотовая цена акции составила 98 руб. Определите финансовый результат операции для инвестора. (Ответ: -3 руб.)</t>
  </si>
  <si>
    <t>11.  Инвестор продал европейский трехмесячный опцион пут на акцию с ценой исполнения 84 руб. за 12 руб. К моменту окончания контракта спотовая цена акции составила 98 руб. Определите финансовый результат операции для инвестора. (Ответ: 12 руб.)</t>
  </si>
  <si>
    <t>Опцион пут не исполняется, если к моменту истечения контракта цена спот больше цены исполнения, поэтому прибыль равно цене исполнения</t>
  </si>
  <si>
    <t>12.  Инвестор продал европейский трехмесячный опцион пут на акцию с ценой исполнения 200 руб. за 25 руб. К моменту окончания контракта спотовая цена акции составила 180 руб. Определите финансовый результат операции для инвестора. (Ответ: 5 руб.)</t>
  </si>
  <si>
    <t>Опцион пут исполняется, т.к. цена спот меньше цены исполнения, поэтому R=-(K-S_T)+p</t>
  </si>
  <si>
    <t>R=-(K-S_T)+p</t>
  </si>
  <si>
    <t>а) 180 руб.</t>
  </si>
  <si>
    <t>13.    Инвестор купил европейский опцион колл на акцию с ценой исполнения 185 руб. за 7 руб. Опцион истекает через 2 месяца. Безрисковая процентная ставка равна 5% годовых. Определите финансовый результат для инвестора, если рыночная цена акции в момент истечения контракта равна</t>
  </si>
  <si>
    <t>б) 185 руб.</t>
  </si>
  <si>
    <t>в) 190 руб.</t>
  </si>
  <si>
    <t>г) 195 руб.</t>
  </si>
  <si>
    <t>д) 192,06 руб.</t>
  </si>
  <si>
    <r>
      <t>(</t>
    </r>
    <r>
      <rPr>
        <b/>
        <sz val="12"/>
        <color theme="1"/>
        <rFont val="Calibri"/>
        <family val="2"/>
        <charset val="204"/>
        <scheme val="minor"/>
      </rPr>
      <t>Ответ</t>
    </r>
    <r>
      <rPr>
        <sz val="12"/>
        <color theme="1"/>
        <rFont val="Calibri"/>
        <family val="2"/>
        <charset val="204"/>
        <scheme val="minor"/>
      </rPr>
      <t>: а) -7,06 б) -7,06 в) -2,06 г) 2,94 д) 0)</t>
    </r>
  </si>
  <si>
    <t>Eвроп опцион колл (для покупателя)</t>
  </si>
  <si>
    <t>14.Инвестор купил европейский опцион пут на акцию с ценой исполнения 235 руб. за 9 руб. Опцион истекает через 4 месяца. Безрисковая процентная ставка равна 6% годовых. Определите финансовый результат для инвестора, если рыночная цена акции в момент истечения контракта равна а) 240 руб.</t>
  </si>
  <si>
    <t>б) 235 руб.</t>
  </si>
  <si>
    <t>в) 230 руб.</t>
  </si>
  <si>
    <t>г) 225 руб.</t>
  </si>
  <si>
    <t>д) 225,82 руб.</t>
  </si>
  <si>
    <r>
      <t>(</t>
    </r>
    <r>
      <rPr>
        <b/>
        <sz val="12"/>
        <color theme="1"/>
        <rFont val="Calibri"/>
        <family val="2"/>
        <charset val="204"/>
        <scheme val="minor"/>
      </rPr>
      <t>Ответ</t>
    </r>
    <r>
      <rPr>
        <sz val="12"/>
        <color theme="1"/>
        <rFont val="Calibri"/>
        <family val="2"/>
        <charset val="204"/>
        <scheme val="minor"/>
      </rPr>
      <t>: а) -9,18 б) -9,18 в) -4,18 г) 0,82 д) 0 )</t>
    </r>
  </si>
  <si>
    <t>Eвроп опцион пут (для покупателя)</t>
  </si>
  <si>
    <t>15.Инвестор купил европейский опцион колл на акцию с ценой исполнения 160 руб. за 5,50 руб. Опцион истекает через 3 месяца. Безрисковая процентная ставка равна 6% годовых. Определите финансовый результат для инвестора, если рыночная цена акции в момент истечения контракта равна</t>
  </si>
  <si>
    <t>а) 165 руб.</t>
  </si>
  <si>
    <t>б) 154 руб.</t>
  </si>
  <si>
    <t>в) 160 руб.</t>
  </si>
  <si>
    <t>г) 170 руб.</t>
  </si>
  <si>
    <t>д) 165,50 руб.</t>
  </si>
  <si>
    <r>
      <t>(</t>
    </r>
    <r>
      <rPr>
        <b/>
        <sz val="12"/>
        <color theme="1"/>
        <rFont val="Calibri"/>
        <family val="2"/>
        <charset val="204"/>
        <scheme val="minor"/>
      </rPr>
      <t>Ответ</t>
    </r>
    <r>
      <rPr>
        <sz val="12"/>
        <color theme="1"/>
        <rFont val="Calibri"/>
        <family val="2"/>
        <charset val="204"/>
        <scheme val="minor"/>
      </rPr>
      <t>: а) -0,58 б) -5,58 в) -5,58 г) 4,42 д) -0,08 )</t>
    </r>
  </si>
  <si>
    <t>б) 210 руб.</t>
  </si>
  <si>
    <t>16.Инвестор купил европейский опцион пут на акцию с ценой исполнения 210 руб. за 8 руб. Опцион истекает через 6 месяцев. Безрисковая процентная ставка равна 6,5% годовых. Определите финансовый результат для инвестора, если рыночная цена акции в момент истечения контракта равна а) 220 руб.</t>
  </si>
  <si>
    <t>в) 205 руб.</t>
  </si>
  <si>
    <t>г) 200 руб.</t>
  </si>
  <si>
    <t>д) 201,50 руб.</t>
  </si>
  <si>
    <r>
      <t>(</t>
    </r>
    <r>
      <rPr>
        <b/>
        <sz val="12"/>
        <color theme="1"/>
        <rFont val="Calibri"/>
        <family val="2"/>
        <charset val="204"/>
        <scheme val="minor"/>
      </rPr>
      <t>Ответ</t>
    </r>
    <r>
      <rPr>
        <sz val="12"/>
        <color theme="1"/>
        <rFont val="Calibri"/>
        <family val="2"/>
        <charset val="204"/>
        <scheme val="minor"/>
      </rPr>
      <t>: а) -8,26 б) -8,26 в) -3,26 г) 1,74 д) 0,24 )</t>
    </r>
  </si>
  <si>
    <t>а) 175 руб.</t>
  </si>
  <si>
    <t>17. Инвестор продал европейский опцион колл на акцию с ценой исполнения 150 руб. за 6 руб. Опцион истекает через 8 месяцев. Безрисковая процентная ставка равна 4% годовых. Определите финансовый результат для инвестора, если рыночная цена акции в момент истечения контракта равна</t>
  </si>
  <si>
    <t>б) 165 руб.</t>
  </si>
  <si>
    <t>в) 155 руб.</t>
  </si>
  <si>
    <t>г) 150 руб.</t>
  </si>
  <si>
    <t>д) 145,06 руб.</t>
  </si>
  <si>
    <r>
      <t>(</t>
    </r>
    <r>
      <rPr>
        <b/>
        <sz val="12"/>
        <color theme="1"/>
        <rFont val="Calibri"/>
        <family val="2"/>
        <charset val="204"/>
        <scheme val="minor"/>
      </rPr>
      <t>Ответ</t>
    </r>
    <r>
      <rPr>
        <sz val="12"/>
        <color theme="1"/>
        <rFont val="Calibri"/>
        <family val="2"/>
        <charset val="204"/>
        <scheme val="minor"/>
      </rPr>
      <t>: а) -18,84 б) -8,84 в) 1,16 г) 6,16 д) 6,16 )</t>
    </r>
  </si>
  <si>
    <t>Eвроп опцион колл (для продавца)</t>
  </si>
  <si>
    <t>R=FV( c)-C_T=</t>
  </si>
  <si>
    <t>18.Инвестор продал европейский опцион пут на акцию с ценой исполнения 255 руб. за 7 руб. 50 коп. Опцион истекает через 5 месяцев. Безрисковая процентная ставка равна 5,5% годовых. Определите финансовый результат для инвестора, если рыночная цена акции в момент истечения контракта равна</t>
  </si>
  <si>
    <t>а) 225 руб.</t>
  </si>
  <si>
    <t>б) 250 руб.</t>
  </si>
  <si>
    <t>в) 255 руб.</t>
  </si>
  <si>
    <t>г) 270 руб.</t>
  </si>
  <si>
    <t>д) 248 руб.</t>
  </si>
  <si>
    <r>
      <t>(</t>
    </r>
    <r>
      <rPr>
        <b/>
        <sz val="14"/>
        <color theme="1"/>
        <rFont val="Times New Roman"/>
        <family val="1"/>
        <charset val="204"/>
      </rPr>
      <t>Ответ</t>
    </r>
    <r>
      <rPr>
        <sz val="14"/>
        <color theme="1"/>
        <rFont val="Times New Roman"/>
        <family val="1"/>
        <charset val="204"/>
      </rPr>
      <t xml:space="preserve">: </t>
    </r>
    <r>
      <rPr>
        <sz val="15"/>
        <color theme="1"/>
        <rFont val="Times New Roman"/>
        <family val="1"/>
        <charset val="204"/>
      </rPr>
      <t xml:space="preserve">а) -22,33 б) 2,67 в) 7,67 г) 7,67 д) 0,67 </t>
    </r>
    <r>
      <rPr>
        <sz val="14"/>
        <color theme="1"/>
        <rFont val="Times New Roman"/>
        <family val="1"/>
        <charset val="204"/>
      </rPr>
      <t>)</t>
    </r>
  </si>
  <si>
    <t>Eвроп опцион пут (для продавца)</t>
  </si>
  <si>
    <t>R=FV( p)-P_T=</t>
  </si>
  <si>
    <t>19.Корпорация купила за 65000 руб. пут опцион на некоторый актив с ценой исполнения равной 1300000 руб. и датой исполнения, наступающей через четыре месяца. Процентная ставка постоянна, начисляется непрерывно и равна 8%. Чему равна прибыль, которую получит корпорация (в рублях), если цена актива к моменту исполнения станет равной 870000 руб.? (Ответ: 363243,3487 руб.)</t>
  </si>
  <si>
    <t>20. Инвестор купил акцию за 180 руб. Для того, чтобы защитить себя от падения цены акции, он купил европейский опцион пут с ценой исполнения K за 5 руб. Время до исполнения опциона – 3 месяца, безрисковая процентная ставка равна 6% годовых. Определите финансовый результат для инвестора, если цена исполнения опциона K равна 1) 200 руб., 2) 185 руб., 3) 175 руб., а рыночная цена акции в момент истечения контракта равна а) 220 руб. б) 185 руб. в) 180 руб. г) 175 руб. д) 50 руб. 4) Сравните эти результаты со случаем простой покупки акции и нарисуйте графики.</t>
  </si>
  <si>
    <r>
      <t>(</t>
    </r>
    <r>
      <rPr>
        <b/>
        <sz val="14"/>
        <color theme="1"/>
        <rFont val="Times New Roman"/>
        <family val="1"/>
        <charset val="204"/>
      </rPr>
      <t>Ответ</t>
    </r>
    <r>
      <rPr>
        <sz val="14"/>
        <color theme="1"/>
        <rFont val="Times New Roman"/>
        <family val="1"/>
        <charset val="204"/>
      </rPr>
      <t xml:space="preserve">: </t>
    </r>
    <r>
      <rPr>
        <sz val="15"/>
        <color theme="1"/>
        <rFont val="Times New Roman"/>
        <family val="1"/>
        <charset val="204"/>
      </rPr>
      <t>1) а) 32,22 б) 12,22 в) 12,22 г) 12,22 д) 12,22</t>
    </r>
  </si>
  <si>
    <t>2) а) 32,22 б) -2,78 в) -2,78 г) -2,78 д) -2,78</t>
  </si>
  <si>
    <r>
      <t>3) а) 32,22 б) -2,78 в) -7,78 г) -12,78 д) -12,78</t>
    </r>
    <r>
      <rPr>
        <sz val="14"/>
        <color theme="1"/>
        <rFont val="Times New Roman"/>
        <family val="1"/>
        <charset val="204"/>
      </rPr>
      <t>)</t>
    </r>
  </si>
  <si>
    <t>S0=</t>
  </si>
  <si>
    <t>FV(S0+p)=(S0+p)*(1+r*T/12)=</t>
  </si>
  <si>
    <t>max(K;S_T)=</t>
  </si>
  <si>
    <t>R=max(K;S_T)-FV(S0+p)=</t>
  </si>
  <si>
    <t>21. Инвестор осуществил короткую продажу акции за 140 руб. Для того, чтобы защитить себя от подъема цены акции, он купил европейский опцион колл с ценой исполнения K за 5 руб. Время до исполнения опциона – 6 месяцев, безрисковая процентная ставка равна 4% годовых. Определите финансовый результат для инвестора, если цена исполнения опциона K равна 1) 150 руб., 2) 140 руб., 3) 130 руб., а рыночная цена акции в момент истечения контракта равна а) 130 руб. б) 140 руб. в) 150 руб. г) 160 руб. 4) Сравните эти результаты со случаем простой короткой продажи акции и нарисуйте графики. (Ответ: 1) а) 7,7 б) -2,3 в) -12,3 г) -12,3 2) а) 7,7 б) -2,3 в) -2,3 г) -2,3 3) а) 7,7 б) 7,7 в) 7,7 г) 7,7)</t>
  </si>
  <si>
    <t>FV(s0-c)=</t>
  </si>
  <si>
    <t>min(S_T;K)=</t>
  </si>
  <si>
    <t>R=FV(S0-c)-min(S_T;K)=</t>
  </si>
  <si>
    <t>22. 1) Инвестор продал европейский опцион колл с ценой исполнения 95 руб. за 6 руб. Для того, чтобы защитить себя от подъема цены акции, он купил ее за 90 руб. Опцион истекает через 6 месяцев, безрисковая процентная ставка равна 4% годовых. Определите финансовый результат для инвестора, если рыночная цена акции в момент истечения контракта равна а) 85 руб. б) 85,68 руб. в) 90 руб. г) 95 руб. д) 100 руб. е) 120 руб. 2) Сравните эти результаты со случаем простой продажи опциона колл и со случаем простой покупки акции и нарисуйте графики. (Ответ: 1) а) -0,68 б) 0 в) 4,32 г) 9,32 д) 9,32 е) 9,32</t>
  </si>
  <si>
    <t>R=min(S_T;K)-FV(S0-c)=</t>
  </si>
  <si>
    <t>23.Инвестор продал европейский опцион пут с ценой исполнения 125 руб. за 8 руб. Для того, чтобы защитить себя от падения цены акции, он осуществил короткую продажу акции за 130 руб. Опцион истекает через 6 месяцев, безрисковая процентная ставка равна 7% годовых. Определите финансовый результат для инвестора, если рыночная цена акции в момент истечения контракта равна а) 142,7 руб. б) 120 руб. в) 125 руб. г) 129 руб. (Ответ: а) 0,13 б) 17,83 в) 13,38 г) 9,38</t>
  </si>
  <si>
    <t>24.Цена исполнения европейского опциона колл равна 240 руб., а цена акции непосредственно перед моментом исполнения опциона равна 252 руб. 1) Какова цена опциона в случае безарбитражности рынка? 2)  Если цена опциона 9 руб., каковы действия и доход арбитражера? 3)  Если цена опциона 14 руб., каковы действия и доход арбитражера? (Ответ: 1) 12 2) 3 3) 2 )</t>
  </si>
  <si>
    <r>
      <t xml:space="preserve">25. </t>
    </r>
    <r>
      <rPr>
        <sz val="14"/>
        <color theme="1"/>
        <rFont val="Times New Roman"/>
        <family val="1"/>
        <charset val="204"/>
      </rPr>
      <t>Цена исполнения европейского опциона пут равна 218 руб., а цена акции непосредственно перед моментом исполнения опциона равна 212 руб.</t>
    </r>
    <r>
      <rPr>
        <b/>
        <sz val="14"/>
        <color theme="1"/>
        <rFont val="Times New Roman"/>
        <family val="1"/>
        <charset val="204"/>
      </rPr>
      <t xml:space="preserve"> 1)  Какова цена опциона в случае безарбитражности рынка? 2)   Если цена опциона 7 руб., каковы действия и доход арбитражера? 3)   Если цена опциона 5 руб., каковы действия и доход арбитражера? (Ответ: 1) 6 2) 1 3) 1 )</t>
    </r>
  </si>
  <si>
    <t>26. Текущая цена акции – 250 руб. Цена европейского опциона колл на эту акцию – 15 руб. Цена исполнения опциона – 250 руб., опцион истекает через 9 месяцев. Безрисковая процентная ставка – 6% годовых.1) Найдите цену европейского опциона пут на эту же акцию с той же ценой исполнения и датой исполнения. 2)   Если цена опциона пут 6 руб., каковы действия и доход арбитражёра? 3)   Если цена опциона пут 3 руб., каковы действия и доход арбитражёра?(Ответ: 1) 4,235; 2) 1,85; 3) 1,29)</t>
  </si>
  <si>
    <t>27. Предположим, что европейские опционы пут и колл на одну и ту же акцию истекают одновременно через 6 месяцев с ценой исполнения 120 руб. Опцион пут на 3,50 руб. дороже, чем опцион колл. Безрисковая процентная ставка 20% годовых. Найдите текущую цену акции, лежащей в основе опционов. (Ответ: 105,59)</t>
  </si>
  <si>
    <t>28. Европейские опционы колл и пут на одну и ту же акцию истекают одновременно через несколько лет с ценой исполнения 125 руб. Текущая цена акции – 110 руб. Опцион колл стоит на 0,35 руб. дороже, чем опцион пут. Безрисковая процентная ставка – 5,5% годовых. Найдите число лет до истечения опционов. (Ответ: 2, 45)</t>
  </si>
  <si>
    <t>29. Европейский опцион колл на акцию, по которой не выплачиваются дивиденды, истекает через один месяц. Цена исполнения опциона – 65 руб., текущая цена акции – 75 руб. Через месяц предполагается, что цена акции либо возрастет до 95 руб., либо упадет до 63 руб. Безрисковая процентная ставка – 6% годовых. Найдите текущую цену опциона колл. (Ответ: 11,54)</t>
  </si>
  <si>
    <t>uS=</t>
  </si>
  <si>
    <t>dS=</t>
  </si>
  <si>
    <t>r1=r/12=</t>
  </si>
  <si>
    <t>d=(1-l/100)=dS/S=</t>
  </si>
  <si>
    <t>u=(1+g/100)=uS/S=</t>
  </si>
  <si>
    <t>cu=max(0;uS-K)=</t>
  </si>
  <si>
    <t>cd=max(0;dS-K)=</t>
  </si>
  <si>
    <t>30. Европейский опцион колл на акцию, по которой не выплачиваются дивиденды, истекает через три месяца. Цена исполнения опциона – 250 руб., текущая цена акции – 260 руб. Через три месяца предполагается, что цена акции либо возрастет до 275 руб., либо упадет до 245 руб. Безрисковая процентная ставка – 8% годовых. Найдите текущую цену опциона колл. (Ответ: 16,50)</t>
  </si>
  <si>
    <t>31. Европейский опцион пут на акцию, по которой не выплачиваются дивиденды, истекает через шесть месяцев. Цена исполнения опциона – 220 руб., текущая цена акции – 200 руб. В момент истечения опциона предполагается, что цена акции либо возрастет на 15% руб., либо упадет на 20% руб. Безрисковая процентная ставка – 8% годовых. Найдите текущую цену опциона пут. (Ответ: 18,13)</t>
  </si>
  <si>
    <t>g=</t>
  </si>
  <si>
    <t>l=</t>
  </si>
  <si>
    <t>u=1+g=</t>
  </si>
  <si>
    <t>d=1-l=</t>
  </si>
  <si>
    <t>Через год</t>
  </si>
  <si>
    <t>r1=r/12</t>
  </si>
  <si>
    <t>pu=max(0;K-uS)=</t>
  </si>
  <si>
    <t>pd=max(0;K-dS)=</t>
  </si>
  <si>
    <t>числ=</t>
  </si>
  <si>
    <t>знам=</t>
  </si>
  <si>
    <t>32. Текущая цена акции 145 руб. каждый год она может подняться на 46,2% или упасть на 19,7%. По акции не выплачиваются дивиденды, безрисковая процентная ставка – 8% годовых. Найдите текущую цену двухлетнего европейского опциона колл на эту акцию с ценой исполнения 140 руб. (Ответ: 38,37)</t>
  </si>
  <si>
    <t>33.Текущая цена актива равна 8000 руб. Волатильность актива равна 20% годовых. Процентная ставка постоянна, начисляется непрерывно и равна 7% годовых. В рамках однопериодной модели ценообразования опционов вычислить текущую стоимость опциона пут на этот актив, выраженную в рублях, цена исполнения которого 7800 руб. (Ответ: волатильность – изменчивость доходности актива, определяемая на основе статистических данных; 431,01)</t>
  </si>
  <si>
    <t>r1=exp(delta)-1</t>
  </si>
  <si>
    <t>u=exp(sigma)=</t>
  </si>
  <si>
    <t>d=exp(-sigma)=</t>
  </si>
  <si>
    <t>pu=</t>
  </si>
  <si>
    <t>pd=</t>
  </si>
  <si>
    <t>34.Цена акции S(t) в текущий момент времени t равна 1600 руб., а её волантильность sigma =20%. Процентная ставка постоянна, начисляется непрерывнои равна 7%, а множители u и d вычисляются по формулам u = e*sigma√Δt, d = 1. В рамках однопериодной биномиальной модели вычислите текущую цену C(t) трёхмесячного колл опциона с ценой исполнения 1620 руб. (Ответ: 115,71).</t>
  </si>
  <si>
    <t>T=t/12=</t>
  </si>
  <si>
    <t>Ф(d1)=</t>
  </si>
  <si>
    <t>Ф(d2)=</t>
  </si>
  <si>
    <t>35.Текущая цена акции 650 руб., стандартное отклонение доходности акции 0,2 и по акции не выплачиваются дивиденды. Найдите цену европейского опциона колл с ценой исполнения 550 руб. и временем до истечения опционного контракта 4 месяца. Непрерывно начисляемая безрисковая процентная ставка 0,07. (Ответ: 114,1)</t>
  </si>
  <si>
    <t>36.Текущая цена акции 900 руб., стандартное отклонение доходности 0,4, по акции не выплачиваются дивиденды. Найдите цену европейского опциона колл на эту акцию, если цена его исполнения 1000 руб., время до истечения 6 месяцев, а безрисковая непрерывно начисляемая процентная ставка 0,08. (Ответ: 77,00)</t>
  </si>
  <si>
    <t>37.В условиях предыдущей задачи найдите цену европейского опциона пут с той же ценой исполнения и временем до истечения опционного контракта. (Ответ: 137,79)</t>
  </si>
  <si>
    <t>38. Инвестор купил европейский трехмесячный опцион кол на акцию с ценой исполнения 143 руб. за 4 руб. К моменту окончания контракта спотовая цена акции составила 150 руб. Определите финансовый результат операции для инвестора. (Ответ: 3 руб.)</t>
  </si>
  <si>
    <t>39. Инвестор купил европейский трехмесячный опцион кол на акцию с ценой исполнения 78 руб. за 10 руб. К моменту окончания контракта спотовая цена акции составила 62 руб. Определите финансовый результат операции для инвестора. (Ответ: -10 руб.)</t>
  </si>
  <si>
    <t>40. Инвестор купил европейский трехмесячный опцион пут на акцию с ценой исполнения 127 руб. за 28 руб. К моменту окончания контракта спотовая цена акции составила 82 руб. Определите финансовый результат операции для инвестора. (Ответ: 17 руб.)</t>
  </si>
  <si>
    <t>41. Инвестор продал европейский трехмесячный опцион пут на акцию с ценой исполнения 164 руб. за 15 руб. К моменту окончания контракта спотовая цена акции составила 176 руб. Определите финансовый результат операции для инвестора. (Ответ: 15 руб.)</t>
  </si>
  <si>
    <t>42. Инвестор купил европейский опцион колл на акцию с ценой исполнения 218 руб. за 7 руб. Опцион истекает через 3 месяца. Безрисковая процентная ставка равна 6% годовых. Определите финансовый результат для инвестора, если рыночная цена акции в момент истечения контракта равна а) 197 руб. б) 230 руб. в) 220 руб. г) 218 руб. (Ответ: а) -7,1 б) 4,9 в) -5,1 г) -7,1</t>
  </si>
  <si>
    <t>43. Инвестор продал европейский опцион колл на акцию с ценой исполнения 183 руб. за 9 руб. Опцион истекает через 7 месяцев. Безрисковая процентная ставка равна 5 годовых. Определите финансовый результат для инвестора, если рыночная цена акции в момент истечения контракта равна а) 190 руб. б) 205 руб. в) 185 руб. г) 183 руб. д) 181,5 руб. (Ответ: а) 2,26 б) -12,74 в) 7,26 г) 9,26 д) 9,26 )</t>
  </si>
  <si>
    <t>44. Корпорация купила за 50000 руб. пут опцион на некоторый актив с ценой исполнения равной 510000 руб. и датой исполнения, наступающей через три месяца. Процентная ставка постоянна, начисляется непрерывно и равна 6%. Чему равна прибыль, которую получит корпорация (в рублях), если цена актива к моменту исполнения станет равной 430000 руб.? (Ответ: 29244,3468 руб.)</t>
  </si>
  <si>
    <t>45. 1) Инвестор продал европейский опцион пут с ценой исполнения 105 руб. за 4 руб. Для того, чтобы защитить себя от падения цены акции, он осуществил короткую продажу акции за 110 руб. Опцион истекает через 3 месяца, безрисковая процентная ставка равна 5% годовых. Определите финансовый результат для инвестора, если рыночная цена акции в момент истечения контракта равна а) 115,43 руб. б) 110 руб. в) 105 руб. г) 100 руб. 2) Сравните эти результаты со случаем простой продажи опциона пут и со случаем простой короткой продажи акции и нарисуйте графики. (Ответ: 1) а) 0 б) 5,43 в) 10,43 г) 15,43 2) а) 4,05 б) 4,05 в) 4,05 г) -0,95 3) а) -4,05 б) 1,38 в) 6,38 г) 11,38)</t>
  </si>
  <si>
    <t>X</t>
  </si>
  <si>
    <t>ПростаяПродажа</t>
  </si>
  <si>
    <t>ПростаяКороткаяПродажа</t>
  </si>
  <si>
    <t>ПродажаОпционаПутСОсуществлениемКороткойПродажи</t>
  </si>
  <si>
    <t>FV(s0+p)=</t>
  </si>
  <si>
    <t>P_T=max(S_T;K)=</t>
  </si>
  <si>
    <t>R=FV(S0+p) - max(S_T;K)=</t>
  </si>
  <si>
    <t>46. Инвестор купил акцию за 500 руб. Для того, чтобы защитить себя от падения цены акции, он купил европейский опцион пут с ценой исполнения K за 50 руб. Время до исполнения опциона – 4 месяца, безрисковая процентная ставка равна 9% годовых. Определите финансовый результат для инвестора, если цена исполнения опциона K равна 1) 600 руб., 2) 400 руб., а рыночная цена акции в момент истечения контракта равна а) 440 руб. б) 560 руб. в) 700 руб. г) 300 руб. д) 650 руб. 4) Сравните эти результаты со случаем простой покупки акции и нарисуйте графики. (Ответ: 1) а) 33,5 б) 33,5 в) 133,5 г) 33,5 д) 83,5)</t>
  </si>
  <si>
    <t>K=600</t>
  </si>
  <si>
    <t>FV(SO)=</t>
  </si>
  <si>
    <t>РыночнаяЦенаАкции</t>
  </si>
  <si>
    <t>ПростаяПокупкаАкции</t>
  </si>
  <si>
    <t>Опцион</t>
  </si>
  <si>
    <t>K=400</t>
  </si>
  <si>
    <t>max(S_T;K)=</t>
  </si>
  <si>
    <t>R=max(S_T;K) - FV(S0+p)=</t>
  </si>
  <si>
    <t>47. Инвестор продал европейский опцион пут с ценой исполнения 167 руб. за 14 руб. Для того, чтобы защитить себя от падения цены акции, он осуществил короткую продажу акции за 150 руб. Опцион истекает через 6 месяцев, безрисковая процентная ставка равна 8% годовых. Определите финансовый результат для инвестора, если рыночная цена акции в момент истечения контракта равна 160 руб. (Ответ: 3,56)</t>
  </si>
  <si>
    <t>R=min(S_T;K) - FV(S0-p)=</t>
  </si>
  <si>
    <t>48. Текущая цена актива равна 800$. Предполагается, что месяц спустя цена актива может быть равна 760$ или 840$. Процентная ставка постоянна, выполняется непрерывно и равна 8% годовых. В рамках однопериодной модели ценообразования опционов вычислить текущую стоимость месячного колл опциона на этот актив, цена исполнения которого равна 820$. (Ответ: теоретическая цена опциона 11,26$)</t>
  </si>
  <si>
    <t>49. Текущая цена актива равна 5000 руб. За год его стоимость может повыситься на 15% или понизиться на 10%. Изменения стоимости актива происходят дважды в год. Безрисковая годовая ставка равна 10%. Цена исполнения опциона «колл» со сроком исполнения в конце года равна 5200 руб. Вычислите величину премии за опцион, выраженную в рублях. (Ответ: 404,72 руб.)</t>
  </si>
  <si>
    <t>r1=(1+r)^0,5-1</t>
  </si>
  <si>
    <t>q_u=</t>
  </si>
  <si>
    <t>q_d=</t>
  </si>
  <si>
    <t>50. Текущая цена акции 200 руб. каждый год она может подняться на 12% или упасть на 9%. По акции не выплачиваются дивиденды, безрисковая процентная ставка – 6% годовых. Найдите текущую цену трехлетнего европейского опциона колл на эту акцию с ценой исполнения 220 руб. (Ответ: 21,71)</t>
  </si>
  <si>
    <t>u=</t>
  </si>
  <si>
    <t>C(i,n)</t>
  </si>
  <si>
    <t>q_u^i</t>
  </si>
  <si>
    <t>q_d^(n-i)</t>
  </si>
  <si>
    <t>max(u^I*d^(n-i)S-K,0)</t>
  </si>
  <si>
    <t>произв</t>
  </si>
  <si>
    <t>сумм</t>
  </si>
  <si>
    <t>51. Текущая цена акции 1000 руб., стандартное отклонение доходности 0,4, по акции не выплачиваются дивиденды. Найдите цену европейского опциона колл на эту акцию, если цена его исполнения 900 руб., время до истечения 6 месяцев, а безрисковая непрерывно начисляемая процентная ставка 0,08. (Ответ: 185,93)</t>
  </si>
  <si>
    <t>с=</t>
  </si>
  <si>
    <t>52. В условиях предыдущей задачи найдите цену европейского опциона пут с той же ценой исполнения и временем до истечения опционного контракта. (Ответ: 50,64)</t>
  </si>
  <si>
    <t>53. Текущая цена актива равна 6000 руб. Цена исполнения квартального пут опциона на этот актив 5900 руб. Волатильность актива равна 25% годовых. Процентная ставка постоянна, начисляется непрерывно и равна 8% годовых. В рамках однопериодной модели ценообразования опционов вычислить текущую стоимость опциона, выраженную в рублях. (Ответ: 91,47)</t>
  </si>
  <si>
    <t>r1=</t>
  </si>
  <si>
    <t>cu=max(0;K-uS)=</t>
  </si>
  <si>
    <t>cd=max(0;K-dS)=</t>
  </si>
  <si>
    <t>54. Инвестор купил европейский трехмесячный опцион кол на акцию с ценой исполнения 102 руб. за 8 руб. К моменту окончания контракта спотовая цена акции составила 10 руб. Определите финансовый результат операции для инвестора. (Ответ: -2 руб.)</t>
  </si>
  <si>
    <t>55. Инвестор купил европейский трехмесячный опцион пут на акцию с ценой исполнения 130 руб. за 35 руб. К моменту окончания контракта спотовая цена акции составила 92 руб. Определите финансовый результат операции для инвестора. (Ответ: 3 руб.)</t>
  </si>
  <si>
    <t>56. Инвестор продал европейский трехмесячный опцион пут на акцию с ценой исполнения 142 руб. за 19 руб. К моменту окончания контракта спотовая цена акции составила 178 руб. Определите финансовый разультат операции для инвестора (ответ:19 руб)</t>
  </si>
  <si>
    <t>57. Инвестор купил акцию за 520 руб. Для того, чтобы защитить себя от падения цены акции, он купил европейский опцион пут с ценой исполнения K=450 руб. за 80 руб. Время до исполнения опциона – 7 месяцев, безрисковая процентная ставка равна 8% годовых. Определите финансовый результат для инвестора, если рыночная цена акции в момент истечения контракта равна
а) 510 руб. б) 900 руб. в) 530 руб. г) 700 руб.
4) Сравните эти результаты со случаем простой покупки акции и нарисуйте графики.
(Ответ: 1) а) -118 б) 272 в) -98 г) 72)</t>
  </si>
  <si>
    <t>58.Инвестор продал европейский опцион пут с ценой исполнения 220 руб. за 15 руб. Для того, чтобы защитить себя от падения цены акции, он осуществил короткую продажу акции за 270 руб. Опцион истекает через 5 месяцев, безрисковая процентная ставка равна 5% годовых. Определите финансовый результат для инвестора, если рыночная цена акции в момент истечения контракта равна 218 руб. (Ответ: 70,94)</t>
  </si>
  <si>
    <t>1. Рыночная цена 15-процентной облигации номиналом 8000 руб. за 3 года до погашения равна 7800 руб. Найдите текущую стоимость облигации при процентной ставке: а) 12%, б) 15%, в) 18% и ее курс. (Ответ: а) 8576,44 руб., б) 8000 руб.; в) 7748,17 руб.)</t>
  </si>
  <si>
    <t>это курс если надо будет</t>
  </si>
  <si>
    <t>5.Найти доходность к погашению следующей облигации. Период обращения
n = 10	лет ,номинальная стоимость N = 1000 у.е., ежегодные купонные выплаты cN = 50, рыночная цена V = 900 у.е. (Ответ: 6,35%)</t>
  </si>
  <si>
    <t>T=p*n</t>
  </si>
  <si>
    <t xml:space="preserve">t= </t>
  </si>
  <si>
    <t>r_p=(1+r/k)^(k/p)-1</t>
  </si>
  <si>
    <t>r/2</t>
  </si>
  <si>
    <t>P_T полн=(1/(1+r_p)^t)*(C_p+C_p/(1+r_p)+(C_p+N)/(1+r_p)^2)</t>
  </si>
  <si>
    <t>Act=C_p*m</t>
  </si>
  <si>
    <t>P_T чист = P_T полн - Act</t>
  </si>
  <si>
    <t>дробная часть от числа выше</t>
  </si>
  <si>
    <t>А ЭТО РЕШЕНИЕ КАТИ КОТОРОЕ СОВПАЛО С ОТВЕТОМ РЕШАЙТЕ САМИ ЧТО ВАМ БРАТЬ</t>
  </si>
  <si>
    <t>28000&gt; 27957,66</t>
  </si>
  <si>
    <t>K1=</t>
  </si>
  <si>
    <t>K2=</t>
  </si>
  <si>
    <t>K3=</t>
  </si>
  <si>
    <t>T0=</t>
  </si>
  <si>
    <t>T1=</t>
  </si>
  <si>
    <t>C=</t>
  </si>
  <si>
    <t>Act=</t>
  </si>
  <si>
    <t>Pk*(1+i)^(t-tk)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</si>
</sst>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4" formatCode="_-* #,##0.00\ &quot;₽&quot;_-;\-* #,##0.00\ &quot;₽&quot;_-;_-* &quot;-&quot;??\ &quot;₽&quot;_-;_-@_-"/>
    <numFmt numFmtId="164" formatCode="_-* #,##0.00\ _₽_-;\-* #,##0.00\ _₽_-;_-* &quot;-&quot;??\ _₽_-;_-@_-"/>
    <numFmt numFmtId="165" formatCode="0.0%"/>
    <numFmt numFmtId="166" formatCode="0.000%"/>
    <numFmt numFmtId="167" formatCode="0.000"/>
    <numFmt numFmtId="168" formatCode="0.0000"/>
    <numFmt numFmtId="169" formatCode="#,##0.00\ &quot;₽&quot;"/>
    <numFmt numFmtId="170" formatCode="_-* #,##0.00\ &quot;₽&quot;_-;\-* #,##0.00\ &quot;₽&quot;_-;_-* &quot;-&quot;??\ &quot;₽&quot;_-;_-@"/>
    <numFmt numFmtId="171" formatCode="0.0000000%"/>
    <numFmt numFmtId="172" formatCode="0.000000000"/>
    <numFmt numFmtId="173" formatCode="0.00000"/>
    <numFmt numFmtId="174" formatCode="0.0"/>
    <numFmt numFmtId="175" formatCode="0.0000%"/>
    <numFmt numFmtId="176" formatCode="0.00000%"/>
    <numFmt numFmtId="177" formatCode="0.000000%"/>
  </numFmts>
  <fonts count="66">
    <font>
      <sz val="11"/>
      <color theme="1"/>
      <name val="Calibri"/>
      <family val="2"/>
      <charset val="204"/>
      <scheme val="minor"/>
    </font>
    <font>
      <b/>
      <sz val="11"/>
      <color theme="1"/>
      <name val="Calibri"/>
      <family val="2"/>
      <charset val="204"/>
      <scheme val="minor"/>
    </font>
    <font>
      <sz val="11"/>
      <color theme="1"/>
      <name val="Calibri"/>
      <family val="2"/>
      <charset val="204"/>
      <scheme val="minor"/>
    </font>
    <font>
      <u/>
      <sz val="11"/>
      <color theme="10"/>
      <name val="Calibri"/>
      <family val="2"/>
      <charset val="204"/>
      <scheme val="minor"/>
    </font>
    <font>
      <sz val="14"/>
      <color theme="1"/>
      <name val="Times New Roman"/>
      <family val="1"/>
      <charset val="204"/>
    </font>
    <font>
      <sz val="14"/>
      <color theme="1"/>
      <name val="Cambria"/>
      <family val="1"/>
      <charset val="204"/>
    </font>
    <font>
      <sz val="11"/>
      <color theme="1"/>
      <name val="Cambria Math"/>
      <family val="1"/>
      <charset val="204"/>
    </font>
    <font>
      <sz val="14"/>
      <color theme="1"/>
      <name val="&quot;Times New Roman&quot;"/>
    </font>
    <font>
      <sz val="11"/>
      <color theme="1"/>
      <name val="Calibri"/>
      <family val="2"/>
      <charset val="204"/>
    </font>
    <font>
      <sz val="11"/>
      <color theme="1"/>
      <name val="Cambria"/>
      <family val="1"/>
      <charset val="204"/>
    </font>
    <font>
      <sz val="10"/>
      <color theme="1"/>
      <name val="Arial"/>
      <family val="2"/>
      <charset val="204"/>
    </font>
    <font>
      <sz val="10"/>
      <color theme="1"/>
      <name val="Calibri"/>
      <family val="2"/>
      <charset val="204"/>
    </font>
    <font>
      <sz val="11"/>
      <color rgb="FF006100"/>
      <name val="Calibri"/>
      <family val="2"/>
      <charset val="204"/>
    </font>
    <font>
      <sz val="14"/>
      <color theme="1"/>
      <name val="&quot;Cambria Math&quot;"/>
    </font>
    <font>
      <sz val="11"/>
      <color theme="1"/>
      <name val="&quot;Cambria Math&quot;"/>
    </font>
    <font>
      <sz val="11"/>
      <color theme="1"/>
      <name val="&quot;Times New Roman&quot;"/>
    </font>
    <font>
      <sz val="11"/>
      <color rgb="FF212529"/>
      <name val="Ubuntu"/>
      <family val="2"/>
      <charset val="204"/>
    </font>
    <font>
      <b/>
      <sz val="14"/>
      <color theme="1"/>
      <name val="Cambria"/>
      <family val="1"/>
      <charset val="204"/>
    </font>
    <font>
      <b/>
      <sz val="11"/>
      <color theme="1"/>
      <name val="Calibri"/>
      <family val="2"/>
      <charset val="204"/>
    </font>
    <font>
      <b/>
      <sz val="14"/>
      <color theme="1"/>
      <name val="&quot;Times New Roman&quot;"/>
    </font>
    <font>
      <b/>
      <sz val="11"/>
      <color theme="1"/>
      <name val="&quot;Times New Roman&quot;"/>
    </font>
    <font>
      <b/>
      <sz val="14"/>
      <color theme="1"/>
      <name val="&quot;Cambria Math&quot;"/>
    </font>
    <font>
      <b/>
      <i/>
      <sz val="14"/>
      <color theme="1"/>
      <name val="&quot;Cambria Math&quot;"/>
    </font>
    <font>
      <b/>
      <i/>
      <sz val="14"/>
      <color theme="1"/>
      <name val="&quot;Times New Roman&quot;"/>
    </font>
    <font>
      <b/>
      <i/>
      <sz val="14"/>
      <color theme="1"/>
      <name val="Cambria"/>
      <family val="1"/>
      <charset val="204"/>
    </font>
    <font>
      <b/>
      <u/>
      <sz val="11"/>
      <color theme="1"/>
      <name val="&quot;Cambria Math&quot;"/>
    </font>
    <font>
      <b/>
      <u/>
      <sz val="14"/>
      <color theme="1"/>
      <name val="&quot;Times New Roman&quot;"/>
    </font>
    <font>
      <b/>
      <u/>
      <sz val="11"/>
      <color theme="1"/>
      <name val="&quot;Times New Roman&quot;"/>
    </font>
    <font>
      <b/>
      <u/>
      <sz val="14"/>
      <color theme="1"/>
      <name val="Cambria"/>
      <family val="1"/>
      <charset val="204"/>
    </font>
    <font>
      <b/>
      <sz val="12"/>
      <color theme="1"/>
      <name val="&quot;Times New Roman&quot;"/>
    </font>
    <font>
      <b/>
      <u/>
      <sz val="11"/>
      <color theme="1"/>
      <name val="Calibri"/>
      <family val="2"/>
      <charset val="204"/>
      <scheme val="minor"/>
    </font>
    <font>
      <sz val="14"/>
      <color theme="1"/>
      <name val="Calibri"/>
      <family val="2"/>
      <charset val="204"/>
      <scheme val="minor"/>
    </font>
    <font>
      <sz val="14"/>
      <color theme="1"/>
      <name val="Calibri"/>
      <family val="2"/>
      <charset val="204"/>
    </font>
    <font>
      <b/>
      <sz val="12"/>
      <color theme="1"/>
      <name val="Symbol"/>
      <family val="1"/>
      <charset val="2"/>
    </font>
    <font>
      <b/>
      <sz val="6"/>
      <color theme="1"/>
      <name val="&quot;Times New Roman&quot;"/>
    </font>
    <font>
      <sz val="11"/>
      <color rgb="FF000000"/>
      <name val="Calibri"/>
      <family val="2"/>
      <charset val="204"/>
    </font>
    <font>
      <u/>
      <sz val="11"/>
      <color theme="10"/>
      <name val="Calibri"/>
      <family val="2"/>
      <charset val="204"/>
    </font>
    <font>
      <b/>
      <sz val="14"/>
      <color theme="1"/>
      <name val="Times New Roman"/>
      <family val="1"/>
      <charset val="204"/>
    </font>
    <font>
      <sz val="11"/>
      <color theme="1"/>
      <name val="Times New Roman"/>
      <family val="1"/>
      <charset val="204"/>
    </font>
    <font>
      <b/>
      <sz val="11"/>
      <color theme="1"/>
      <name val="Times New Roman"/>
      <family val="1"/>
      <charset val="204"/>
    </font>
    <font>
      <b/>
      <sz val="7"/>
      <color theme="1"/>
      <name val="Times New Roman"/>
      <family val="1"/>
      <charset val="204"/>
    </font>
    <font>
      <sz val="12"/>
      <color theme="1"/>
      <name val="Times New Roman"/>
      <family val="1"/>
      <charset val="204"/>
    </font>
    <font>
      <b/>
      <sz val="12"/>
      <color theme="1"/>
      <name val="Times New Roman"/>
      <family val="1"/>
      <charset val="204"/>
    </font>
    <font>
      <sz val="13"/>
      <color theme="1"/>
      <name val="Times New Roman"/>
      <family val="1"/>
      <charset val="204"/>
    </font>
    <font>
      <b/>
      <sz val="15"/>
      <color theme="1"/>
      <name val="Times New Roman"/>
      <family val="1"/>
      <charset val="204"/>
    </font>
    <font>
      <sz val="15"/>
      <color theme="1"/>
      <name val="Times New Roman"/>
      <family val="1"/>
      <charset val="204"/>
    </font>
    <font>
      <b/>
      <sz val="14"/>
      <color rgb="FF080808"/>
      <name val="Times New Roman"/>
      <family val="1"/>
      <charset val="204"/>
    </font>
    <font>
      <sz val="12"/>
      <color theme="1"/>
      <name val="Calibri"/>
      <family val="2"/>
      <charset val="204"/>
      <scheme val="minor"/>
    </font>
    <font>
      <b/>
      <sz val="12"/>
      <color theme="1"/>
      <name val="Calibri"/>
      <family val="2"/>
      <charset val="204"/>
      <scheme val="minor"/>
    </font>
    <font>
      <sz val="10"/>
      <color rgb="FF000000"/>
      <name val="Calibri"/>
      <family val="2"/>
      <charset val="204"/>
      <scheme val="minor"/>
    </font>
    <font>
      <b/>
      <sz val="10"/>
      <color theme="1"/>
      <name val="Calibri"/>
      <family val="2"/>
      <charset val="204"/>
      <scheme val="minor"/>
    </font>
    <font>
      <sz val="10"/>
      <color theme="1"/>
      <name val="Calibri"/>
      <family val="2"/>
      <charset val="204"/>
      <scheme val="minor"/>
    </font>
    <font>
      <sz val="12"/>
      <color rgb="FFFF0000"/>
      <name val="Calibri"/>
      <family val="2"/>
      <charset val="204"/>
      <scheme val="minor"/>
    </font>
    <font>
      <sz val="11"/>
      <name val="Calibri"/>
      <family val="2"/>
      <charset val="204"/>
      <scheme val="minor"/>
    </font>
    <font>
      <sz val="16"/>
      <color theme="1"/>
      <name val="Calibri"/>
      <family val="2"/>
      <charset val="204"/>
    </font>
    <font>
      <sz val="14"/>
      <color rgb="FF000000"/>
      <name val="Cambria"/>
      <family val="1"/>
      <charset val="204"/>
    </font>
    <font>
      <sz val="14"/>
      <color theme="1"/>
      <name val="Calibri"/>
      <family val="2"/>
      <charset val="204"/>
    </font>
    <font>
      <sz val="11"/>
      <color theme="1"/>
      <name val="Calibri"/>
      <family val="2"/>
      <charset val="204"/>
    </font>
    <font>
      <sz val="11"/>
      <color rgb="FF444444"/>
      <name val="Calibri"/>
      <family val="2"/>
      <charset val="204"/>
    </font>
    <font>
      <sz val="14"/>
      <color rgb="FFFF0000"/>
      <name val="Calibri"/>
      <family val="2"/>
      <charset val="204"/>
      <scheme val="minor"/>
    </font>
    <font>
      <b/>
      <sz val="20"/>
      <color rgb="FF000000"/>
      <name val="Calibri"/>
      <family val="2"/>
      <charset val="204"/>
    </font>
    <font>
      <sz val="14"/>
      <color rgb="FF000000"/>
      <name val="&quot;Times New Roman&quot;"/>
    </font>
    <font>
      <sz val="14"/>
      <color rgb="FF000000"/>
      <name val="Cambria"/>
      <family val="1"/>
      <charset val="204"/>
    </font>
    <font>
      <sz val="11"/>
      <color theme="1"/>
      <name val="Cambria"/>
      <family val="1"/>
    </font>
    <font>
      <sz val="14"/>
      <color theme="1"/>
      <name val="Cambria"/>
      <family val="1"/>
    </font>
    <font>
      <i/>
      <sz val="11"/>
      <color theme="1"/>
      <name val="Calibri"/>
      <family val="2"/>
      <charset val="204"/>
      <scheme val="minor"/>
    </font>
  </fonts>
  <fills count="19">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FFFF00"/>
        <bgColor rgb="FFFFFF00"/>
      </patternFill>
    </fill>
    <fill>
      <patternFill patternType="solid">
        <fgColor rgb="FFC6EFCE"/>
        <bgColor rgb="FFC6EFCE"/>
      </patternFill>
    </fill>
    <fill>
      <patternFill patternType="solid">
        <fgColor rgb="FFFF0000"/>
        <bgColor rgb="FFFF0000"/>
      </patternFill>
    </fill>
    <fill>
      <patternFill patternType="solid">
        <fgColor rgb="FFC5E0B3"/>
        <bgColor rgb="FFC5E0B3"/>
      </patternFill>
    </fill>
    <fill>
      <patternFill patternType="solid">
        <fgColor rgb="FFE2EFD9"/>
        <bgColor rgb="FFE2EFD9"/>
      </patternFill>
    </fill>
    <fill>
      <patternFill patternType="solid">
        <fgColor theme="9" tint="0.59999389629810485"/>
        <bgColor indexed="64"/>
      </patternFill>
    </fill>
    <fill>
      <patternFill patternType="solid">
        <fgColor theme="5" tint="0.59999389629810485"/>
        <bgColor indexed="64"/>
      </patternFill>
    </fill>
    <fill>
      <patternFill patternType="solid">
        <fgColor rgb="FFB4C6E7"/>
        <bgColor indexed="64"/>
      </patternFill>
    </fill>
    <fill>
      <patternFill patternType="solid">
        <fgColor theme="7" tint="0.59999389629810485"/>
        <bgColor indexed="64"/>
      </patternFill>
    </fill>
    <fill>
      <patternFill patternType="solid">
        <fgColor rgb="FFC6E0B4"/>
        <bgColor indexed="64"/>
      </patternFill>
    </fill>
    <fill>
      <patternFill patternType="solid">
        <fgColor rgb="FFA9D08E"/>
        <bgColor indexed="64"/>
      </patternFill>
    </fill>
    <fill>
      <patternFill patternType="solid">
        <fgColor rgb="FFFFFFFF"/>
        <bgColor indexed="64"/>
      </patternFill>
    </fill>
    <fill>
      <patternFill patternType="solid">
        <fgColor rgb="FF8EA9DB"/>
        <bgColor indexed="64"/>
      </patternFill>
    </fill>
    <fill>
      <patternFill patternType="solid">
        <fgColor rgb="FF9BC2E6"/>
        <bgColor indexed="64"/>
      </patternFill>
    </fill>
  </fills>
  <borders count="33">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top/>
      <bottom style="medium">
        <color indexed="64"/>
      </bottom>
      <diagonal/>
    </border>
  </borders>
  <cellStyleXfs count="5">
    <xf numFmtId="0" fontId="0" fillId="0" borderId="0"/>
    <xf numFmtId="9" fontId="2" fillId="0" borderId="0" applyFont="0" applyFill="0" applyBorder="0" applyAlignment="0" applyProtection="0"/>
    <xf numFmtId="0" fontId="3" fillId="0" borderId="0" applyNumberFormat="0" applyFill="0" applyBorder="0" applyAlignment="0" applyProtection="0"/>
    <xf numFmtId="44" fontId="2" fillId="0" borderId="0" applyFont="0" applyFill="0" applyBorder="0" applyAlignment="0" applyProtection="0"/>
    <xf numFmtId="164" fontId="2" fillId="0" borderId="0" applyFont="0" applyFill="0" applyBorder="0" applyAlignment="0" applyProtection="0"/>
  </cellStyleXfs>
  <cellXfs count="460">
    <xf numFmtId="0" fontId="0" fillId="0" borderId="0" xfId="0"/>
    <xf numFmtId="0" fontId="1" fillId="0" borderId="0" xfId="0" applyFont="1"/>
    <xf numFmtId="9" fontId="0" fillId="0" borderId="0" xfId="0" applyNumberFormat="1"/>
    <xf numFmtId="10" fontId="0" fillId="0" borderId="0" xfId="0" applyNumberFormat="1"/>
    <xf numFmtId="0" fontId="0" fillId="2" borderId="0" xfId="0" applyFill="1"/>
    <xf numFmtId="9" fontId="0" fillId="0" borderId="0" xfId="1" applyFont="1"/>
    <xf numFmtId="165" fontId="0" fillId="2" borderId="0" xfId="1" applyNumberFormat="1" applyFont="1" applyFill="1"/>
    <xf numFmtId="0" fontId="3" fillId="0" borderId="0" xfId="2"/>
    <xf numFmtId="10" fontId="0" fillId="2" borderId="0" xfId="1" applyNumberFormat="1" applyFont="1" applyFill="1"/>
    <xf numFmtId="2" fontId="0" fillId="0" borderId="0" xfId="0" applyNumberFormat="1"/>
    <xf numFmtId="2" fontId="0" fillId="2" borderId="0" xfId="0" applyNumberFormat="1" applyFill="1"/>
    <xf numFmtId="166" fontId="0" fillId="2" borderId="0" xfId="1" applyNumberFormat="1" applyFont="1" applyFill="1"/>
    <xf numFmtId="10" fontId="0" fillId="2" borderId="0" xfId="0" applyNumberFormat="1" applyFill="1"/>
    <xf numFmtId="166" fontId="0" fillId="2" borderId="0" xfId="0" applyNumberFormat="1" applyFill="1"/>
    <xf numFmtId="0" fontId="0" fillId="2" borderId="0" xfId="1" applyNumberFormat="1" applyFont="1" applyFill="1"/>
    <xf numFmtId="168" fontId="0" fillId="2" borderId="0" xfId="0" applyNumberFormat="1" applyFill="1"/>
    <xf numFmtId="0" fontId="0" fillId="3" borderId="0" xfId="0" applyFill="1"/>
    <xf numFmtId="0" fontId="1" fillId="3" borderId="0" xfId="0" applyFont="1" applyFill="1"/>
    <xf numFmtId="0" fontId="0" fillId="0" borderId="0" xfId="0" applyAlignment="1">
      <alignment vertical="center" wrapText="1"/>
    </xf>
    <xf numFmtId="0" fontId="0" fillId="0" borderId="0" xfId="0" applyAlignment="1">
      <alignment wrapText="1"/>
    </xf>
    <xf numFmtId="14" fontId="0" fillId="0" borderId="0" xfId="0" applyNumberFormat="1"/>
    <xf numFmtId="0" fontId="7" fillId="0" borderId="0" xfId="0" applyFont="1" applyAlignment="1">
      <alignment horizontal="center"/>
    </xf>
    <xf numFmtId="0" fontId="8" fillId="0" borderId="0" xfId="0" applyFont="1"/>
    <xf numFmtId="0" fontId="9" fillId="0" borderId="0" xfId="0" applyFont="1"/>
    <xf numFmtId="0" fontId="7" fillId="0" borderId="0" xfId="0" applyFont="1"/>
    <xf numFmtId="0" fontId="5" fillId="0" borderId="0" xfId="0" applyFont="1" applyAlignment="1">
      <alignment horizontal="left"/>
    </xf>
    <xf numFmtId="0" fontId="5" fillId="0" borderId="0" xfId="0" applyFont="1"/>
    <xf numFmtId="0" fontId="2" fillId="0" borderId="0" xfId="0" applyFont="1"/>
    <xf numFmtId="0" fontId="8" fillId="0" borderId="2" xfId="0" applyFont="1" applyBorder="1"/>
    <xf numFmtId="0" fontId="8" fillId="0" borderId="0" xfId="0" applyFont="1" applyAlignment="1">
      <alignment horizontal="center" vertical="center" wrapText="1"/>
    </xf>
    <xf numFmtId="165" fontId="8" fillId="0" borderId="0" xfId="0" applyNumberFormat="1" applyFont="1"/>
    <xf numFmtId="0" fontId="8" fillId="5" borderId="0" xfId="0" applyFont="1" applyFill="1"/>
    <xf numFmtId="0" fontId="8" fillId="0" borderId="3" xfId="0" applyFont="1" applyBorder="1"/>
    <xf numFmtId="0" fontId="8" fillId="0" borderId="1" xfId="0" applyFont="1" applyBorder="1" applyAlignment="1">
      <alignment vertical="center" wrapText="1"/>
    </xf>
    <xf numFmtId="9" fontId="8" fillId="0" borderId="0" xfId="0" applyNumberFormat="1" applyFont="1"/>
    <xf numFmtId="0" fontId="8" fillId="0" borderId="0" xfId="0" applyFont="1" applyAlignment="1">
      <alignment vertical="center" wrapText="1"/>
    </xf>
    <xf numFmtId="10" fontId="8" fillId="0" borderId="0" xfId="0" applyNumberFormat="1" applyFont="1"/>
    <xf numFmtId="10" fontId="8" fillId="5" borderId="0" xfId="0" applyNumberFormat="1" applyFont="1" applyFill="1"/>
    <xf numFmtId="0" fontId="8" fillId="0" borderId="5" xfId="0" applyFont="1" applyBorder="1"/>
    <xf numFmtId="170" fontId="8" fillId="0" borderId="0" xfId="0" applyNumberFormat="1" applyFont="1"/>
    <xf numFmtId="170" fontId="8" fillId="5" borderId="0" xfId="0" applyNumberFormat="1" applyFont="1" applyFill="1"/>
    <xf numFmtId="0" fontId="8" fillId="0" borderId="6" xfId="0" applyFont="1" applyBorder="1"/>
    <xf numFmtId="0" fontId="11" fillId="0" borderId="2" xfId="0" applyFont="1" applyBorder="1"/>
    <xf numFmtId="0" fontId="11" fillId="5" borderId="2" xfId="0" applyFont="1" applyFill="1" applyBorder="1"/>
    <xf numFmtId="0" fontId="8" fillId="0" borderId="0" xfId="0" applyFont="1" applyAlignment="1">
      <alignment vertical="center"/>
    </xf>
    <xf numFmtId="0" fontId="11" fillId="5" borderId="3" xfId="0" applyFont="1" applyFill="1" applyBorder="1"/>
    <xf numFmtId="0" fontId="8" fillId="0" borderId="0" xfId="0" applyFont="1" applyAlignment="1">
      <alignment wrapText="1"/>
    </xf>
    <xf numFmtId="0" fontId="2" fillId="0" borderId="0" xfId="0" applyFont="1" applyAlignment="1">
      <alignment wrapText="1"/>
    </xf>
    <xf numFmtId="0" fontId="7" fillId="0" borderId="0" xfId="0" applyFont="1" applyAlignment="1">
      <alignment wrapText="1"/>
    </xf>
    <xf numFmtId="165" fontId="8" fillId="5" borderId="0" xfId="0" applyNumberFormat="1" applyFont="1" applyFill="1"/>
    <xf numFmtId="14" fontId="8" fillId="0" borderId="0" xfId="0" applyNumberFormat="1" applyFont="1" applyAlignment="1">
      <alignment wrapText="1"/>
    </xf>
    <xf numFmtId="0" fontId="12" fillId="6" borderId="0" xfId="0" applyFont="1" applyFill="1"/>
    <xf numFmtId="0" fontId="5" fillId="0" borderId="0" xfId="0" applyFont="1" applyAlignment="1">
      <alignment horizontal="center"/>
    </xf>
    <xf numFmtId="0" fontId="13" fillId="0" borderId="0" xfId="0" applyFont="1" applyAlignment="1">
      <alignment wrapText="1"/>
    </xf>
    <xf numFmtId="0" fontId="2" fillId="7" borderId="0" xfId="0" applyFont="1" applyFill="1"/>
    <xf numFmtId="0" fontId="14" fillId="0" borderId="0" xfId="0" applyFont="1" applyAlignment="1">
      <alignment wrapText="1"/>
    </xf>
    <xf numFmtId="166" fontId="8" fillId="0" borderId="0" xfId="0" applyNumberFormat="1" applyFont="1"/>
    <xf numFmtId="0" fontId="13" fillId="0" borderId="0" xfId="0" applyFont="1" applyAlignment="1">
      <alignment horizontal="right"/>
    </xf>
    <xf numFmtId="0" fontId="9" fillId="0" borderId="0" xfId="0" applyFont="1" applyAlignment="1">
      <alignment wrapText="1"/>
    </xf>
    <xf numFmtId="0" fontId="5" fillId="0" borderId="0" xfId="0" applyFont="1" applyAlignment="1">
      <alignment horizontal="left" wrapText="1"/>
    </xf>
    <xf numFmtId="0" fontId="7" fillId="0" borderId="0" xfId="0" applyFont="1" applyAlignment="1">
      <alignment horizontal="left" wrapText="1"/>
    </xf>
    <xf numFmtId="0" fontId="5" fillId="0" borderId="0" xfId="0" applyFont="1" applyAlignment="1">
      <alignment wrapText="1"/>
    </xf>
    <xf numFmtId="0" fontId="8" fillId="0" borderId="0" xfId="0" applyFont="1" applyAlignment="1">
      <alignment horizontal="right"/>
    </xf>
    <xf numFmtId="10" fontId="8" fillId="8" borderId="0" xfId="0" applyNumberFormat="1" applyFont="1" applyFill="1" applyAlignment="1">
      <alignment horizontal="right"/>
    </xf>
    <xf numFmtId="0" fontId="8" fillId="8" borderId="0" xfId="0" applyFont="1" applyFill="1" applyAlignment="1">
      <alignment horizontal="right"/>
    </xf>
    <xf numFmtId="0" fontId="8" fillId="0" borderId="0" xfId="0" applyFont="1" applyAlignment="1">
      <alignment horizontal="right" wrapText="1"/>
    </xf>
    <xf numFmtId="9" fontId="8" fillId="0" borderId="0" xfId="0" applyNumberFormat="1" applyFont="1" applyAlignment="1">
      <alignment horizontal="right"/>
    </xf>
    <xf numFmtId="2" fontId="8" fillId="8" borderId="0" xfId="0" applyNumberFormat="1" applyFont="1" applyFill="1" applyAlignment="1">
      <alignment horizontal="right"/>
    </xf>
    <xf numFmtId="0" fontId="8" fillId="0" borderId="7" xfId="0" applyFont="1" applyBorder="1" applyAlignment="1">
      <alignment wrapText="1"/>
    </xf>
    <xf numFmtId="0" fontId="8" fillId="0" borderId="8" xfId="0" applyFont="1" applyBorder="1" applyAlignment="1">
      <alignment wrapText="1"/>
    </xf>
    <xf numFmtId="0" fontId="8" fillId="0" borderId="5" xfId="0" applyFont="1" applyBorder="1" applyAlignment="1">
      <alignment horizontal="right"/>
    </xf>
    <xf numFmtId="14" fontId="8" fillId="0" borderId="8" xfId="0" applyNumberFormat="1" applyFont="1" applyBorder="1" applyAlignment="1">
      <alignment horizontal="right" wrapText="1"/>
    </xf>
    <xf numFmtId="0" fontId="8" fillId="8" borderId="5" xfId="0" applyFont="1" applyFill="1" applyBorder="1" applyAlignment="1">
      <alignment horizontal="right"/>
    </xf>
    <xf numFmtId="10" fontId="8" fillId="8" borderId="0" xfId="0" applyNumberFormat="1" applyFont="1" applyFill="1" applyAlignment="1">
      <alignment horizontal="right" wrapText="1"/>
    </xf>
    <xf numFmtId="165" fontId="8" fillId="8" borderId="0" xfId="0" applyNumberFormat="1" applyFont="1" applyFill="1" applyAlignment="1">
      <alignment horizontal="right"/>
    </xf>
    <xf numFmtId="165" fontId="8" fillId="0" borderId="0" xfId="0" applyNumberFormat="1" applyFont="1" applyAlignment="1">
      <alignment horizontal="right"/>
    </xf>
    <xf numFmtId="167" fontId="8" fillId="8" borderId="0" xfId="0" applyNumberFormat="1" applyFont="1" applyFill="1" applyAlignment="1">
      <alignment horizontal="right"/>
    </xf>
    <xf numFmtId="10" fontId="8" fillId="0" borderId="0" xfId="0" applyNumberFormat="1" applyFont="1" applyAlignment="1">
      <alignment horizontal="right"/>
    </xf>
    <xf numFmtId="0" fontId="7" fillId="0" borderId="0" xfId="0" applyFont="1" applyAlignment="1">
      <alignment horizontal="left"/>
    </xf>
    <xf numFmtId="1" fontId="8" fillId="0" borderId="0" xfId="0" applyNumberFormat="1" applyFont="1"/>
    <xf numFmtId="0" fontId="15" fillId="0" borderId="0" xfId="0" applyFont="1"/>
    <xf numFmtId="0" fontId="13" fillId="0" borderId="0" xfId="0" applyFont="1"/>
    <xf numFmtId="0" fontId="13" fillId="0" borderId="0" xfId="0" applyFont="1" applyAlignment="1">
      <alignment horizontal="center"/>
    </xf>
    <xf numFmtId="0" fontId="16" fillId="0" borderId="0" xfId="0" applyFont="1"/>
    <xf numFmtId="0" fontId="16" fillId="0" borderId="4" xfId="0" applyFont="1" applyBorder="1"/>
    <xf numFmtId="169" fontId="8" fillId="5" borderId="0" xfId="0" applyNumberFormat="1" applyFont="1" applyFill="1"/>
    <xf numFmtId="0" fontId="8" fillId="0" borderId="9" xfId="0" applyFont="1" applyBorder="1" applyAlignment="1">
      <alignment horizontal="center" wrapText="1"/>
    </xf>
    <xf numFmtId="0" fontId="8" fillId="0" borderId="10" xfId="0" applyFont="1" applyBorder="1" applyAlignment="1">
      <alignment horizontal="center" wrapText="1"/>
    </xf>
    <xf numFmtId="0" fontId="0" fillId="0" borderId="10" xfId="0" applyBorder="1"/>
    <xf numFmtId="0" fontId="0" fillId="0" borderId="11" xfId="0" applyBorder="1"/>
    <xf numFmtId="0" fontId="8" fillId="0" borderId="12" xfId="0" applyFont="1" applyBorder="1" applyAlignment="1">
      <alignment horizontal="center" wrapText="1"/>
    </xf>
    <xf numFmtId="0" fontId="8" fillId="0" borderId="0" xfId="0" applyFont="1" applyAlignment="1">
      <alignment horizontal="center" wrapText="1"/>
    </xf>
    <xf numFmtId="0" fontId="8" fillId="0" borderId="12" xfId="0" applyFont="1" applyBorder="1" applyAlignment="1">
      <alignment horizontal="left"/>
    </xf>
    <xf numFmtId="0" fontId="2" fillId="0" borderId="12" xfId="0" applyFont="1" applyBorder="1"/>
    <xf numFmtId="0" fontId="0" fillId="0" borderId="13" xfId="0" applyBorder="1"/>
    <xf numFmtId="0" fontId="2" fillId="0" borderId="14" xfId="0" applyFont="1" applyBorder="1"/>
    <xf numFmtId="10" fontId="8" fillId="5" borderId="15" xfId="0" applyNumberFormat="1" applyFont="1" applyFill="1" applyBorder="1"/>
    <xf numFmtId="0" fontId="0" fillId="0" borderId="15" xfId="0" applyBorder="1"/>
    <xf numFmtId="0" fontId="0" fillId="0" borderId="16" xfId="0" applyBorder="1"/>
    <xf numFmtId="0" fontId="8" fillId="5" borderId="15" xfId="0" applyFont="1" applyFill="1" applyBorder="1"/>
    <xf numFmtId="0" fontId="8" fillId="0" borderId="0" xfId="0" quotePrefix="1" applyFont="1"/>
    <xf numFmtId="0" fontId="2" fillId="0" borderId="9" xfId="0" applyFont="1" applyBorder="1"/>
    <xf numFmtId="0" fontId="2" fillId="0" borderId="10" xfId="0" applyFont="1" applyBorder="1"/>
    <xf numFmtId="0" fontId="0" fillId="0" borderId="10" xfId="0" applyBorder="1" applyAlignment="1">
      <alignment wrapText="1"/>
    </xf>
    <xf numFmtId="0" fontId="0" fillId="0" borderId="12" xfId="0" applyBorder="1"/>
    <xf numFmtId="0" fontId="0" fillId="0" borderId="14" xfId="0" applyBorder="1"/>
    <xf numFmtId="0" fontId="2" fillId="0" borderId="15" xfId="0" applyFont="1" applyBorder="1"/>
    <xf numFmtId="0" fontId="0" fillId="0" borderId="15" xfId="0" applyBorder="1" applyAlignment="1">
      <alignment wrapText="1"/>
    </xf>
    <xf numFmtId="0" fontId="7" fillId="0" borderId="0" xfId="0" applyFont="1" applyAlignment="1">
      <alignment horizontal="right"/>
    </xf>
    <xf numFmtId="0" fontId="15" fillId="0" borderId="0" xfId="0" applyFont="1" applyAlignment="1">
      <alignment horizontal="right"/>
    </xf>
    <xf numFmtId="0" fontId="5" fillId="0" borderId="0" xfId="0" applyFont="1" applyAlignment="1">
      <alignment horizontal="right"/>
    </xf>
    <xf numFmtId="0" fontId="17" fillId="0" borderId="0" xfId="0" applyFont="1" applyAlignment="1">
      <alignment wrapText="1"/>
    </xf>
    <xf numFmtId="0" fontId="18" fillId="0" borderId="9" xfId="0" applyFont="1" applyBorder="1"/>
    <xf numFmtId="10" fontId="8" fillId="0" borderId="15" xfId="0" applyNumberFormat="1" applyFont="1" applyBorder="1"/>
    <xf numFmtId="0" fontId="19" fillId="0" borderId="0" xfId="0" applyFont="1" applyAlignment="1">
      <alignment wrapText="1"/>
    </xf>
    <xf numFmtId="0" fontId="17" fillId="0" borderId="0" xfId="0" applyFont="1" applyAlignment="1">
      <alignment horizontal="left"/>
    </xf>
    <xf numFmtId="0" fontId="17" fillId="0" borderId="0" xfId="0" applyFont="1"/>
    <xf numFmtId="2" fontId="8" fillId="0" borderId="0" xfId="0" applyNumberFormat="1" applyFont="1"/>
    <xf numFmtId="0" fontId="2" fillId="0" borderId="9" xfId="0" applyFont="1" applyBorder="1" applyAlignment="1">
      <alignment wrapText="1"/>
    </xf>
    <xf numFmtId="0" fontId="18" fillId="0" borderId="12" xfId="0" applyFont="1" applyBorder="1"/>
    <xf numFmtId="0" fontId="8" fillId="7" borderId="14" xfId="0" applyFont="1" applyFill="1" applyBorder="1"/>
    <xf numFmtId="0" fontId="18" fillId="0" borderId="0" xfId="0" applyFont="1" applyAlignment="1">
      <alignment wrapText="1"/>
    </xf>
    <xf numFmtId="0" fontId="2" fillId="4" borderId="0" xfId="0" applyFont="1" applyFill="1"/>
    <xf numFmtId="0" fontId="20" fillId="0" borderId="0" xfId="0" applyFont="1"/>
    <xf numFmtId="0" fontId="19" fillId="0" borderId="0" xfId="0" applyFont="1" applyAlignment="1">
      <alignment horizontal="center"/>
    </xf>
    <xf numFmtId="0" fontId="19" fillId="0" borderId="0" xfId="0" applyFont="1" applyAlignment="1">
      <alignment horizontal="left"/>
    </xf>
    <xf numFmtId="0" fontId="21" fillId="0" borderId="0" xfId="0" applyFont="1"/>
    <xf numFmtId="0" fontId="21" fillId="0" borderId="0" xfId="0" applyFont="1" applyAlignment="1">
      <alignment horizontal="left"/>
    </xf>
    <xf numFmtId="0" fontId="22" fillId="0" borderId="0" xfId="0" applyFont="1" applyAlignment="1">
      <alignment horizontal="left"/>
    </xf>
    <xf numFmtId="0" fontId="23" fillId="0" borderId="0" xfId="0" applyFont="1" applyAlignment="1">
      <alignment horizontal="left"/>
    </xf>
    <xf numFmtId="0" fontId="23" fillId="0" borderId="0" xfId="0" applyFont="1" applyAlignment="1">
      <alignment horizontal="center"/>
    </xf>
    <xf numFmtId="0" fontId="24" fillId="0" borderId="0" xfId="0" applyFont="1" applyAlignment="1">
      <alignment horizontal="left"/>
    </xf>
    <xf numFmtId="170" fontId="8" fillId="9" borderId="0" xfId="0" applyNumberFormat="1" applyFont="1" applyFill="1"/>
    <xf numFmtId="0" fontId="8" fillId="9" borderId="0" xfId="0" applyFont="1" applyFill="1"/>
    <xf numFmtId="171" fontId="8" fillId="0" borderId="0" xfId="0" applyNumberFormat="1" applyFont="1"/>
    <xf numFmtId="166" fontId="8" fillId="9" borderId="0" xfId="0" applyNumberFormat="1" applyFont="1" applyFill="1"/>
    <xf numFmtId="172" fontId="8" fillId="0" borderId="0" xfId="0" applyNumberFormat="1" applyFont="1"/>
    <xf numFmtId="0" fontId="19" fillId="0" borderId="0" xfId="0" applyFont="1"/>
    <xf numFmtId="0" fontId="20" fillId="0" borderId="0" xfId="0" applyFont="1" applyAlignment="1">
      <alignment horizontal="left"/>
    </xf>
    <xf numFmtId="0" fontId="25" fillId="0" borderId="0" xfId="0" applyFont="1" applyAlignment="1">
      <alignment horizontal="left"/>
    </xf>
    <xf numFmtId="0" fontId="26" fillId="0" borderId="0" xfId="0" applyFont="1" applyAlignment="1">
      <alignment horizontal="left"/>
    </xf>
    <xf numFmtId="0" fontId="27" fillId="0" borderId="0" xfId="0" applyFont="1" applyAlignment="1">
      <alignment horizontal="left"/>
    </xf>
    <xf numFmtId="0" fontId="28" fillId="0" borderId="0" xfId="0" applyFont="1" applyAlignment="1">
      <alignment horizontal="left"/>
    </xf>
    <xf numFmtId="0" fontId="1" fillId="0" borderId="0" xfId="0" applyFont="1" applyAlignment="1">
      <alignment horizontal="center"/>
    </xf>
    <xf numFmtId="0" fontId="21" fillId="0" borderId="0" xfId="0" applyFont="1" applyAlignment="1">
      <alignment horizontal="center"/>
    </xf>
    <xf numFmtId="0" fontId="1" fillId="0" borderId="0" xfId="0" applyFont="1" applyAlignment="1">
      <alignment horizontal="left"/>
    </xf>
    <xf numFmtId="0" fontId="1" fillId="0" borderId="7" xfId="0" applyFont="1" applyBorder="1" applyAlignment="1">
      <alignment horizontal="center" vertical="top"/>
    </xf>
    <xf numFmtId="0" fontId="29" fillId="0" borderId="6" xfId="0" applyFont="1" applyBorder="1" applyAlignment="1">
      <alignment horizontal="left" vertical="top"/>
    </xf>
    <xf numFmtId="0" fontId="1" fillId="0" borderId="8" xfId="0" applyFont="1" applyBorder="1" applyAlignment="1">
      <alignment horizontal="center" vertical="top"/>
    </xf>
    <xf numFmtId="0" fontId="29" fillId="0" borderId="5" xfId="0" applyFont="1" applyBorder="1" applyAlignment="1">
      <alignment horizontal="left" vertical="top"/>
    </xf>
    <xf numFmtId="0" fontId="1" fillId="0" borderId="8" xfId="0" applyFont="1" applyBorder="1" applyAlignment="1">
      <alignment horizontal="left" vertical="top"/>
    </xf>
    <xf numFmtId="0" fontId="1" fillId="0" borderId="7" xfId="0" applyFont="1" applyBorder="1" applyAlignment="1">
      <alignment horizontal="left" vertical="top"/>
    </xf>
    <xf numFmtId="0" fontId="19" fillId="0" borderId="6" xfId="0" applyFont="1" applyBorder="1" applyAlignment="1">
      <alignment horizontal="left" vertical="top"/>
    </xf>
    <xf numFmtId="0" fontId="19" fillId="0" borderId="5" xfId="0" applyFont="1" applyBorder="1" applyAlignment="1">
      <alignment horizontal="left" vertical="top"/>
    </xf>
    <xf numFmtId="0" fontId="1" fillId="0" borderId="9" xfId="0" applyFont="1" applyBorder="1"/>
    <xf numFmtId="0" fontId="1" fillId="0" borderId="12" xfId="0" applyFont="1" applyBorder="1"/>
    <xf numFmtId="9" fontId="8" fillId="0" borderId="15" xfId="0" applyNumberFormat="1" applyFont="1" applyBorder="1"/>
    <xf numFmtId="0" fontId="21" fillId="0" borderId="0" xfId="0" applyFont="1" applyAlignment="1">
      <alignment wrapText="1"/>
    </xf>
    <xf numFmtId="9" fontId="8" fillId="9" borderId="0" xfId="0" applyNumberFormat="1" applyFont="1" applyFill="1"/>
    <xf numFmtId="0" fontId="8" fillId="9" borderId="15" xfId="0" applyFont="1" applyFill="1" applyBorder="1"/>
    <xf numFmtId="9" fontId="8" fillId="0" borderId="10" xfId="0" applyNumberFormat="1" applyFont="1" applyBorder="1"/>
    <xf numFmtId="10" fontId="8" fillId="9" borderId="15" xfId="0" applyNumberFormat="1" applyFont="1" applyFill="1" applyBorder="1"/>
    <xf numFmtId="9" fontId="8" fillId="9" borderId="15" xfId="0" applyNumberFormat="1" applyFont="1" applyFill="1" applyBorder="1"/>
    <xf numFmtId="0" fontId="8" fillId="0" borderId="10" xfId="0" applyFont="1" applyBorder="1"/>
    <xf numFmtId="165" fontId="8" fillId="9" borderId="15" xfId="0" applyNumberFormat="1" applyFont="1" applyFill="1" applyBorder="1"/>
    <xf numFmtId="10" fontId="8" fillId="9" borderId="0" xfId="0" applyNumberFormat="1" applyFont="1" applyFill="1"/>
    <xf numFmtId="166" fontId="8" fillId="9" borderId="15" xfId="0" applyNumberFormat="1" applyFont="1" applyFill="1" applyBorder="1"/>
    <xf numFmtId="0" fontId="8" fillId="9" borderId="10" xfId="0" applyFont="1" applyFill="1" applyBorder="1"/>
    <xf numFmtId="0" fontId="1" fillId="0" borderId="0" xfId="0" applyFont="1" applyAlignment="1">
      <alignment horizontal="left" vertical="top"/>
    </xf>
    <xf numFmtId="0" fontId="30" fillId="0" borderId="0" xfId="0" applyFont="1" applyAlignment="1">
      <alignment horizontal="left"/>
    </xf>
    <xf numFmtId="0" fontId="30" fillId="0" borderId="0" xfId="0" applyFont="1" applyAlignment="1">
      <alignment horizontal="center"/>
    </xf>
    <xf numFmtId="0" fontId="30" fillId="0" borderId="0" xfId="0" applyFont="1"/>
    <xf numFmtId="0" fontId="31" fillId="0" borderId="0" xfId="0" applyFont="1"/>
    <xf numFmtId="9" fontId="32" fillId="0" borderId="0" xfId="0" applyNumberFormat="1" applyFont="1"/>
    <xf numFmtId="0" fontId="32" fillId="9" borderId="0" xfId="0" applyFont="1" applyFill="1"/>
    <xf numFmtId="9" fontId="32" fillId="9" borderId="0" xfId="0" applyNumberFormat="1" applyFont="1" applyFill="1"/>
    <xf numFmtId="1" fontId="32" fillId="0" borderId="0" xfId="0" applyNumberFormat="1" applyFont="1"/>
    <xf numFmtId="10" fontId="32" fillId="0" borderId="0" xfId="0" applyNumberFormat="1" applyFont="1"/>
    <xf numFmtId="10" fontId="32" fillId="9" borderId="0" xfId="0" applyNumberFormat="1" applyFont="1" applyFill="1"/>
    <xf numFmtId="2" fontId="32" fillId="9" borderId="0" xfId="0" applyNumberFormat="1" applyFont="1" applyFill="1"/>
    <xf numFmtId="0" fontId="13" fillId="0" borderId="0" xfId="0" applyFont="1" applyAlignment="1">
      <alignment horizontal="left"/>
    </xf>
    <xf numFmtId="0" fontId="21" fillId="0" borderId="0" xfId="0" applyFont="1" applyAlignment="1">
      <alignment horizontal="left" vertical="top"/>
    </xf>
    <xf numFmtId="0" fontId="18" fillId="0" borderId="0" xfId="0" applyFont="1"/>
    <xf numFmtId="0" fontId="21" fillId="0" borderId="0" xfId="0" applyFont="1" applyAlignment="1">
      <alignment horizontal="left" wrapText="1"/>
    </xf>
    <xf numFmtId="0" fontId="17" fillId="0" borderId="0" xfId="0" applyFont="1" applyAlignment="1">
      <alignment vertical="center"/>
    </xf>
    <xf numFmtId="0" fontId="33" fillId="0" borderId="0" xfId="0" applyFont="1"/>
    <xf numFmtId="0" fontId="21" fillId="0" borderId="9" xfId="0" applyFont="1" applyBorder="1"/>
    <xf numFmtId="0" fontId="7" fillId="0" borderId="12" xfId="0" applyFont="1" applyBorder="1"/>
    <xf numFmtId="10" fontId="2" fillId="0" borderId="0" xfId="0" applyNumberFormat="1" applyFont="1"/>
    <xf numFmtId="10" fontId="2" fillId="0" borderId="14" xfId="0" applyNumberFormat="1" applyFont="1" applyBorder="1"/>
    <xf numFmtId="0" fontId="0" fillId="0" borderId="9" xfId="0" applyBorder="1"/>
    <xf numFmtId="10" fontId="2" fillId="0" borderId="15" xfId="0" applyNumberFormat="1" applyFont="1" applyBorder="1"/>
    <xf numFmtId="0" fontId="18" fillId="0" borderId="7" xfId="0" applyFont="1" applyBorder="1" applyAlignment="1">
      <alignment vertical="top"/>
    </xf>
    <xf numFmtId="0" fontId="13" fillId="0" borderId="6" xfId="0" applyFont="1" applyBorder="1" applyAlignment="1">
      <alignment vertical="top"/>
    </xf>
    <xf numFmtId="0" fontId="13" fillId="0" borderId="6" xfId="0" applyFont="1" applyBorder="1" applyAlignment="1">
      <alignment horizontal="center" vertical="top"/>
    </xf>
    <xf numFmtId="0" fontId="8" fillId="0" borderId="8" xfId="0" applyFont="1" applyBorder="1" applyAlignment="1">
      <alignment vertical="top"/>
    </xf>
    <xf numFmtId="10" fontId="8" fillId="0" borderId="5" xfId="0" applyNumberFormat="1" applyFont="1" applyBorder="1" applyAlignment="1">
      <alignment horizontal="right" vertical="top"/>
    </xf>
    <xf numFmtId="0" fontId="8" fillId="0" borderId="5" xfId="0" applyFont="1" applyBorder="1" applyAlignment="1">
      <alignment horizontal="right" vertical="top"/>
    </xf>
    <xf numFmtId="0" fontId="29" fillId="0" borderId="7" xfId="0" applyFont="1" applyBorder="1" applyAlignment="1">
      <alignment vertical="top"/>
    </xf>
    <xf numFmtId="0" fontId="29" fillId="0" borderId="6" xfId="0" applyFont="1" applyBorder="1" applyAlignment="1">
      <alignment vertical="top"/>
    </xf>
    <xf numFmtId="0" fontId="29" fillId="0" borderId="8" xfId="0" applyFont="1" applyBorder="1" applyAlignment="1">
      <alignment vertical="top"/>
    </xf>
    <xf numFmtId="0" fontId="29" fillId="0" borderId="5" xfId="0" applyFont="1" applyBorder="1" applyAlignment="1">
      <alignment vertical="top"/>
    </xf>
    <xf numFmtId="0" fontId="19" fillId="0" borderId="7" xfId="0" applyFont="1" applyBorder="1" applyAlignment="1">
      <alignment vertical="top" wrapText="1"/>
    </xf>
    <xf numFmtId="0" fontId="19" fillId="0" borderId="6" xfId="0" applyFont="1" applyBorder="1" applyAlignment="1">
      <alignment vertical="top" wrapText="1"/>
    </xf>
    <xf numFmtId="0" fontId="19" fillId="0" borderId="6" xfId="0" applyFont="1" applyBorder="1" applyAlignment="1">
      <alignment horizontal="center" vertical="top" wrapText="1"/>
    </xf>
    <xf numFmtId="0" fontId="19" fillId="0" borderId="8" xfId="0" applyFont="1" applyBorder="1" applyAlignment="1">
      <alignment vertical="top" wrapText="1"/>
    </xf>
    <xf numFmtId="0" fontId="19" fillId="0" borderId="5" xfId="0" applyFont="1" applyBorder="1" applyAlignment="1">
      <alignment vertical="top" wrapText="1"/>
    </xf>
    <xf numFmtId="0" fontId="19" fillId="0" borderId="5" xfId="0" applyFont="1" applyBorder="1" applyAlignment="1">
      <alignment horizontal="center" vertical="top" wrapText="1"/>
    </xf>
    <xf numFmtId="0" fontId="34" fillId="0" borderId="5" xfId="0" applyFont="1" applyBorder="1" applyAlignment="1">
      <alignment vertical="top" wrapText="1"/>
    </xf>
    <xf numFmtId="0" fontId="20" fillId="0" borderId="0" xfId="0" applyFont="1" applyAlignment="1">
      <alignment wrapText="1"/>
    </xf>
    <xf numFmtId="0" fontId="35" fillId="0" borderId="0" xfId="0" applyFont="1"/>
    <xf numFmtId="0" fontId="35" fillId="0" borderId="0" xfId="0" applyFont="1" applyAlignment="1">
      <alignment horizontal="right"/>
    </xf>
    <xf numFmtId="9" fontId="2" fillId="0" borderId="0" xfId="0" applyNumberFormat="1" applyFont="1"/>
    <xf numFmtId="0" fontId="36" fillId="0" borderId="0" xfId="0" applyFont="1"/>
    <xf numFmtId="165" fontId="8" fillId="9" borderId="0" xfId="0" applyNumberFormat="1" applyFont="1" applyFill="1"/>
    <xf numFmtId="2" fontId="8" fillId="9" borderId="0" xfId="0" applyNumberFormat="1" applyFont="1" applyFill="1"/>
    <xf numFmtId="0" fontId="4" fillId="0" borderId="0" xfId="0" applyFont="1" applyAlignment="1">
      <alignment horizontal="justify" vertical="center"/>
    </xf>
    <xf numFmtId="0" fontId="4" fillId="0" borderId="0" xfId="0" applyFont="1" applyAlignment="1">
      <alignment horizontal="center" vertical="center"/>
    </xf>
    <xf numFmtId="0" fontId="37" fillId="0" borderId="0" xfId="0" applyFont="1" applyAlignment="1">
      <alignment horizontal="justify" vertical="center"/>
    </xf>
    <xf numFmtId="0" fontId="4" fillId="0" borderId="0" xfId="0" applyFont="1" applyAlignment="1">
      <alignment horizontal="left" vertical="center" indent="1"/>
    </xf>
    <xf numFmtId="0" fontId="0" fillId="4" borderId="0" xfId="0" applyFill="1"/>
    <xf numFmtId="0" fontId="42" fillId="0" borderId="17" xfId="0" applyFont="1" applyBorder="1" applyAlignment="1">
      <alignment vertical="center" wrapText="1"/>
    </xf>
    <xf numFmtId="0" fontId="42" fillId="0" borderId="18" xfId="0" applyFont="1" applyBorder="1" applyAlignment="1">
      <alignment vertical="center" wrapText="1"/>
    </xf>
    <xf numFmtId="0" fontId="41" fillId="0" borderId="19" xfId="0" applyFont="1" applyBorder="1" applyAlignment="1">
      <alignment vertical="center" wrapText="1"/>
    </xf>
    <xf numFmtId="0" fontId="41" fillId="0" borderId="20" xfId="0" applyFont="1" applyBorder="1" applyAlignment="1">
      <alignment vertical="center" wrapText="1"/>
    </xf>
    <xf numFmtId="0" fontId="4" fillId="0" borderId="17" xfId="0" applyFont="1" applyBorder="1" applyAlignment="1">
      <alignment vertical="center" wrapText="1"/>
    </xf>
    <xf numFmtId="0" fontId="4" fillId="0" borderId="18" xfId="0" applyFont="1" applyBorder="1" applyAlignment="1">
      <alignment vertical="center" wrapText="1"/>
    </xf>
    <xf numFmtId="0" fontId="4" fillId="0" borderId="18" xfId="0" applyFont="1" applyBorder="1" applyAlignment="1">
      <alignment horizontal="center" vertical="center" wrapText="1"/>
    </xf>
    <xf numFmtId="0" fontId="4" fillId="0" borderId="19" xfId="0" applyFont="1" applyBorder="1" applyAlignment="1">
      <alignment vertical="center" wrapText="1"/>
    </xf>
    <xf numFmtId="0" fontId="4" fillId="0" borderId="20" xfId="0" applyFont="1" applyBorder="1" applyAlignment="1">
      <alignment vertical="center" wrapText="1"/>
    </xf>
    <xf numFmtId="0" fontId="4" fillId="0" borderId="20" xfId="0" applyFont="1" applyBorder="1" applyAlignment="1">
      <alignment horizontal="center" vertical="center" wrapText="1"/>
    </xf>
    <xf numFmtId="0" fontId="4" fillId="0" borderId="21" xfId="0" applyFont="1" applyBorder="1" applyAlignment="1">
      <alignment vertical="center" wrapText="1"/>
    </xf>
    <xf numFmtId="0" fontId="0" fillId="0" borderId="0" xfId="0" applyAlignment="1">
      <alignment vertical="center"/>
    </xf>
    <xf numFmtId="0" fontId="46" fillId="0" borderId="0" xfId="0" applyFont="1" applyAlignment="1">
      <alignment horizontal="center" vertical="center"/>
    </xf>
    <xf numFmtId="166" fontId="0" fillId="0" borderId="0" xfId="0" applyNumberFormat="1"/>
    <xf numFmtId="0" fontId="45" fillId="0" borderId="12" xfId="0" applyFont="1" applyBorder="1" applyAlignment="1">
      <alignment vertical="center"/>
    </xf>
    <xf numFmtId="0" fontId="4" fillId="0" borderId="12" xfId="0" applyFont="1" applyBorder="1" applyAlignment="1">
      <alignment vertical="center"/>
    </xf>
    <xf numFmtId="0" fontId="47" fillId="0" borderId="0" xfId="0" applyFont="1"/>
    <xf numFmtId="0" fontId="47" fillId="0" borderId="9" xfId="0" applyFont="1" applyBorder="1" applyAlignment="1">
      <alignment vertical="center"/>
    </xf>
    <xf numFmtId="0" fontId="47" fillId="0" borderId="10" xfId="0" applyFont="1" applyBorder="1"/>
    <xf numFmtId="0" fontId="47" fillId="0" borderId="12" xfId="0" applyFont="1" applyBorder="1" applyAlignment="1">
      <alignment vertical="center"/>
    </xf>
    <xf numFmtId="0" fontId="47" fillId="0" borderId="13" xfId="0" applyFont="1" applyBorder="1"/>
    <xf numFmtId="0" fontId="47" fillId="0" borderId="12" xfId="0" applyFont="1" applyBorder="1"/>
    <xf numFmtId="9" fontId="47" fillId="0" borderId="0" xfId="0" applyNumberFormat="1" applyFont="1"/>
    <xf numFmtId="0" fontId="47" fillId="0" borderId="9" xfId="0" applyFont="1" applyBorder="1"/>
    <xf numFmtId="0" fontId="47" fillId="0" borderId="14" xfId="0" applyFont="1" applyBorder="1"/>
    <xf numFmtId="0" fontId="47" fillId="0" borderId="15" xfId="0" applyFont="1" applyBorder="1"/>
    <xf numFmtId="0" fontId="47" fillId="0" borderId="16" xfId="0" applyFont="1" applyBorder="1"/>
    <xf numFmtId="0" fontId="47" fillId="0" borderId="0" xfId="0" applyFont="1" applyAlignment="1">
      <alignment vertical="center"/>
    </xf>
    <xf numFmtId="0" fontId="48" fillId="0" borderId="0" xfId="0" applyFont="1" applyAlignment="1">
      <alignment horizontal="center" vertical="center"/>
    </xf>
    <xf numFmtId="0" fontId="44" fillId="0" borderId="9" xfId="0" applyFont="1" applyBorder="1" applyAlignment="1">
      <alignment horizontal="justify" vertical="center"/>
    </xf>
    <xf numFmtId="165" fontId="0" fillId="0" borderId="0" xfId="0" applyNumberFormat="1"/>
    <xf numFmtId="173" fontId="0" fillId="0" borderId="15" xfId="0" applyNumberFormat="1" applyBorder="1"/>
    <xf numFmtId="0" fontId="47" fillId="4" borderId="0" xfId="0" applyFont="1" applyFill="1"/>
    <xf numFmtId="174" fontId="0" fillId="2" borderId="0" xfId="0" applyNumberFormat="1" applyFill="1"/>
    <xf numFmtId="175" fontId="0" fillId="0" borderId="0" xfId="0" applyNumberFormat="1"/>
    <xf numFmtId="176" fontId="0" fillId="0" borderId="0" xfId="0" applyNumberFormat="1"/>
    <xf numFmtId="177" fontId="0" fillId="0" borderId="0" xfId="0" applyNumberFormat="1"/>
    <xf numFmtId="169" fontId="0" fillId="0" borderId="0" xfId="0" applyNumberFormat="1"/>
    <xf numFmtId="0" fontId="0" fillId="0" borderId="0" xfId="0" applyAlignment="1">
      <alignment horizontal="center" vertical="center" wrapText="1"/>
    </xf>
    <xf numFmtId="165" fontId="0" fillId="0" borderId="0" xfId="1" applyNumberFormat="1" applyFont="1" applyBorder="1"/>
    <xf numFmtId="0" fontId="0" fillId="0" borderId="15" xfId="0" applyBorder="1" applyAlignment="1">
      <alignment horizontal="center" vertical="center" wrapText="1"/>
    </xf>
    <xf numFmtId="0" fontId="1" fillId="0" borderId="9" xfId="0" applyFont="1" applyBorder="1" applyAlignment="1">
      <alignment vertical="center" wrapText="1"/>
    </xf>
    <xf numFmtId="0" fontId="0" fillId="0" borderId="10" xfId="0" applyBorder="1" applyAlignment="1">
      <alignment vertical="center" wrapText="1"/>
    </xf>
    <xf numFmtId="0" fontId="0" fillId="0" borderId="13" xfId="0" applyBorder="1" applyAlignment="1">
      <alignment vertical="center" wrapText="1"/>
    </xf>
    <xf numFmtId="9" fontId="1" fillId="3" borderId="0" xfId="0" applyNumberFormat="1" applyFont="1" applyFill="1"/>
    <xf numFmtId="0" fontId="0" fillId="0" borderId="15" xfId="0" applyBorder="1" applyAlignment="1">
      <alignment vertical="center" wrapText="1"/>
    </xf>
    <xf numFmtId="0" fontId="0" fillId="0" borderId="16" xfId="0" applyBorder="1" applyAlignment="1">
      <alignment vertical="center" wrapText="1"/>
    </xf>
    <xf numFmtId="0" fontId="0" fillId="0" borderId="11" xfId="0" applyBorder="1" applyAlignment="1">
      <alignment vertical="center" wrapText="1"/>
    </xf>
    <xf numFmtId="10" fontId="1" fillId="3" borderId="0" xfId="0" applyNumberFormat="1" applyFont="1" applyFill="1"/>
    <xf numFmtId="0" fontId="0" fillId="0" borderId="12" xfId="0" applyBorder="1" applyAlignment="1">
      <alignment vertical="center" wrapText="1"/>
    </xf>
    <xf numFmtId="0" fontId="1" fillId="0" borderId="14" xfId="0" applyFont="1" applyBorder="1" applyAlignment="1">
      <alignment vertical="center" wrapText="1"/>
    </xf>
    <xf numFmtId="0" fontId="0" fillId="0" borderId="9" xfId="0" applyBorder="1" applyAlignment="1">
      <alignment vertical="center" wrapText="1"/>
    </xf>
    <xf numFmtId="0" fontId="0" fillId="0" borderId="0" xfId="0" quotePrefix="1"/>
    <xf numFmtId="44" fontId="0" fillId="0" borderId="0" xfId="3" applyFont="1" applyBorder="1"/>
    <xf numFmtId="0" fontId="1" fillId="0" borderId="12" xfId="0" applyFont="1" applyBorder="1" applyAlignment="1">
      <alignment vertical="center" wrapText="1"/>
    </xf>
    <xf numFmtId="0" fontId="1" fillId="0" borderId="23" xfId="0" applyFont="1" applyBorder="1" applyAlignment="1">
      <alignment vertical="center" wrapText="1"/>
    </xf>
    <xf numFmtId="10" fontId="0" fillId="0" borderId="0" xfId="1" applyNumberFormat="1" applyFont="1" applyBorder="1"/>
    <xf numFmtId="44" fontId="0" fillId="0" borderId="0" xfId="0" applyNumberFormat="1"/>
    <xf numFmtId="44" fontId="1" fillId="3" borderId="0" xfId="0" applyNumberFormat="1" applyFont="1" applyFill="1"/>
    <xf numFmtId="44" fontId="1" fillId="0" borderId="0" xfId="0" applyNumberFormat="1" applyFont="1"/>
    <xf numFmtId="44" fontId="0" fillId="0" borderId="0" xfId="3" applyFont="1" applyBorder="1" applyAlignment="1"/>
    <xf numFmtId="0" fontId="1" fillId="0" borderId="10" xfId="0" applyFont="1" applyBorder="1" applyAlignment="1">
      <alignment vertical="center" wrapText="1"/>
    </xf>
    <xf numFmtId="10" fontId="1" fillId="0" borderId="12" xfId="1" applyNumberFormat="1" applyFont="1" applyBorder="1"/>
    <xf numFmtId="0" fontId="0" fillId="0" borderId="24" xfId="0" applyBorder="1" applyAlignment="1">
      <alignment vertical="center" wrapText="1"/>
    </xf>
    <xf numFmtId="0" fontId="0" fillId="0" borderId="24" xfId="0" applyBorder="1"/>
    <xf numFmtId="0" fontId="0" fillId="0" borderId="25" xfId="0" applyBorder="1"/>
    <xf numFmtId="0" fontId="10" fillId="0" borderId="12" xfId="0" applyFont="1" applyBorder="1"/>
    <xf numFmtId="0" fontId="49" fillId="0" borderId="0" xfId="0" applyFont="1"/>
    <xf numFmtId="0" fontId="10" fillId="0" borderId="14" xfId="0" applyFont="1" applyBorder="1"/>
    <xf numFmtId="0" fontId="50" fillId="5" borderId="15" xfId="0" applyFont="1" applyFill="1" applyBorder="1"/>
    <xf numFmtId="10" fontId="1" fillId="3" borderId="0" xfId="1" applyNumberFormat="1" applyFont="1" applyFill="1" applyBorder="1"/>
    <xf numFmtId="0" fontId="0" fillId="0" borderId="14" xfId="0" applyBorder="1" applyAlignment="1">
      <alignment horizontal="center" vertical="center" wrapText="1"/>
    </xf>
    <xf numFmtId="0" fontId="0" fillId="0" borderId="10" xfId="0" applyBorder="1" applyAlignment="1">
      <alignment horizontal="center" vertical="center" wrapText="1"/>
    </xf>
    <xf numFmtId="0" fontId="50" fillId="0" borderId="12" xfId="0" applyFont="1" applyBorder="1"/>
    <xf numFmtId="0" fontId="51" fillId="0" borderId="0" xfId="0" applyFont="1"/>
    <xf numFmtId="9" fontId="51" fillId="0" borderId="0" xfId="0" applyNumberFormat="1" applyFont="1"/>
    <xf numFmtId="0" fontId="51" fillId="0" borderId="12" xfId="0" applyFont="1" applyBorder="1"/>
    <xf numFmtId="0" fontId="50" fillId="0" borderId="14" xfId="0" applyFont="1" applyBorder="1"/>
    <xf numFmtId="0" fontId="49" fillId="0" borderId="15" xfId="0" applyFont="1" applyBorder="1"/>
    <xf numFmtId="0" fontId="50" fillId="3" borderId="12" xfId="0" applyFont="1" applyFill="1" applyBorder="1"/>
    <xf numFmtId="0" fontId="50" fillId="3" borderId="0" xfId="0" applyFont="1" applyFill="1"/>
    <xf numFmtId="0" fontId="50" fillId="0" borderId="9" xfId="0" applyFont="1" applyBorder="1"/>
    <xf numFmtId="0" fontId="50" fillId="0" borderId="10" xfId="0" applyFont="1" applyBorder="1"/>
    <xf numFmtId="0" fontId="51" fillId="0" borderId="10" xfId="0" applyFont="1" applyBorder="1"/>
    <xf numFmtId="0" fontId="0" fillId="0" borderId="10" xfId="0" applyBorder="1" applyAlignment="1">
      <alignment vertical="center"/>
    </xf>
    <xf numFmtId="0" fontId="50" fillId="3" borderId="14" xfId="0" applyFont="1" applyFill="1" applyBorder="1"/>
    <xf numFmtId="0" fontId="50" fillId="3" borderId="15" xfId="0" applyFont="1" applyFill="1" applyBorder="1"/>
    <xf numFmtId="10" fontId="1" fillId="0" borderId="0" xfId="1" applyNumberFormat="1" applyFont="1" applyBorder="1"/>
    <xf numFmtId="2" fontId="0" fillId="0" borderId="0" xfId="1" applyNumberFormat="1" applyFont="1"/>
    <xf numFmtId="0" fontId="47" fillId="0" borderId="0" xfId="0" applyFont="1" applyAlignment="1">
      <alignment horizontal="center" wrapText="1"/>
    </xf>
    <xf numFmtId="0" fontId="0" fillId="10" borderId="0" xfId="0" applyFill="1"/>
    <xf numFmtId="0" fontId="52" fillId="0" borderId="0" xfId="0" applyFont="1"/>
    <xf numFmtId="0" fontId="53" fillId="10" borderId="0" xfId="0" applyFont="1" applyFill="1"/>
    <xf numFmtId="10" fontId="0" fillId="0" borderId="0" xfId="1" applyNumberFormat="1" applyFont="1"/>
    <xf numFmtId="0" fontId="21" fillId="0" borderId="0" xfId="0" applyFont="1" applyAlignment="1">
      <alignment vertical="center"/>
    </xf>
    <xf numFmtId="0" fontId="0" fillId="11" borderId="0" xfId="0" applyFill="1"/>
    <xf numFmtId="10" fontId="0" fillId="10" borderId="0" xfId="1" applyNumberFormat="1" applyFont="1" applyFill="1"/>
    <xf numFmtId="167" fontId="0" fillId="2" borderId="0" xfId="0" applyNumberFormat="1" applyFill="1"/>
    <xf numFmtId="1" fontId="0" fillId="0" borderId="0" xfId="0" applyNumberFormat="1"/>
    <xf numFmtId="1" fontId="0" fillId="0" borderId="0" xfId="1" applyNumberFormat="1" applyFont="1"/>
    <xf numFmtId="1" fontId="0" fillId="0" borderId="0" xfId="1" applyNumberFormat="1" applyFont="1" applyFill="1"/>
    <xf numFmtId="0" fontId="0" fillId="12" borderId="0" xfId="0" applyFill="1"/>
    <xf numFmtId="0" fontId="7" fillId="12" borderId="0" xfId="0" applyFont="1" applyFill="1" applyAlignment="1">
      <alignment horizontal="center"/>
    </xf>
    <xf numFmtId="0" fontId="8" fillId="12" borderId="0" xfId="0" applyFont="1" applyFill="1"/>
    <xf numFmtId="0" fontId="9" fillId="12" borderId="0" xfId="0" applyFont="1" applyFill="1"/>
    <xf numFmtId="0" fontId="54" fillId="12" borderId="0" xfId="0" applyFont="1" applyFill="1"/>
    <xf numFmtId="0" fontId="55" fillId="0" borderId="0" xfId="0" applyFont="1"/>
    <xf numFmtId="0" fontId="7" fillId="0" borderId="4" xfId="0" applyFont="1" applyBorder="1"/>
    <xf numFmtId="0" fontId="0" fillId="13" borderId="0" xfId="0" applyFill="1"/>
    <xf numFmtId="9" fontId="56" fillId="0" borderId="0" xfId="0" applyNumberFormat="1" applyFont="1"/>
    <xf numFmtId="167" fontId="56" fillId="9" borderId="0" xfId="0" applyNumberFormat="1" applyFont="1" applyFill="1"/>
    <xf numFmtId="10" fontId="56" fillId="0" borderId="0" xfId="0" applyNumberFormat="1" applyFont="1"/>
    <xf numFmtId="10" fontId="56" fillId="9" borderId="0" xfId="0" applyNumberFormat="1" applyFont="1" applyFill="1"/>
    <xf numFmtId="0" fontId="57" fillId="0" borderId="0" xfId="0" applyFont="1"/>
    <xf numFmtId="0" fontId="8" fillId="14" borderId="0" xfId="0" applyFont="1" applyFill="1"/>
    <xf numFmtId="0" fontId="31" fillId="10" borderId="0" xfId="0" applyFont="1" applyFill="1"/>
    <xf numFmtId="0" fontId="7" fillId="15" borderId="0" xfId="0" applyFont="1" applyFill="1"/>
    <xf numFmtId="0" fontId="7" fillId="16" borderId="0" xfId="0" applyFont="1" applyFill="1"/>
    <xf numFmtId="0" fontId="8" fillId="16" borderId="0" xfId="0" applyFont="1" applyFill="1"/>
    <xf numFmtId="0" fontId="0" fillId="16" borderId="0" xfId="0" applyFill="1"/>
    <xf numFmtId="0" fontId="0" fillId="15" borderId="0" xfId="0" applyFill="1"/>
    <xf numFmtId="2" fontId="0" fillId="0" borderId="0" xfId="4" applyNumberFormat="1" applyFont="1"/>
    <xf numFmtId="14" fontId="31" fillId="0" borderId="0" xfId="0" applyNumberFormat="1" applyFont="1"/>
    <xf numFmtId="9" fontId="31" fillId="0" borderId="0" xfId="0" applyNumberFormat="1" applyFont="1"/>
    <xf numFmtId="0" fontId="31" fillId="3" borderId="0" xfId="0" applyFont="1" applyFill="1"/>
    <xf numFmtId="0" fontId="7" fillId="3" borderId="0" xfId="0" applyFont="1" applyFill="1"/>
    <xf numFmtId="0" fontId="0" fillId="0" borderId="7" xfId="0" applyBorder="1"/>
    <xf numFmtId="0" fontId="7" fillId="16" borderId="7" xfId="0" applyFont="1" applyFill="1" applyBorder="1"/>
    <xf numFmtId="0" fontId="57" fillId="16" borderId="7" xfId="0" applyFont="1" applyFill="1" applyBorder="1"/>
    <xf numFmtId="0" fontId="0" fillId="16" borderId="7" xfId="0" applyFill="1" applyBorder="1"/>
    <xf numFmtId="0" fontId="58" fillId="16" borderId="7" xfId="0" applyFont="1" applyFill="1" applyBorder="1"/>
    <xf numFmtId="0" fontId="8" fillId="16" borderId="7" xfId="0" applyFont="1" applyFill="1" applyBorder="1"/>
    <xf numFmtId="0" fontId="8" fillId="0" borderId="7" xfId="0" applyFont="1" applyBorder="1"/>
    <xf numFmtId="0" fontId="7" fillId="16" borderId="26" xfId="0" applyFont="1" applyFill="1" applyBorder="1"/>
    <xf numFmtId="0" fontId="0" fillId="16" borderId="26" xfId="0" applyFill="1" applyBorder="1"/>
    <xf numFmtId="0" fontId="59" fillId="0" borderId="0" xfId="0" applyFont="1"/>
    <xf numFmtId="0" fontId="61" fillId="16" borderId="7" xfId="0" applyFont="1" applyFill="1" applyBorder="1"/>
    <xf numFmtId="0" fontId="35" fillId="16" borderId="7" xfId="0" applyFont="1" applyFill="1" applyBorder="1"/>
    <xf numFmtId="0" fontId="62" fillId="16" borderId="7" xfId="0" applyFont="1" applyFill="1" applyBorder="1"/>
    <xf numFmtId="172" fontId="35" fillId="16" borderId="7" xfId="0" applyNumberFormat="1" applyFont="1" applyFill="1" applyBorder="1"/>
    <xf numFmtId="10" fontId="31" fillId="0" borderId="0" xfId="0" applyNumberFormat="1" applyFont="1"/>
    <xf numFmtId="0" fontId="8" fillId="16" borderId="26" xfId="0" applyFont="1" applyFill="1" applyBorder="1"/>
    <xf numFmtId="9" fontId="8" fillId="16" borderId="0" xfId="0" applyNumberFormat="1" applyFont="1" applyFill="1"/>
    <xf numFmtId="2" fontId="8" fillId="16" borderId="0" xfId="0" applyNumberFormat="1" applyFont="1" applyFill="1"/>
    <xf numFmtId="0" fontId="35" fillId="15" borderId="7" xfId="0" applyFont="1" applyFill="1" applyBorder="1"/>
    <xf numFmtId="0" fontId="57" fillId="17" borderId="7" xfId="0" applyFont="1" applyFill="1" applyBorder="1"/>
    <xf numFmtId="0" fontId="0" fillId="17" borderId="7" xfId="0" applyFill="1" applyBorder="1"/>
    <xf numFmtId="0" fontId="8" fillId="18" borderId="0" xfId="0" applyFont="1" applyFill="1"/>
    <xf numFmtId="0" fontId="8" fillId="15" borderId="0" xfId="0" applyFont="1" applyFill="1"/>
    <xf numFmtId="12" fontId="0" fillId="0" borderId="0" xfId="0" applyNumberFormat="1"/>
    <xf numFmtId="168" fontId="8" fillId="15" borderId="0" xfId="0" applyNumberFormat="1" applyFont="1" applyFill="1"/>
    <xf numFmtId="10" fontId="8" fillId="15" borderId="0" xfId="0" applyNumberFormat="1" applyFont="1" applyFill="1"/>
    <xf numFmtId="0" fontId="7" fillId="0" borderId="0" xfId="0" applyFont="1" applyAlignment="1">
      <alignment horizontal="center" wrapText="1"/>
    </xf>
    <xf numFmtId="0" fontId="7" fillId="0" borderId="0" xfId="0" applyFont="1" applyAlignment="1">
      <alignment horizontal="center" vertical="center"/>
    </xf>
    <xf numFmtId="0" fontId="13" fillId="4" borderId="0" xfId="0" applyFont="1" applyFill="1"/>
    <xf numFmtId="1" fontId="0" fillId="0" borderId="0" xfId="4" applyNumberFormat="1" applyFont="1"/>
    <xf numFmtId="0" fontId="60" fillId="16" borderId="1" xfId="0" applyFont="1" applyFill="1" applyBorder="1"/>
    <xf numFmtId="0" fontId="8" fillId="16" borderId="27" xfId="0" applyFont="1" applyFill="1" applyBorder="1"/>
    <xf numFmtId="0" fontId="8" fillId="16" borderId="28" xfId="0" applyFont="1" applyFill="1" applyBorder="1"/>
    <xf numFmtId="0" fontId="8" fillId="16" borderId="2" xfId="0" applyFont="1" applyFill="1" applyBorder="1"/>
    <xf numFmtId="0" fontId="8" fillId="16" borderId="29" xfId="0" applyFont="1" applyFill="1" applyBorder="1"/>
    <xf numFmtId="0" fontId="8" fillId="16" borderId="3" xfId="0" applyFont="1" applyFill="1" applyBorder="1"/>
    <xf numFmtId="0" fontId="8" fillId="16" borderId="4" xfId="0" applyFont="1" applyFill="1" applyBorder="1"/>
    <xf numFmtId="0" fontId="8" fillId="16" borderId="5" xfId="0" applyFont="1" applyFill="1" applyBorder="1"/>
    <xf numFmtId="0" fontId="63" fillId="0" borderId="7" xfId="0" applyFont="1" applyBorder="1"/>
    <xf numFmtId="0" fontId="63" fillId="0" borderId="0" xfId="0" applyFont="1"/>
    <xf numFmtId="0" fontId="0" fillId="0" borderId="30" xfId="0" applyBorder="1"/>
    <xf numFmtId="9" fontId="0" fillId="0" borderId="30" xfId="0" applyNumberFormat="1" applyBorder="1"/>
    <xf numFmtId="10" fontId="0" fillId="0" borderId="30" xfId="1" applyNumberFormat="1" applyFont="1" applyBorder="1"/>
    <xf numFmtId="0" fontId="0" fillId="2" borderId="30" xfId="0" applyFill="1" applyBorder="1"/>
    <xf numFmtId="168" fontId="0" fillId="2" borderId="30" xfId="0" applyNumberFormat="1" applyFill="1" applyBorder="1"/>
    <xf numFmtId="0" fontId="65" fillId="0" borderId="31" xfId="0" applyFont="1" applyBorder="1" applyAlignment="1">
      <alignment horizontal="center"/>
    </xf>
    <xf numFmtId="0" fontId="0" fillId="0" borderId="32" xfId="0" applyBorder="1"/>
    <xf numFmtId="10" fontId="8" fillId="0" borderId="0" xfId="1" applyNumberFormat="1" applyFont="1" applyFill="1"/>
    <xf numFmtId="10" fontId="8" fillId="0" borderId="0" xfId="1" applyNumberFormat="1" applyFont="1"/>
    <xf numFmtId="167" fontId="2" fillId="0" borderId="0" xfId="0" applyNumberFormat="1" applyFont="1"/>
    <xf numFmtId="2" fontId="2" fillId="0" borderId="0" xfId="0" applyNumberFormat="1" applyFont="1"/>
    <xf numFmtId="0" fontId="0" fillId="0" borderId="0" xfId="0" applyAlignment="1">
      <alignment horizontal="center" vertical="center" wrapText="1"/>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0" xfId="0" applyAlignment="1">
      <alignment horizontal="center" wrapText="1"/>
    </xf>
    <xf numFmtId="0" fontId="0" fillId="4" borderId="0" xfId="0" applyFill="1" applyAlignment="1">
      <alignment horizontal="center" wrapText="1"/>
    </xf>
    <xf numFmtId="0" fontId="7" fillId="0" borderId="0" xfId="0" applyFont="1" applyAlignment="1">
      <alignment vertical="center" wrapText="1"/>
    </xf>
    <xf numFmtId="0" fontId="0" fillId="0" borderId="0" xfId="0"/>
    <xf numFmtId="0" fontId="7" fillId="0" borderId="0" xfId="0" applyFont="1" applyAlignment="1">
      <alignment wrapText="1"/>
    </xf>
    <xf numFmtId="0" fontId="7" fillId="0" borderId="0" xfId="0" applyFont="1" applyAlignment="1">
      <alignment horizontal="center" wrapText="1"/>
    </xf>
    <xf numFmtId="0" fontId="5" fillId="0" borderId="0" xfId="0" applyFont="1" applyAlignment="1">
      <alignment horizontal="center" wrapText="1"/>
    </xf>
    <xf numFmtId="0" fontId="0" fillId="0" borderId="10" xfId="0" applyBorder="1" applyAlignment="1">
      <alignment horizontal="center" wrapText="1"/>
    </xf>
    <xf numFmtId="0" fontId="0" fillId="0" borderId="11" xfId="0" applyBorder="1" applyAlignment="1">
      <alignment horizontal="center" wrapText="1"/>
    </xf>
    <xf numFmtId="0" fontId="0" fillId="0" borderId="13"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0" fillId="0" borderId="0" xfId="0" applyAlignment="1">
      <alignment horizontal="left" vertical="center" wrapText="1"/>
    </xf>
    <xf numFmtId="0" fontId="0" fillId="0" borderId="13" xfId="0" applyBorder="1" applyAlignment="1">
      <alignment horizontal="left" vertical="center" wrapText="1"/>
    </xf>
    <xf numFmtId="0" fontId="5" fillId="0" borderId="9" xfId="0" applyFont="1" applyBorder="1" applyAlignment="1">
      <alignment wrapText="1"/>
    </xf>
    <xf numFmtId="0" fontId="0" fillId="0" borderId="10" xfId="0" applyBorder="1"/>
    <xf numFmtId="0" fontId="5" fillId="0" borderId="0" xfId="0" applyFont="1" applyAlignment="1">
      <alignment wrapText="1"/>
    </xf>
    <xf numFmtId="0" fontId="8" fillId="0" borderId="0" xfId="0" applyFont="1" applyAlignment="1">
      <alignment horizontal="center" wrapText="1"/>
    </xf>
    <xf numFmtId="0" fontId="8" fillId="0" borderId="0" xfId="0" applyFont="1" applyAlignment="1">
      <alignment horizontal="center" vertical="center" wrapText="1"/>
    </xf>
    <xf numFmtId="0" fontId="8" fillId="9" borderId="0" xfId="0" applyFont="1" applyFill="1" applyAlignment="1">
      <alignment horizontal="center" wrapText="1"/>
    </xf>
    <xf numFmtId="0" fontId="2" fillId="0" borderId="0" xfId="0" applyFont="1" applyAlignment="1">
      <alignment horizontal="center" wrapText="1"/>
    </xf>
    <xf numFmtId="0" fontId="2" fillId="0" borderId="13" xfId="0" applyFont="1" applyBorder="1" applyAlignment="1">
      <alignment horizontal="center" wrapText="1"/>
    </xf>
    <xf numFmtId="0" fontId="17" fillId="0" borderId="0" xfId="0" applyFont="1" applyAlignment="1">
      <alignment wrapText="1"/>
    </xf>
    <xf numFmtId="0" fontId="19" fillId="0" borderId="0" xfId="0" applyFont="1" applyAlignment="1">
      <alignment wrapText="1"/>
    </xf>
    <xf numFmtId="0" fontId="21" fillId="0" borderId="0" xfId="0" applyFont="1" applyAlignment="1">
      <alignment wrapText="1"/>
    </xf>
    <xf numFmtId="0" fontId="2" fillId="0" borderId="10" xfId="0" applyFont="1" applyBorder="1" applyAlignment="1">
      <alignment horizontal="center" wrapText="1"/>
    </xf>
    <xf numFmtId="0" fontId="17" fillId="0" borderId="0" xfId="0" applyFont="1" applyAlignment="1">
      <alignment horizontal="left" wrapText="1"/>
    </xf>
    <xf numFmtId="0" fontId="17" fillId="0" borderId="9" xfId="0" applyFont="1" applyBorder="1" applyAlignment="1">
      <alignment wrapText="1"/>
    </xf>
    <xf numFmtId="0" fontId="32" fillId="0" borderId="0" xfId="0" applyFont="1" applyAlignment="1">
      <alignment horizontal="center" wrapText="1"/>
    </xf>
    <xf numFmtId="0" fontId="64" fillId="0" borderId="0" xfId="0" applyFont="1" applyAlignment="1">
      <alignment horizontal="center" wrapText="1"/>
    </xf>
    <xf numFmtId="0" fontId="7" fillId="0" borderId="0" xfId="0" applyFont="1" applyAlignment="1">
      <alignment horizontal="left" vertical="center" wrapText="1"/>
    </xf>
    <xf numFmtId="0" fontId="13" fillId="0" borderId="0" xfId="0" applyFont="1" applyAlignment="1">
      <alignment horizontal="center" wrapText="1"/>
    </xf>
    <xf numFmtId="0" fontId="39" fillId="0" borderId="0" xfId="0" applyFont="1" applyAlignment="1">
      <alignment horizontal="center" vertical="center" wrapText="1"/>
    </xf>
    <xf numFmtId="0" fontId="37" fillId="0" borderId="0" xfId="0" applyFont="1" applyAlignment="1">
      <alignment horizontal="center" vertical="center" wrapText="1"/>
    </xf>
    <xf numFmtId="0" fontId="43" fillId="0" borderId="22" xfId="0" applyFont="1" applyBorder="1" applyAlignment="1">
      <alignment vertical="center" wrapText="1"/>
    </xf>
    <xf numFmtId="0" fontId="43" fillId="0" borderId="19" xfId="0" applyFont="1" applyBorder="1" applyAlignment="1">
      <alignment vertical="center" wrapText="1"/>
    </xf>
    <xf numFmtId="0" fontId="4" fillId="0" borderId="22" xfId="0" applyFont="1" applyBorder="1" applyAlignment="1">
      <alignment vertical="center" wrapText="1"/>
    </xf>
    <xf numFmtId="0" fontId="4" fillId="0" borderId="19" xfId="0" applyFont="1" applyBorder="1" applyAlignment="1">
      <alignment vertical="center" wrapText="1"/>
    </xf>
    <xf numFmtId="0" fontId="0" fillId="4" borderId="10" xfId="0" applyFill="1" applyBorder="1" applyAlignment="1">
      <alignment horizontal="center" wrapText="1"/>
    </xf>
    <xf numFmtId="0" fontId="0" fillId="4" borderId="11" xfId="0" applyFill="1" applyBorder="1" applyAlignment="1">
      <alignment horizontal="center" wrapText="1"/>
    </xf>
    <xf numFmtId="0" fontId="0" fillId="4" borderId="13" xfId="0" applyFill="1" applyBorder="1" applyAlignment="1">
      <alignment horizontal="center" wrapText="1"/>
    </xf>
    <xf numFmtId="0" fontId="47" fillId="0" borderId="0" xfId="0" applyFont="1" applyAlignment="1">
      <alignment horizontal="center" wrapText="1"/>
    </xf>
    <xf numFmtId="0" fontId="47" fillId="0" borderId="10" xfId="0" applyFont="1" applyBorder="1" applyAlignment="1">
      <alignment horizontal="center" wrapText="1"/>
    </xf>
    <xf numFmtId="0" fontId="47" fillId="0" borderId="11" xfId="0" applyFont="1" applyBorder="1" applyAlignment="1">
      <alignment horizontal="center" wrapText="1"/>
    </xf>
    <xf numFmtId="0" fontId="47" fillId="0" borderId="13" xfId="0" applyFont="1" applyBorder="1" applyAlignment="1">
      <alignment horizontal="center" wrapText="1"/>
    </xf>
    <xf numFmtId="0" fontId="47" fillId="4" borderId="0" xfId="0" applyFont="1" applyFill="1" applyAlignment="1">
      <alignment horizontal="center" wrapText="1"/>
    </xf>
    <xf numFmtId="0" fontId="44" fillId="0" borderId="9" xfId="0" applyFont="1" applyBorder="1" applyAlignment="1">
      <alignment horizontal="center" vertical="center" wrapText="1"/>
    </xf>
    <xf numFmtId="0" fontId="44" fillId="0" borderId="10" xfId="0" applyFont="1" applyBorder="1" applyAlignment="1">
      <alignment horizontal="center" vertical="center" wrapText="1"/>
    </xf>
    <xf numFmtId="0" fontId="44" fillId="0" borderId="11" xfId="0" applyFont="1" applyBorder="1" applyAlignment="1">
      <alignment horizontal="center" vertical="center" wrapText="1"/>
    </xf>
    <xf numFmtId="0" fontId="44" fillId="0" borderId="12" xfId="0" applyFont="1" applyBorder="1" applyAlignment="1">
      <alignment horizontal="center" vertical="center" wrapText="1"/>
    </xf>
    <xf numFmtId="0" fontId="44" fillId="0" borderId="0" xfId="0" applyFont="1" applyAlignment="1">
      <alignment horizontal="center" vertical="center" wrapText="1"/>
    </xf>
    <xf numFmtId="0" fontId="44" fillId="0" borderId="13" xfId="0" applyFont="1" applyBorder="1" applyAlignment="1">
      <alignment horizontal="center" vertical="center" wrapText="1"/>
    </xf>
    <xf numFmtId="0" fontId="47" fillId="4" borderId="9" xfId="0" applyFont="1" applyFill="1" applyBorder="1" applyAlignment="1">
      <alignment horizontal="center" wrapText="1"/>
    </xf>
    <xf numFmtId="0" fontId="47" fillId="4" borderId="10" xfId="0" applyFont="1" applyFill="1" applyBorder="1" applyAlignment="1">
      <alignment horizontal="center" wrapText="1"/>
    </xf>
    <xf numFmtId="0" fontId="47" fillId="4" borderId="11" xfId="0" applyFont="1" applyFill="1" applyBorder="1" applyAlignment="1">
      <alignment horizontal="center" wrapText="1"/>
    </xf>
    <xf numFmtId="0" fontId="47" fillId="4" borderId="12" xfId="0" applyFont="1" applyFill="1" applyBorder="1" applyAlignment="1">
      <alignment horizontal="center" wrapText="1"/>
    </xf>
    <xf numFmtId="0" fontId="47" fillId="4" borderId="13" xfId="0" applyFont="1" applyFill="1" applyBorder="1" applyAlignment="1">
      <alignment horizontal="center" wrapText="1"/>
    </xf>
    <xf numFmtId="0" fontId="47" fillId="0" borderId="0" xfId="0" applyFont="1" applyAlignment="1">
      <alignment horizontal="center" vertical="center" wrapText="1"/>
    </xf>
  </cellXfs>
  <cellStyles count="5">
    <cellStyle name="Гиперссылка" xfId="2" builtinId="8"/>
    <cellStyle name="Денежный" xfId="3" builtinId="4"/>
    <cellStyle name="Обычный" xfId="0" builtinId="0"/>
    <cellStyle name="Процентный" xfId="1" builtinId="5"/>
    <cellStyle name="Финансовый" xfId="4"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externalLink" Target="externalLinks/externalLink2.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1"/>
          <c:order val="0"/>
          <c:tx>
            <c:strRef>
              <c:f>[3]Лист2!$I$121</c:f>
              <c:strCache>
                <c:ptCount val="1"/>
                <c:pt idx="0">
                  <c:v>ПростаяПродажа</c:v>
                </c:pt>
              </c:strCache>
            </c:strRef>
          </c:tx>
          <c:spPr>
            <a:ln w="28575" cap="rnd">
              <a:solidFill>
                <a:schemeClr val="accent2"/>
              </a:solidFill>
              <a:round/>
            </a:ln>
            <a:effectLst/>
          </c:spPr>
          <c:marker>
            <c:symbol val="none"/>
          </c:marker>
          <c:cat>
            <c:numRef>
              <c:f>[3]Лист2!$H$118:$H$120</c:f>
              <c:numCache>
                <c:formatCode>General</c:formatCode>
                <c:ptCount val="3"/>
                <c:pt idx="0">
                  <c:v>95</c:v>
                </c:pt>
                <c:pt idx="1">
                  <c:v>105</c:v>
                </c:pt>
                <c:pt idx="2">
                  <c:v>115</c:v>
                </c:pt>
              </c:numCache>
            </c:numRef>
          </c:cat>
          <c:val>
            <c:numRef>
              <c:f>[3]Лист2!$I$122:$I$124</c:f>
              <c:numCache>
                <c:formatCode>General</c:formatCode>
                <c:ptCount val="3"/>
                <c:pt idx="0">
                  <c:v>-6</c:v>
                </c:pt>
                <c:pt idx="1">
                  <c:v>4</c:v>
                </c:pt>
                <c:pt idx="2">
                  <c:v>4</c:v>
                </c:pt>
              </c:numCache>
            </c:numRef>
          </c:val>
          <c:smooth val="0"/>
          <c:extLst>
            <c:ext xmlns:c16="http://schemas.microsoft.com/office/drawing/2014/chart" uri="{C3380CC4-5D6E-409C-BE32-E72D297353CC}">
              <c16:uniqueId val="{00000000-A6B6-4C83-B4C8-61CA7AD3EFB1}"/>
            </c:ext>
          </c:extLst>
        </c:ser>
        <c:ser>
          <c:idx val="2"/>
          <c:order val="1"/>
          <c:tx>
            <c:strRef>
              <c:f>[3]Лист2!$J$121</c:f>
              <c:strCache>
                <c:ptCount val="1"/>
                <c:pt idx="0">
                  <c:v>ПростаяКороткаяПродажа</c:v>
                </c:pt>
              </c:strCache>
            </c:strRef>
          </c:tx>
          <c:spPr>
            <a:ln w="28575" cap="rnd">
              <a:solidFill>
                <a:schemeClr val="accent3"/>
              </a:solidFill>
              <a:round/>
            </a:ln>
            <a:effectLst/>
          </c:spPr>
          <c:marker>
            <c:symbol val="none"/>
          </c:marker>
          <c:cat>
            <c:numRef>
              <c:f>[3]Лист2!$H$118:$H$120</c:f>
              <c:numCache>
                <c:formatCode>General</c:formatCode>
                <c:ptCount val="3"/>
                <c:pt idx="0">
                  <c:v>95</c:v>
                </c:pt>
                <c:pt idx="1">
                  <c:v>105</c:v>
                </c:pt>
                <c:pt idx="2">
                  <c:v>115</c:v>
                </c:pt>
              </c:numCache>
            </c:numRef>
          </c:cat>
          <c:val>
            <c:numRef>
              <c:f>[3]Лист2!$J$122:$J$124</c:f>
              <c:numCache>
                <c:formatCode>General</c:formatCode>
                <c:ptCount val="3"/>
                <c:pt idx="0">
                  <c:v>16.424999999999997</c:v>
                </c:pt>
                <c:pt idx="1">
                  <c:v>6.4249999999999972</c:v>
                </c:pt>
                <c:pt idx="2">
                  <c:v>-3.5750000000000028</c:v>
                </c:pt>
              </c:numCache>
            </c:numRef>
          </c:val>
          <c:smooth val="0"/>
          <c:extLst>
            <c:ext xmlns:c16="http://schemas.microsoft.com/office/drawing/2014/chart" uri="{C3380CC4-5D6E-409C-BE32-E72D297353CC}">
              <c16:uniqueId val="{00000001-A6B6-4C83-B4C8-61CA7AD3EFB1}"/>
            </c:ext>
          </c:extLst>
        </c:ser>
        <c:ser>
          <c:idx val="3"/>
          <c:order val="2"/>
          <c:tx>
            <c:strRef>
              <c:f>[3]Лист2!$K$121</c:f>
              <c:strCache>
                <c:ptCount val="1"/>
                <c:pt idx="0">
                  <c:v>ПродажаОпционаПутСОсуществлениемКороткойПродажи</c:v>
                </c:pt>
              </c:strCache>
            </c:strRef>
          </c:tx>
          <c:spPr>
            <a:ln w="28575" cap="rnd">
              <a:solidFill>
                <a:schemeClr val="accent4"/>
              </a:solidFill>
              <a:round/>
            </a:ln>
            <a:effectLst/>
          </c:spPr>
          <c:marker>
            <c:symbol val="none"/>
          </c:marker>
          <c:cat>
            <c:numRef>
              <c:f>[3]Лист2!$H$118:$H$120</c:f>
              <c:numCache>
                <c:formatCode>General</c:formatCode>
                <c:ptCount val="3"/>
                <c:pt idx="0">
                  <c:v>95</c:v>
                </c:pt>
                <c:pt idx="1">
                  <c:v>105</c:v>
                </c:pt>
                <c:pt idx="2">
                  <c:v>115</c:v>
                </c:pt>
              </c:numCache>
            </c:numRef>
          </c:cat>
          <c:val>
            <c:numRef>
              <c:f>[3]Лист2!$K$122:$K$124</c:f>
              <c:numCache>
                <c:formatCode>General</c:formatCode>
                <c:ptCount val="3"/>
                <c:pt idx="0">
                  <c:v>10.424999999999997</c:v>
                </c:pt>
                <c:pt idx="1">
                  <c:v>10.424999999999997</c:v>
                </c:pt>
                <c:pt idx="2">
                  <c:v>0.42499999999999716</c:v>
                </c:pt>
              </c:numCache>
            </c:numRef>
          </c:val>
          <c:smooth val="0"/>
          <c:extLst>
            <c:ext xmlns:c16="http://schemas.microsoft.com/office/drawing/2014/chart" uri="{C3380CC4-5D6E-409C-BE32-E72D297353CC}">
              <c16:uniqueId val="{00000002-A6B6-4C83-B4C8-61CA7AD3EFB1}"/>
            </c:ext>
          </c:extLst>
        </c:ser>
        <c:dLbls>
          <c:showLegendKey val="0"/>
          <c:showVal val="0"/>
          <c:showCatName val="0"/>
          <c:showSerName val="0"/>
          <c:showPercent val="0"/>
          <c:showBubbleSize val="0"/>
        </c:dLbls>
        <c:smooth val="0"/>
        <c:axId val="407637663"/>
        <c:axId val="407648479"/>
      </c:lineChart>
      <c:catAx>
        <c:axId val="40763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07648479"/>
        <c:crosses val="autoZero"/>
        <c:auto val="1"/>
        <c:lblAlgn val="ctr"/>
        <c:lblOffset val="100"/>
        <c:noMultiLvlLbl val="0"/>
      </c:catAx>
      <c:valAx>
        <c:axId val="407648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07637663"/>
        <c:crosses val="autoZero"/>
        <c:crossBetween val="between"/>
      </c:valAx>
      <c:spPr>
        <a:noFill/>
        <a:ln>
          <a:noFill/>
        </a:ln>
        <a:effectLst/>
      </c:spPr>
    </c:plotArea>
    <c:legend>
      <c:legendPos val="b"/>
      <c:layout>
        <c:manualLayout>
          <c:xMode val="edge"/>
          <c:yMode val="edge"/>
          <c:x val="0.26557821439512491"/>
          <c:y val="0.81486480394936778"/>
          <c:w val="0.5235226905785042"/>
          <c:h val="0.181441751913974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[3]Лист2!$M$147</c:f>
              <c:strCache>
                <c:ptCount val="1"/>
                <c:pt idx="0">
                  <c:v>ПростаяПокупкаАкции</c:v>
                </c:pt>
              </c:strCache>
            </c:strRef>
          </c:tx>
          <c:spPr>
            <a:ln w="28575" cap="rnd">
              <a:solidFill>
                <a:schemeClr val="accent1"/>
              </a:solidFill>
              <a:round/>
            </a:ln>
            <a:effectLst/>
          </c:spPr>
          <c:marker>
            <c:symbol val="none"/>
          </c:marker>
          <c:cat>
            <c:numRef>
              <c:f>[3]Лист2!$L$148:$L$150</c:f>
              <c:numCache>
                <c:formatCode>General</c:formatCode>
                <c:ptCount val="3"/>
                <c:pt idx="0">
                  <c:v>500</c:v>
                </c:pt>
                <c:pt idx="1">
                  <c:v>600</c:v>
                </c:pt>
                <c:pt idx="2">
                  <c:v>700</c:v>
                </c:pt>
              </c:numCache>
            </c:numRef>
          </c:cat>
          <c:val>
            <c:numRef>
              <c:f>[3]Лист2!$M$148:$M$150</c:f>
              <c:numCache>
                <c:formatCode>General</c:formatCode>
                <c:ptCount val="3"/>
                <c:pt idx="0">
                  <c:v>-15</c:v>
                </c:pt>
                <c:pt idx="1">
                  <c:v>85</c:v>
                </c:pt>
                <c:pt idx="2">
                  <c:v>185</c:v>
                </c:pt>
              </c:numCache>
            </c:numRef>
          </c:val>
          <c:smooth val="0"/>
          <c:extLst>
            <c:ext xmlns:c16="http://schemas.microsoft.com/office/drawing/2014/chart" uri="{C3380CC4-5D6E-409C-BE32-E72D297353CC}">
              <c16:uniqueId val="{00000000-C51A-4400-85DE-251B260E5A06}"/>
            </c:ext>
          </c:extLst>
        </c:ser>
        <c:ser>
          <c:idx val="1"/>
          <c:order val="1"/>
          <c:tx>
            <c:strRef>
              <c:f>[3]Лист2!$N$147</c:f>
              <c:strCache>
                <c:ptCount val="1"/>
                <c:pt idx="0">
                  <c:v>Опцион</c:v>
                </c:pt>
              </c:strCache>
            </c:strRef>
          </c:tx>
          <c:spPr>
            <a:ln w="28575" cap="rnd">
              <a:solidFill>
                <a:schemeClr val="accent2"/>
              </a:solidFill>
              <a:round/>
            </a:ln>
            <a:effectLst/>
          </c:spPr>
          <c:marker>
            <c:symbol val="none"/>
          </c:marker>
          <c:cat>
            <c:numRef>
              <c:f>[3]Лист2!$L$148:$L$150</c:f>
              <c:numCache>
                <c:formatCode>General</c:formatCode>
                <c:ptCount val="3"/>
                <c:pt idx="0">
                  <c:v>500</c:v>
                </c:pt>
                <c:pt idx="1">
                  <c:v>600</c:v>
                </c:pt>
                <c:pt idx="2">
                  <c:v>700</c:v>
                </c:pt>
              </c:numCache>
            </c:numRef>
          </c:cat>
          <c:val>
            <c:numRef>
              <c:f>[3]Лист2!$N$148:$N$150</c:f>
              <c:numCache>
                <c:formatCode>General</c:formatCode>
                <c:ptCount val="3"/>
                <c:pt idx="0">
                  <c:v>33.5</c:v>
                </c:pt>
                <c:pt idx="1">
                  <c:v>33.5</c:v>
                </c:pt>
                <c:pt idx="2">
                  <c:v>133.5</c:v>
                </c:pt>
              </c:numCache>
            </c:numRef>
          </c:val>
          <c:smooth val="0"/>
          <c:extLst>
            <c:ext xmlns:c16="http://schemas.microsoft.com/office/drawing/2014/chart" uri="{C3380CC4-5D6E-409C-BE32-E72D297353CC}">
              <c16:uniqueId val="{00000001-C51A-4400-85DE-251B260E5A06}"/>
            </c:ext>
          </c:extLst>
        </c:ser>
        <c:dLbls>
          <c:showLegendKey val="0"/>
          <c:showVal val="0"/>
          <c:showCatName val="0"/>
          <c:showSerName val="0"/>
          <c:showPercent val="0"/>
          <c:showBubbleSize val="0"/>
        </c:dLbls>
        <c:smooth val="0"/>
        <c:axId val="395925055"/>
        <c:axId val="395927967"/>
      </c:lineChart>
      <c:catAx>
        <c:axId val="39592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5927967"/>
        <c:crosses val="autoZero"/>
        <c:auto val="1"/>
        <c:lblAlgn val="ctr"/>
        <c:lblOffset val="100"/>
        <c:noMultiLvlLbl val="0"/>
      </c:catAx>
      <c:valAx>
        <c:axId val="39592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59250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[3]Лист2!$M$154</c:f>
              <c:strCache>
                <c:ptCount val="1"/>
                <c:pt idx="0">
                  <c:v>ПростаяПокупкаАкции</c:v>
                </c:pt>
              </c:strCache>
            </c:strRef>
          </c:tx>
          <c:spPr>
            <a:ln w="28575" cap="rnd">
              <a:solidFill>
                <a:schemeClr val="accent1"/>
              </a:solidFill>
              <a:round/>
            </a:ln>
            <a:effectLst/>
          </c:spPr>
          <c:marker>
            <c:symbol val="none"/>
          </c:marker>
          <c:cat>
            <c:numRef>
              <c:f>[3]Лист2!$L$155:$L$157</c:f>
              <c:numCache>
                <c:formatCode>General</c:formatCode>
                <c:ptCount val="3"/>
                <c:pt idx="0">
                  <c:v>560</c:v>
                </c:pt>
                <c:pt idx="1">
                  <c:v>566.5</c:v>
                </c:pt>
                <c:pt idx="2">
                  <c:v>573</c:v>
                </c:pt>
              </c:numCache>
            </c:numRef>
          </c:cat>
          <c:val>
            <c:numRef>
              <c:f>[3]Лист2!$M$155:$M$157</c:f>
              <c:numCache>
                <c:formatCode>General</c:formatCode>
                <c:ptCount val="3"/>
                <c:pt idx="0">
                  <c:v>45</c:v>
                </c:pt>
                <c:pt idx="1">
                  <c:v>51.5</c:v>
                </c:pt>
                <c:pt idx="2">
                  <c:v>58</c:v>
                </c:pt>
              </c:numCache>
            </c:numRef>
          </c:val>
          <c:smooth val="0"/>
          <c:extLst>
            <c:ext xmlns:c16="http://schemas.microsoft.com/office/drawing/2014/chart" uri="{C3380CC4-5D6E-409C-BE32-E72D297353CC}">
              <c16:uniqueId val="{00000000-8CDC-4EBE-9513-E1119A57851F}"/>
            </c:ext>
          </c:extLst>
        </c:ser>
        <c:ser>
          <c:idx val="1"/>
          <c:order val="1"/>
          <c:tx>
            <c:strRef>
              <c:f>[3]Лист2!$N$154</c:f>
              <c:strCache>
                <c:ptCount val="1"/>
                <c:pt idx="0">
                  <c:v>Опцион</c:v>
                </c:pt>
              </c:strCache>
            </c:strRef>
          </c:tx>
          <c:spPr>
            <a:ln w="28575" cap="rnd">
              <a:solidFill>
                <a:schemeClr val="accent2"/>
              </a:solidFill>
              <a:round/>
            </a:ln>
            <a:effectLst/>
          </c:spPr>
          <c:marker>
            <c:symbol val="none"/>
          </c:marker>
          <c:cat>
            <c:numRef>
              <c:f>[3]Лист2!$L$155:$L$157</c:f>
              <c:numCache>
                <c:formatCode>General</c:formatCode>
                <c:ptCount val="3"/>
                <c:pt idx="0">
                  <c:v>560</c:v>
                </c:pt>
                <c:pt idx="1">
                  <c:v>566.5</c:v>
                </c:pt>
                <c:pt idx="2">
                  <c:v>573</c:v>
                </c:pt>
              </c:numCache>
            </c:numRef>
          </c:cat>
          <c:val>
            <c:numRef>
              <c:f>[3]Лист2!$N$155:$N$157</c:f>
              <c:numCache>
                <c:formatCode>General</c:formatCode>
                <c:ptCount val="3"/>
                <c:pt idx="0">
                  <c:v>-6.5</c:v>
                </c:pt>
                <c:pt idx="1">
                  <c:v>0</c:v>
                </c:pt>
                <c:pt idx="2">
                  <c:v>6.5</c:v>
                </c:pt>
              </c:numCache>
            </c:numRef>
          </c:val>
          <c:smooth val="0"/>
          <c:extLst>
            <c:ext xmlns:c16="http://schemas.microsoft.com/office/drawing/2014/chart" uri="{C3380CC4-5D6E-409C-BE32-E72D297353CC}">
              <c16:uniqueId val="{00000001-8CDC-4EBE-9513-E1119A57851F}"/>
            </c:ext>
          </c:extLst>
        </c:ser>
        <c:dLbls>
          <c:showLegendKey val="0"/>
          <c:showVal val="0"/>
          <c:showCatName val="0"/>
          <c:showSerName val="0"/>
          <c:showPercent val="0"/>
          <c:showBubbleSize val="0"/>
        </c:dLbls>
        <c:smooth val="0"/>
        <c:axId val="395900927"/>
        <c:axId val="395906751"/>
      </c:lineChart>
      <c:catAx>
        <c:axId val="39590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5906751"/>
        <c:crosses val="autoZero"/>
        <c:auto val="1"/>
        <c:lblAlgn val="ctr"/>
        <c:lblOffset val="100"/>
        <c:noMultiLvlLbl val="0"/>
      </c:catAx>
      <c:valAx>
        <c:axId val="395906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5900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5.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3" Type="http://schemas.openxmlformats.org/officeDocument/2006/relationships/image" Target="../media/image52.png"/><Relationship Id="rId7" Type="http://schemas.openxmlformats.org/officeDocument/2006/relationships/image" Target="../media/image56.png"/><Relationship Id="rId12" Type="http://schemas.openxmlformats.org/officeDocument/2006/relationships/image" Target="../media/image61.png"/><Relationship Id="rId17" Type="http://schemas.openxmlformats.org/officeDocument/2006/relationships/image" Target="../media/image66.png"/><Relationship Id="rId2" Type="http://schemas.openxmlformats.org/officeDocument/2006/relationships/image" Target="../media/image51.png"/><Relationship Id="rId16" Type="http://schemas.openxmlformats.org/officeDocument/2006/relationships/image" Target="../media/image65.pn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5" Type="http://schemas.openxmlformats.org/officeDocument/2006/relationships/image" Target="../media/image64.png"/><Relationship Id="rId10" Type="http://schemas.openxmlformats.org/officeDocument/2006/relationships/image" Target="../media/image59.png"/><Relationship Id="rId19" Type="http://schemas.openxmlformats.org/officeDocument/2006/relationships/image" Target="../media/image68.png"/><Relationship Id="rId4" Type="http://schemas.openxmlformats.org/officeDocument/2006/relationships/image" Target="../media/image53.png"/><Relationship Id="rId9" Type="http://schemas.openxmlformats.org/officeDocument/2006/relationships/image" Target="../media/image58.png"/><Relationship Id="rId1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media/image81.png"/><Relationship Id="rId18" Type="http://schemas.openxmlformats.org/officeDocument/2006/relationships/image" Target="../media/image86.png"/><Relationship Id="rId26" Type="http://schemas.openxmlformats.org/officeDocument/2006/relationships/image" Target="../media/image94.png"/><Relationship Id="rId3" Type="http://schemas.openxmlformats.org/officeDocument/2006/relationships/image" Target="../media/image71.png"/><Relationship Id="rId21" Type="http://schemas.openxmlformats.org/officeDocument/2006/relationships/image" Target="../media/image89.png"/><Relationship Id="rId7" Type="http://schemas.openxmlformats.org/officeDocument/2006/relationships/image" Target="../media/image75.png"/><Relationship Id="rId12" Type="http://schemas.openxmlformats.org/officeDocument/2006/relationships/image" Target="../media/image80.png"/><Relationship Id="rId17" Type="http://schemas.openxmlformats.org/officeDocument/2006/relationships/image" Target="../media/image85.png"/><Relationship Id="rId25" Type="http://schemas.openxmlformats.org/officeDocument/2006/relationships/image" Target="../media/image93.png"/><Relationship Id="rId2" Type="http://schemas.openxmlformats.org/officeDocument/2006/relationships/image" Target="../media/image70.png"/><Relationship Id="rId16" Type="http://schemas.openxmlformats.org/officeDocument/2006/relationships/image" Target="../media/image84.png"/><Relationship Id="rId20" Type="http://schemas.openxmlformats.org/officeDocument/2006/relationships/image" Target="../media/image88.png"/><Relationship Id="rId29" Type="http://schemas.openxmlformats.org/officeDocument/2006/relationships/image" Target="../media/image97.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24" Type="http://schemas.openxmlformats.org/officeDocument/2006/relationships/image" Target="../media/image92.png"/><Relationship Id="rId32" Type="http://schemas.openxmlformats.org/officeDocument/2006/relationships/image" Target="../media/image100.png"/><Relationship Id="rId5" Type="http://schemas.openxmlformats.org/officeDocument/2006/relationships/image" Target="../media/image73.png"/><Relationship Id="rId15" Type="http://schemas.openxmlformats.org/officeDocument/2006/relationships/image" Target="../media/image83.png"/><Relationship Id="rId23" Type="http://schemas.openxmlformats.org/officeDocument/2006/relationships/image" Target="../media/image91.png"/><Relationship Id="rId28" Type="http://schemas.openxmlformats.org/officeDocument/2006/relationships/image" Target="../media/image96.png"/><Relationship Id="rId10" Type="http://schemas.openxmlformats.org/officeDocument/2006/relationships/image" Target="../media/image78.jpg"/><Relationship Id="rId19" Type="http://schemas.openxmlformats.org/officeDocument/2006/relationships/image" Target="../media/image87.png"/><Relationship Id="rId31" Type="http://schemas.openxmlformats.org/officeDocument/2006/relationships/image" Target="../media/image99.png"/><Relationship Id="rId4" Type="http://schemas.openxmlformats.org/officeDocument/2006/relationships/image" Target="../media/image72.png"/><Relationship Id="rId9" Type="http://schemas.openxmlformats.org/officeDocument/2006/relationships/image" Target="../media/image77.png"/><Relationship Id="rId14" Type="http://schemas.openxmlformats.org/officeDocument/2006/relationships/image" Target="../media/image82.png"/><Relationship Id="rId22" Type="http://schemas.openxmlformats.org/officeDocument/2006/relationships/image" Target="../media/image90.png"/><Relationship Id="rId27" Type="http://schemas.openxmlformats.org/officeDocument/2006/relationships/image" Target="../media/image95.png"/><Relationship Id="rId30" Type="http://schemas.openxmlformats.org/officeDocument/2006/relationships/image" Target="../media/image98.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5.png"/><Relationship Id="rId3" Type="http://schemas.openxmlformats.org/officeDocument/2006/relationships/chart" Target="../charts/chart3.xml"/><Relationship Id="rId7" Type="http://schemas.openxmlformats.org/officeDocument/2006/relationships/image" Target="../media/image104.png"/><Relationship Id="rId12" Type="http://schemas.openxmlformats.org/officeDocument/2006/relationships/image" Target="../media/image10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03.png"/><Relationship Id="rId11" Type="http://schemas.openxmlformats.org/officeDocument/2006/relationships/image" Target="../media/image108.png"/><Relationship Id="rId5" Type="http://schemas.openxmlformats.org/officeDocument/2006/relationships/image" Target="../media/image102.png"/><Relationship Id="rId10" Type="http://schemas.openxmlformats.org/officeDocument/2006/relationships/image" Target="../media/image107.png"/><Relationship Id="rId4" Type="http://schemas.openxmlformats.org/officeDocument/2006/relationships/image" Target="../media/image101.png"/><Relationship Id="rId9" Type="http://schemas.openxmlformats.org/officeDocument/2006/relationships/image" Target="../media/image106.png"/></Relationships>
</file>

<file path=xl/drawings/drawing1.xml><?xml version="1.0" encoding="utf-8"?>
<xdr:wsDr xmlns:xdr="http://schemas.openxmlformats.org/drawingml/2006/spreadsheetDrawing" xmlns:a="http://schemas.openxmlformats.org/drawingml/2006/main">
  <xdr:oneCellAnchor>
    <xdr:from>
      <xdr:col>2</xdr:col>
      <xdr:colOff>38100</xdr:colOff>
      <xdr:row>412</xdr:row>
      <xdr:rowOff>142875</xdr:rowOff>
    </xdr:from>
    <xdr:ext cx="1685925" cy="419100"/>
    <xdr:pic>
      <xdr:nvPicPr>
        <xdr:cNvPr id="2" name="image1.png">
          <a:extLst>
            <a:ext uri="{FF2B5EF4-FFF2-40B4-BE49-F238E27FC236}">
              <a16:creationId xmlns:a16="http://schemas.microsoft.com/office/drawing/2014/main" id="{2A71E863-EB0C-4541-A4A1-AF5995EC0733}"/>
            </a:ext>
          </a:extLst>
        </xdr:cNvPr>
        <xdr:cNvPicPr preferRelativeResize="0"/>
      </xdr:nvPicPr>
      <xdr:blipFill>
        <a:blip xmlns:r="http://schemas.openxmlformats.org/officeDocument/2006/relationships" r:embed="rId1" cstate="print"/>
        <a:stretch>
          <a:fillRect/>
        </a:stretch>
      </xdr:blipFill>
      <xdr:spPr>
        <a:xfrm>
          <a:off x="1889760" y="36848415"/>
          <a:ext cx="1685925" cy="419100"/>
        </a:xfrm>
        <a:prstGeom prst="rect">
          <a:avLst/>
        </a:prstGeom>
        <a:noFill/>
      </xdr:spPr>
    </xdr:pic>
    <xdr:clientData fLocksWithSheet="0"/>
  </xdr:oneCellAnchor>
  <xdr:twoCellAnchor editAs="oneCell">
    <xdr:from>
      <xdr:col>2</xdr:col>
      <xdr:colOff>38100</xdr:colOff>
      <xdr:row>412</xdr:row>
      <xdr:rowOff>142875</xdr:rowOff>
    </xdr:from>
    <xdr:to>
      <xdr:col>3</xdr:col>
      <xdr:colOff>663179</xdr:colOff>
      <xdr:row>415</xdr:row>
      <xdr:rowOff>32446</xdr:rowOff>
    </xdr:to>
    <xdr:pic>
      <xdr:nvPicPr>
        <xdr:cNvPr id="7" name="Рисунок 6">
          <a:extLst>
            <a:ext uri="{FF2B5EF4-FFF2-40B4-BE49-F238E27FC236}">
              <a16:creationId xmlns:a16="http://schemas.microsoft.com/office/drawing/2014/main" id="{01713707-C2B7-4713-93BC-CD8D8C64BC3A}"/>
            </a:ext>
          </a:extLst>
        </xdr:cNvPr>
        <xdr:cNvPicPr>
          <a:picLocks noChangeAspect="1"/>
        </xdr:cNvPicPr>
      </xdr:nvPicPr>
      <xdr:blipFill>
        <a:blip xmlns:r="http://schemas.openxmlformats.org/officeDocument/2006/relationships" r:embed="rId1"/>
        <a:stretch>
          <a:fillRect/>
        </a:stretch>
      </xdr:blipFill>
      <xdr:spPr>
        <a:xfrm>
          <a:off x="1889760" y="10970895"/>
          <a:ext cx="1737599" cy="415351"/>
        </a:xfrm>
        <a:prstGeom prst="rect">
          <a:avLst/>
        </a:prstGeom>
      </xdr:spPr>
    </xdr:pic>
    <xdr:clientData/>
  </xdr:twoCellAnchor>
  <xdr:twoCellAnchor editAs="oneCell">
    <xdr:from>
      <xdr:col>5</xdr:col>
      <xdr:colOff>0</xdr:colOff>
      <xdr:row>293</xdr:row>
      <xdr:rowOff>161925</xdr:rowOff>
    </xdr:from>
    <xdr:to>
      <xdr:col>9</xdr:col>
      <xdr:colOff>213360</xdr:colOff>
      <xdr:row>297</xdr:row>
      <xdr:rowOff>156210</xdr:rowOff>
    </xdr:to>
    <xdr:pic>
      <xdr:nvPicPr>
        <xdr:cNvPr id="12" name="Рисунок 3">
          <a:extLst>
            <a:ext uri="{FF2B5EF4-FFF2-40B4-BE49-F238E27FC236}">
              <a16:creationId xmlns:a16="http://schemas.microsoft.com/office/drawing/2014/main" id="{D3EAEB6B-609B-EF78-52B7-E39C9BCC588E}"/>
            </a:ext>
            <a:ext uri="{147F2762-F138-4A5C-976F-8EAC2B608ADB}">
              <a16:predDERef xmlns:a16="http://schemas.microsoft.com/office/drawing/2014/main" pred="{01713707-C2B7-4713-93BC-CD8D8C64BC3A}"/>
            </a:ext>
          </a:extLst>
        </xdr:cNvPr>
        <xdr:cNvPicPr>
          <a:picLocks noChangeAspect="1"/>
        </xdr:cNvPicPr>
      </xdr:nvPicPr>
      <xdr:blipFill>
        <a:blip xmlns:r="http://schemas.openxmlformats.org/officeDocument/2006/relationships" r:embed="rId2"/>
        <a:stretch>
          <a:fillRect/>
        </a:stretch>
      </xdr:blipFill>
      <xdr:spPr>
        <a:xfrm>
          <a:off x="7067550" y="37985700"/>
          <a:ext cx="3657600" cy="695325"/>
        </a:xfrm>
        <a:prstGeom prst="rect">
          <a:avLst/>
        </a:prstGeom>
      </xdr:spPr>
    </xdr:pic>
    <xdr:clientData/>
  </xdr:twoCellAnchor>
  <xdr:twoCellAnchor editAs="oneCell">
    <xdr:from>
      <xdr:col>5</xdr:col>
      <xdr:colOff>28575</xdr:colOff>
      <xdr:row>298</xdr:row>
      <xdr:rowOff>19050</xdr:rowOff>
    </xdr:from>
    <xdr:to>
      <xdr:col>9</xdr:col>
      <xdr:colOff>413385</xdr:colOff>
      <xdr:row>306</xdr:row>
      <xdr:rowOff>83820</xdr:rowOff>
    </xdr:to>
    <xdr:pic>
      <xdr:nvPicPr>
        <xdr:cNvPr id="11" name="Рисунок 4">
          <a:extLst>
            <a:ext uri="{FF2B5EF4-FFF2-40B4-BE49-F238E27FC236}">
              <a16:creationId xmlns:a16="http://schemas.microsoft.com/office/drawing/2014/main" id="{2480465A-B19F-A80D-4CB1-DBF6E7B7B7FD}"/>
            </a:ext>
            <a:ext uri="{147F2762-F138-4A5C-976F-8EAC2B608ADB}">
              <a16:predDERef xmlns:a16="http://schemas.microsoft.com/office/drawing/2014/main" pred="{D3EAEB6B-609B-EF78-52B7-E39C9BCC588E}"/>
            </a:ext>
          </a:extLst>
        </xdr:cNvPr>
        <xdr:cNvPicPr>
          <a:picLocks noChangeAspect="1"/>
        </xdr:cNvPicPr>
      </xdr:nvPicPr>
      <xdr:blipFill>
        <a:blip xmlns:r="http://schemas.openxmlformats.org/officeDocument/2006/relationships" r:embed="rId3"/>
        <a:stretch>
          <a:fillRect/>
        </a:stretch>
      </xdr:blipFill>
      <xdr:spPr>
        <a:xfrm>
          <a:off x="7096125" y="38747700"/>
          <a:ext cx="3829050" cy="1466850"/>
        </a:xfrm>
        <a:prstGeom prst="rect">
          <a:avLst/>
        </a:prstGeom>
      </xdr:spPr>
    </xdr:pic>
    <xdr:clientData/>
  </xdr:twoCellAnchor>
  <xdr:twoCellAnchor editAs="oneCell">
    <xdr:from>
      <xdr:col>0</xdr:col>
      <xdr:colOff>0</xdr:colOff>
      <xdr:row>341</xdr:row>
      <xdr:rowOff>171450</xdr:rowOff>
    </xdr:from>
    <xdr:to>
      <xdr:col>0</xdr:col>
      <xdr:colOff>1219200</xdr:colOff>
      <xdr:row>344</xdr:row>
      <xdr:rowOff>104775</xdr:rowOff>
    </xdr:to>
    <xdr:pic>
      <xdr:nvPicPr>
        <xdr:cNvPr id="3" name="Рисунок 2">
          <a:extLst>
            <a:ext uri="{FF2B5EF4-FFF2-40B4-BE49-F238E27FC236}">
              <a16:creationId xmlns:a16="http://schemas.microsoft.com/office/drawing/2014/main" id="{C0FB870E-9347-5A17-43B2-48A6FBC3AADB}"/>
            </a:ext>
            <a:ext uri="{147F2762-F138-4A5C-976F-8EAC2B608ADB}">
              <a16:predDERef xmlns:a16="http://schemas.microsoft.com/office/drawing/2014/main" pred="{2480465A-B19F-A80D-4CB1-DBF6E7B7B7FD}"/>
            </a:ext>
          </a:extLst>
        </xdr:cNvPr>
        <xdr:cNvPicPr>
          <a:picLocks noChangeAspect="1"/>
        </xdr:cNvPicPr>
      </xdr:nvPicPr>
      <xdr:blipFill>
        <a:blip xmlns:r="http://schemas.openxmlformats.org/officeDocument/2006/relationships" r:embed="rId4"/>
        <a:stretch>
          <a:fillRect/>
        </a:stretch>
      </xdr:blipFill>
      <xdr:spPr>
        <a:xfrm>
          <a:off x="0" y="47139225"/>
          <a:ext cx="1219200" cy="476250"/>
        </a:xfrm>
        <a:prstGeom prst="rect">
          <a:avLst/>
        </a:prstGeom>
      </xdr:spPr>
    </xdr:pic>
    <xdr:clientData/>
  </xdr:twoCellAnchor>
  <xdr:twoCellAnchor editAs="oneCell">
    <xdr:from>
      <xdr:col>0</xdr:col>
      <xdr:colOff>0</xdr:colOff>
      <xdr:row>85</xdr:row>
      <xdr:rowOff>66675</xdr:rowOff>
    </xdr:from>
    <xdr:to>
      <xdr:col>0</xdr:col>
      <xdr:colOff>1409700</xdr:colOff>
      <xdr:row>87</xdr:row>
      <xdr:rowOff>161925</xdr:rowOff>
    </xdr:to>
    <xdr:pic>
      <xdr:nvPicPr>
        <xdr:cNvPr id="4" name="Рисунок 3">
          <a:extLst>
            <a:ext uri="{FF2B5EF4-FFF2-40B4-BE49-F238E27FC236}">
              <a16:creationId xmlns:a16="http://schemas.microsoft.com/office/drawing/2014/main" id="{19CB70E0-6692-4EBD-A0A5-8C5D2795A5CC}"/>
            </a:ext>
            <a:ext uri="{147F2762-F138-4A5C-976F-8EAC2B608ADB}">
              <a16:predDERef xmlns:a16="http://schemas.microsoft.com/office/drawing/2014/main" pred="{C0FB870E-9347-5A17-43B2-48A6FBC3AADB}"/>
            </a:ext>
          </a:extLst>
        </xdr:cNvPr>
        <xdr:cNvPicPr>
          <a:picLocks noChangeAspect="1"/>
        </xdr:cNvPicPr>
      </xdr:nvPicPr>
      <xdr:blipFill>
        <a:blip xmlns:r="http://schemas.openxmlformats.org/officeDocument/2006/relationships" r:embed="rId4"/>
        <a:stretch>
          <a:fillRect/>
        </a:stretch>
      </xdr:blipFill>
      <xdr:spPr>
        <a:xfrm>
          <a:off x="0" y="15687675"/>
          <a:ext cx="1409700" cy="552450"/>
        </a:xfrm>
        <a:prstGeom prst="rect">
          <a:avLst/>
        </a:prstGeom>
      </xdr:spPr>
    </xdr:pic>
    <xdr:clientData/>
  </xdr:twoCellAnchor>
  <xdr:twoCellAnchor editAs="oneCell">
    <xdr:from>
      <xdr:col>0</xdr:col>
      <xdr:colOff>0</xdr:colOff>
      <xdr:row>92</xdr:row>
      <xdr:rowOff>171450</xdr:rowOff>
    </xdr:from>
    <xdr:to>
      <xdr:col>0</xdr:col>
      <xdr:colOff>1476375</xdr:colOff>
      <xdr:row>96</xdr:row>
      <xdr:rowOff>19050</xdr:rowOff>
    </xdr:to>
    <xdr:pic>
      <xdr:nvPicPr>
        <xdr:cNvPr id="5" name="Рисунок 4">
          <a:extLst>
            <a:ext uri="{FF2B5EF4-FFF2-40B4-BE49-F238E27FC236}">
              <a16:creationId xmlns:a16="http://schemas.microsoft.com/office/drawing/2014/main" id="{58136ACF-8950-1AE3-2F2A-672299821E2A}"/>
            </a:ext>
            <a:ext uri="{147F2762-F138-4A5C-976F-8EAC2B608ADB}">
              <a16:predDERef xmlns:a16="http://schemas.microsoft.com/office/drawing/2014/main" pred="{19CB70E0-6692-4EBD-A0A5-8C5D2795A5CC}"/>
            </a:ext>
          </a:extLst>
        </xdr:cNvPr>
        <xdr:cNvPicPr>
          <a:picLocks noChangeAspect="1"/>
        </xdr:cNvPicPr>
      </xdr:nvPicPr>
      <xdr:blipFill>
        <a:blip xmlns:r="http://schemas.openxmlformats.org/officeDocument/2006/relationships" r:embed="rId5"/>
        <a:stretch>
          <a:fillRect/>
        </a:stretch>
      </xdr:blipFill>
      <xdr:spPr>
        <a:xfrm>
          <a:off x="0" y="17249775"/>
          <a:ext cx="1476375" cy="571500"/>
        </a:xfrm>
        <a:prstGeom prst="rect">
          <a:avLst/>
        </a:prstGeom>
      </xdr:spPr>
    </xdr:pic>
    <xdr:clientData/>
  </xdr:twoCellAnchor>
  <xdr:twoCellAnchor editAs="oneCell">
    <xdr:from>
      <xdr:col>0</xdr:col>
      <xdr:colOff>85725</xdr:colOff>
      <xdr:row>102</xdr:row>
      <xdr:rowOff>171450</xdr:rowOff>
    </xdr:from>
    <xdr:to>
      <xdr:col>0</xdr:col>
      <xdr:colOff>2819400</xdr:colOff>
      <xdr:row>107</xdr:row>
      <xdr:rowOff>19050</xdr:rowOff>
    </xdr:to>
    <xdr:pic>
      <xdr:nvPicPr>
        <xdr:cNvPr id="6" name="Рисунок 5">
          <a:extLst>
            <a:ext uri="{FF2B5EF4-FFF2-40B4-BE49-F238E27FC236}">
              <a16:creationId xmlns:a16="http://schemas.microsoft.com/office/drawing/2014/main" id="{C87B37B3-5A52-1B56-C1BF-FE9916F3DFEE}"/>
            </a:ext>
            <a:ext uri="{147F2762-F138-4A5C-976F-8EAC2B608ADB}">
              <a16:predDERef xmlns:a16="http://schemas.microsoft.com/office/drawing/2014/main" pred="{58136ACF-8950-1AE3-2F2A-672299821E2A}"/>
            </a:ext>
          </a:extLst>
        </xdr:cNvPr>
        <xdr:cNvPicPr>
          <a:picLocks noChangeAspect="1"/>
        </xdr:cNvPicPr>
      </xdr:nvPicPr>
      <xdr:blipFill>
        <a:blip xmlns:r="http://schemas.openxmlformats.org/officeDocument/2006/relationships" r:embed="rId6"/>
        <a:stretch>
          <a:fillRect/>
        </a:stretch>
      </xdr:blipFill>
      <xdr:spPr>
        <a:xfrm>
          <a:off x="85725" y="19059525"/>
          <a:ext cx="2733675" cy="752475"/>
        </a:xfrm>
        <a:prstGeom prst="rect">
          <a:avLst/>
        </a:prstGeom>
      </xdr:spPr>
    </xdr:pic>
    <xdr:clientData/>
  </xdr:twoCellAnchor>
  <xdr:twoCellAnchor editAs="oneCell">
    <xdr:from>
      <xdr:col>0</xdr:col>
      <xdr:colOff>47625</xdr:colOff>
      <xdr:row>115</xdr:row>
      <xdr:rowOff>152400</xdr:rowOff>
    </xdr:from>
    <xdr:to>
      <xdr:col>0</xdr:col>
      <xdr:colOff>2409825</xdr:colOff>
      <xdr:row>120</xdr:row>
      <xdr:rowOff>28575</xdr:rowOff>
    </xdr:to>
    <xdr:pic>
      <xdr:nvPicPr>
        <xdr:cNvPr id="8" name="Рисунок 7">
          <a:extLst>
            <a:ext uri="{FF2B5EF4-FFF2-40B4-BE49-F238E27FC236}">
              <a16:creationId xmlns:a16="http://schemas.microsoft.com/office/drawing/2014/main" id="{7D8E21E9-01CD-5FD9-8343-2976BE1ADACE}"/>
            </a:ext>
            <a:ext uri="{147F2762-F138-4A5C-976F-8EAC2B608ADB}">
              <a16:predDERef xmlns:a16="http://schemas.microsoft.com/office/drawing/2014/main" pred="{C87B37B3-5A52-1B56-C1BF-FE9916F3DFEE}"/>
            </a:ext>
          </a:extLst>
        </xdr:cNvPr>
        <xdr:cNvPicPr>
          <a:picLocks noChangeAspect="1"/>
        </xdr:cNvPicPr>
      </xdr:nvPicPr>
      <xdr:blipFill>
        <a:blip xmlns:r="http://schemas.openxmlformats.org/officeDocument/2006/relationships" r:embed="rId7"/>
        <a:stretch>
          <a:fillRect/>
        </a:stretch>
      </xdr:blipFill>
      <xdr:spPr>
        <a:xfrm>
          <a:off x="47625" y="21393150"/>
          <a:ext cx="2362200" cy="781050"/>
        </a:xfrm>
        <a:prstGeom prst="rect">
          <a:avLst/>
        </a:prstGeom>
      </xdr:spPr>
    </xdr:pic>
    <xdr:clientData/>
  </xdr:twoCellAnchor>
  <xdr:twoCellAnchor editAs="oneCell">
    <xdr:from>
      <xdr:col>2</xdr:col>
      <xdr:colOff>53789</xdr:colOff>
      <xdr:row>138</xdr:row>
      <xdr:rowOff>89647</xdr:rowOff>
    </xdr:from>
    <xdr:to>
      <xdr:col>3</xdr:col>
      <xdr:colOff>360830</xdr:colOff>
      <xdr:row>141</xdr:row>
      <xdr:rowOff>113179</xdr:rowOff>
    </xdr:to>
    <xdr:pic>
      <xdr:nvPicPr>
        <xdr:cNvPr id="9" name="Рисунок 8">
          <a:extLst>
            <a:ext uri="{FF2B5EF4-FFF2-40B4-BE49-F238E27FC236}">
              <a16:creationId xmlns:a16="http://schemas.microsoft.com/office/drawing/2014/main" id="{8F50B3C7-0462-4EEF-A20C-4D5415BE7960}"/>
            </a:ext>
            <a:ext uri="{147F2762-F138-4A5C-976F-8EAC2B608ADB}">
              <a16:predDERef xmlns:a16="http://schemas.microsoft.com/office/drawing/2014/main" pred="{C0FB870E-9347-5A17-43B2-48A6FBC3AADB}"/>
            </a:ext>
          </a:extLst>
        </xdr:cNvPr>
        <xdr:cNvPicPr>
          <a:picLocks noChangeAspect="1"/>
        </xdr:cNvPicPr>
      </xdr:nvPicPr>
      <xdr:blipFill>
        <a:blip xmlns:r="http://schemas.openxmlformats.org/officeDocument/2006/relationships" r:embed="rId4"/>
        <a:stretch>
          <a:fillRect/>
        </a:stretch>
      </xdr:blipFill>
      <xdr:spPr>
        <a:xfrm>
          <a:off x="4464424" y="25316329"/>
          <a:ext cx="1409700" cy="5614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579120</xdr:colOff>
      <xdr:row>264</xdr:row>
      <xdr:rowOff>22860</xdr:rowOff>
    </xdr:from>
    <xdr:ext cx="6149340" cy="588644"/>
    <xdr:pic>
      <xdr:nvPicPr>
        <xdr:cNvPr id="2" name="image2.png" title="Изображение">
          <a:extLst>
            <a:ext uri="{FF2B5EF4-FFF2-40B4-BE49-F238E27FC236}">
              <a16:creationId xmlns:a16="http://schemas.microsoft.com/office/drawing/2014/main" id="{3F48B119-54D9-494C-AB57-222F3CA1AA9A}"/>
            </a:ext>
          </a:extLst>
        </xdr:cNvPr>
        <xdr:cNvPicPr preferRelativeResize="0"/>
      </xdr:nvPicPr>
      <xdr:blipFill rotWithShape="1">
        <a:blip xmlns:r="http://schemas.openxmlformats.org/officeDocument/2006/relationships" r:embed="rId1" cstate="print"/>
        <a:srcRect t="77286"/>
        <a:stretch/>
      </xdr:blipFill>
      <xdr:spPr>
        <a:xfrm>
          <a:off x="7635240" y="78653640"/>
          <a:ext cx="6149340" cy="588644"/>
        </a:xfrm>
        <a:prstGeom prst="rect">
          <a:avLst/>
        </a:prstGeom>
        <a:noFill/>
      </xdr:spPr>
    </xdr:pic>
    <xdr:clientData fLocksWithSheet="0"/>
  </xdr:oneCellAnchor>
  <xdr:twoCellAnchor editAs="oneCell">
    <xdr:from>
      <xdr:col>0</xdr:col>
      <xdr:colOff>0</xdr:colOff>
      <xdr:row>388</xdr:row>
      <xdr:rowOff>0</xdr:rowOff>
    </xdr:from>
    <xdr:to>
      <xdr:col>0</xdr:col>
      <xdr:colOff>1348857</xdr:colOff>
      <xdr:row>391</xdr:row>
      <xdr:rowOff>68637</xdr:rowOff>
    </xdr:to>
    <xdr:pic>
      <xdr:nvPicPr>
        <xdr:cNvPr id="3" name="Рисунок 2">
          <a:extLst>
            <a:ext uri="{FF2B5EF4-FFF2-40B4-BE49-F238E27FC236}">
              <a16:creationId xmlns:a16="http://schemas.microsoft.com/office/drawing/2014/main" id="{14FCB553-60E3-4D36-B7FF-07BD13FD0F69}"/>
            </a:ext>
          </a:extLst>
        </xdr:cNvPr>
        <xdr:cNvPicPr>
          <a:picLocks noChangeAspect="1"/>
        </xdr:cNvPicPr>
      </xdr:nvPicPr>
      <xdr:blipFill>
        <a:blip xmlns:r="http://schemas.openxmlformats.org/officeDocument/2006/relationships" r:embed="rId2"/>
        <a:stretch>
          <a:fillRect/>
        </a:stretch>
      </xdr:blipFill>
      <xdr:spPr>
        <a:xfrm>
          <a:off x="0" y="100027740"/>
          <a:ext cx="1348857" cy="662997"/>
        </a:xfrm>
        <a:prstGeom prst="rect">
          <a:avLst/>
        </a:prstGeom>
      </xdr:spPr>
    </xdr:pic>
    <xdr:clientData/>
  </xdr:twoCellAnchor>
  <xdr:twoCellAnchor editAs="oneCell">
    <xdr:from>
      <xdr:col>0</xdr:col>
      <xdr:colOff>0</xdr:colOff>
      <xdr:row>392</xdr:row>
      <xdr:rowOff>0</xdr:rowOff>
    </xdr:from>
    <xdr:to>
      <xdr:col>1</xdr:col>
      <xdr:colOff>114527</xdr:colOff>
      <xdr:row>394</xdr:row>
      <xdr:rowOff>91482</xdr:rowOff>
    </xdr:to>
    <xdr:pic>
      <xdr:nvPicPr>
        <xdr:cNvPr id="4" name="Рисунок 3">
          <a:extLst>
            <a:ext uri="{FF2B5EF4-FFF2-40B4-BE49-F238E27FC236}">
              <a16:creationId xmlns:a16="http://schemas.microsoft.com/office/drawing/2014/main" id="{3426DA35-C2C6-41E5-A24F-69E3FE127A40}"/>
            </a:ext>
          </a:extLst>
        </xdr:cNvPr>
        <xdr:cNvPicPr>
          <a:picLocks noChangeAspect="1"/>
        </xdr:cNvPicPr>
      </xdr:nvPicPr>
      <xdr:blipFill>
        <a:blip xmlns:r="http://schemas.openxmlformats.org/officeDocument/2006/relationships" r:embed="rId3"/>
        <a:stretch>
          <a:fillRect/>
        </a:stretch>
      </xdr:blipFill>
      <xdr:spPr>
        <a:xfrm>
          <a:off x="0" y="100820220"/>
          <a:ext cx="2621507" cy="487722"/>
        </a:xfrm>
        <a:prstGeom prst="rect">
          <a:avLst/>
        </a:prstGeom>
      </xdr:spPr>
    </xdr:pic>
    <xdr:clientData/>
  </xdr:twoCellAnchor>
  <xdr:twoCellAnchor editAs="oneCell">
    <xdr:from>
      <xdr:col>0</xdr:col>
      <xdr:colOff>0</xdr:colOff>
      <xdr:row>395</xdr:row>
      <xdr:rowOff>83820</xdr:rowOff>
    </xdr:from>
    <xdr:to>
      <xdr:col>4</xdr:col>
      <xdr:colOff>526251</xdr:colOff>
      <xdr:row>404</xdr:row>
      <xdr:rowOff>38251</xdr:rowOff>
    </xdr:to>
    <xdr:pic>
      <xdr:nvPicPr>
        <xdr:cNvPr id="5" name="Рисунок 4">
          <a:extLst>
            <a:ext uri="{FF2B5EF4-FFF2-40B4-BE49-F238E27FC236}">
              <a16:creationId xmlns:a16="http://schemas.microsoft.com/office/drawing/2014/main" id="{26819A3D-2B24-487B-8DE1-796EFFBDA8B4}"/>
            </a:ext>
          </a:extLst>
        </xdr:cNvPr>
        <xdr:cNvPicPr>
          <a:picLocks noChangeAspect="1"/>
        </xdr:cNvPicPr>
      </xdr:nvPicPr>
      <xdr:blipFill>
        <a:blip xmlns:r="http://schemas.openxmlformats.org/officeDocument/2006/relationships" r:embed="rId4"/>
        <a:stretch>
          <a:fillRect/>
        </a:stretch>
      </xdr:blipFill>
      <xdr:spPr>
        <a:xfrm>
          <a:off x="0" y="101498400"/>
          <a:ext cx="5433531" cy="1737511"/>
        </a:xfrm>
        <a:prstGeom prst="rect">
          <a:avLst/>
        </a:prstGeom>
      </xdr:spPr>
    </xdr:pic>
    <xdr:clientData/>
  </xdr:twoCellAnchor>
  <xdr:twoCellAnchor editAs="oneCell">
    <xdr:from>
      <xdr:col>4</xdr:col>
      <xdr:colOff>66675</xdr:colOff>
      <xdr:row>339</xdr:row>
      <xdr:rowOff>161499</xdr:rowOff>
    </xdr:from>
    <xdr:to>
      <xdr:col>9</xdr:col>
      <xdr:colOff>412247</xdr:colOff>
      <xdr:row>345</xdr:row>
      <xdr:rowOff>42157</xdr:rowOff>
    </xdr:to>
    <xdr:pic>
      <xdr:nvPicPr>
        <xdr:cNvPr id="14" name="Рисунок 5">
          <a:extLst>
            <a:ext uri="{FF2B5EF4-FFF2-40B4-BE49-F238E27FC236}">
              <a16:creationId xmlns:a16="http://schemas.microsoft.com/office/drawing/2014/main" id="{79098799-D99E-8680-4951-DB2FAC8E4B32}"/>
            </a:ext>
            <a:ext uri="{147F2762-F138-4A5C-976F-8EAC2B608ADB}">
              <a16:predDERef xmlns:a16="http://schemas.microsoft.com/office/drawing/2014/main" pred="{26819A3D-2B24-487B-8DE1-796EFFBDA8B4}"/>
            </a:ext>
          </a:extLst>
        </xdr:cNvPr>
        <xdr:cNvPicPr>
          <a:picLocks noChangeAspect="1"/>
        </xdr:cNvPicPr>
      </xdr:nvPicPr>
      <xdr:blipFill>
        <a:blip xmlns:r="http://schemas.openxmlformats.org/officeDocument/2006/relationships" r:embed="rId5"/>
        <a:stretch>
          <a:fillRect/>
        </a:stretch>
      </xdr:blipFill>
      <xdr:spPr>
        <a:xfrm>
          <a:off x="4838700" y="94230399"/>
          <a:ext cx="3317372" cy="1069378"/>
        </a:xfrm>
        <a:prstGeom prst="rect">
          <a:avLst/>
        </a:prstGeom>
      </xdr:spPr>
    </xdr:pic>
    <xdr:clientData/>
  </xdr:twoCellAnchor>
  <xdr:twoCellAnchor editAs="oneCell">
    <xdr:from>
      <xdr:col>5</xdr:col>
      <xdr:colOff>304800</xdr:colOff>
      <xdr:row>332</xdr:row>
      <xdr:rowOff>172455</xdr:rowOff>
    </xdr:from>
    <xdr:to>
      <xdr:col>12</xdr:col>
      <xdr:colOff>23636</xdr:colOff>
      <xdr:row>340</xdr:row>
      <xdr:rowOff>55539</xdr:rowOff>
    </xdr:to>
    <xdr:pic>
      <xdr:nvPicPr>
        <xdr:cNvPr id="7" name="Рисунок 6">
          <a:extLst>
            <a:ext uri="{FF2B5EF4-FFF2-40B4-BE49-F238E27FC236}">
              <a16:creationId xmlns:a16="http://schemas.microsoft.com/office/drawing/2014/main" id="{AE8613C1-DB2C-4C5A-5B19-38338774710D}"/>
            </a:ext>
          </a:extLst>
        </xdr:cNvPr>
        <xdr:cNvPicPr>
          <a:picLocks noChangeAspect="1"/>
        </xdr:cNvPicPr>
      </xdr:nvPicPr>
      <xdr:blipFill>
        <a:blip xmlns:r="http://schemas.openxmlformats.org/officeDocument/2006/relationships" r:embed="rId6"/>
        <a:stretch>
          <a:fillRect/>
        </a:stretch>
      </xdr:blipFill>
      <xdr:spPr>
        <a:xfrm>
          <a:off x="5806440" y="92275395"/>
          <a:ext cx="3879356" cy="14680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341</xdr:row>
      <xdr:rowOff>0</xdr:rowOff>
    </xdr:from>
    <xdr:to>
      <xdr:col>1</xdr:col>
      <xdr:colOff>960324</xdr:colOff>
      <xdr:row>343</xdr:row>
      <xdr:rowOff>83862</xdr:rowOff>
    </xdr:to>
    <xdr:pic>
      <xdr:nvPicPr>
        <xdr:cNvPr id="2" name="Рисунок 1">
          <a:extLst>
            <a:ext uri="{FF2B5EF4-FFF2-40B4-BE49-F238E27FC236}">
              <a16:creationId xmlns:a16="http://schemas.microsoft.com/office/drawing/2014/main" id="{EA2C7409-4092-4AF7-8FB5-75D08FD21A2D}"/>
            </a:ext>
          </a:extLst>
        </xdr:cNvPr>
        <xdr:cNvPicPr>
          <a:picLocks noChangeAspect="1"/>
        </xdr:cNvPicPr>
      </xdr:nvPicPr>
      <xdr:blipFill>
        <a:blip xmlns:r="http://schemas.openxmlformats.org/officeDocument/2006/relationships" r:embed="rId1"/>
        <a:stretch>
          <a:fillRect/>
        </a:stretch>
      </xdr:blipFill>
      <xdr:spPr>
        <a:xfrm>
          <a:off x="0" y="66149220"/>
          <a:ext cx="2354784" cy="480102"/>
        </a:xfrm>
        <a:prstGeom prst="rect">
          <a:avLst/>
        </a:prstGeom>
      </xdr:spPr>
    </xdr:pic>
    <xdr:clientData/>
  </xdr:twoCellAnchor>
  <xdr:twoCellAnchor editAs="oneCell">
    <xdr:from>
      <xdr:col>4</xdr:col>
      <xdr:colOff>320040</xdr:colOff>
      <xdr:row>71</xdr:row>
      <xdr:rowOff>190500</xdr:rowOff>
    </xdr:from>
    <xdr:to>
      <xdr:col>13</xdr:col>
      <xdr:colOff>290021</xdr:colOff>
      <xdr:row>83</xdr:row>
      <xdr:rowOff>144982</xdr:rowOff>
    </xdr:to>
    <xdr:pic>
      <xdr:nvPicPr>
        <xdr:cNvPr id="3" name="Рисунок 2">
          <a:extLst>
            <a:ext uri="{FF2B5EF4-FFF2-40B4-BE49-F238E27FC236}">
              <a16:creationId xmlns:a16="http://schemas.microsoft.com/office/drawing/2014/main" id="{6355FD22-59F8-5E0C-C832-0115AA857E03}"/>
            </a:ext>
          </a:extLst>
        </xdr:cNvPr>
        <xdr:cNvPicPr>
          <a:picLocks noChangeAspect="1"/>
        </xdr:cNvPicPr>
      </xdr:nvPicPr>
      <xdr:blipFill>
        <a:blip xmlns:r="http://schemas.openxmlformats.org/officeDocument/2006/relationships" r:embed="rId2"/>
        <a:stretch>
          <a:fillRect/>
        </a:stretch>
      </xdr:blipFill>
      <xdr:spPr>
        <a:xfrm>
          <a:off x="4678680" y="17998440"/>
          <a:ext cx="5319221" cy="2331922"/>
        </a:xfrm>
        <a:prstGeom prst="rect">
          <a:avLst/>
        </a:prstGeom>
      </xdr:spPr>
    </xdr:pic>
    <xdr:clientData/>
  </xdr:twoCellAnchor>
  <xdr:twoCellAnchor editAs="oneCell">
    <xdr:from>
      <xdr:col>5</xdr:col>
      <xdr:colOff>259080</xdr:colOff>
      <xdr:row>176</xdr:row>
      <xdr:rowOff>106680</xdr:rowOff>
    </xdr:from>
    <xdr:to>
      <xdr:col>15</xdr:col>
      <xdr:colOff>328181</xdr:colOff>
      <xdr:row>184</xdr:row>
      <xdr:rowOff>175403</xdr:rowOff>
    </xdr:to>
    <xdr:pic>
      <xdr:nvPicPr>
        <xdr:cNvPr id="4" name="Рисунок 3">
          <a:extLst>
            <a:ext uri="{FF2B5EF4-FFF2-40B4-BE49-F238E27FC236}">
              <a16:creationId xmlns:a16="http://schemas.microsoft.com/office/drawing/2014/main" id="{7FFF214D-D4BB-49C0-9716-4A615E49EC11}"/>
            </a:ext>
          </a:extLst>
        </xdr:cNvPr>
        <xdr:cNvPicPr>
          <a:picLocks noChangeAspect="1"/>
        </xdr:cNvPicPr>
      </xdr:nvPicPr>
      <xdr:blipFill>
        <a:blip xmlns:r="http://schemas.openxmlformats.org/officeDocument/2006/relationships" r:embed="rId3"/>
        <a:stretch>
          <a:fillRect/>
        </a:stretch>
      </xdr:blipFill>
      <xdr:spPr>
        <a:xfrm>
          <a:off x="5212080" y="38717220"/>
          <a:ext cx="6012701" cy="1653683"/>
        </a:xfrm>
        <a:prstGeom prst="rect">
          <a:avLst/>
        </a:prstGeom>
      </xdr:spPr>
    </xdr:pic>
    <xdr:clientData/>
  </xdr:twoCellAnchor>
  <xdr:twoCellAnchor editAs="oneCell">
    <xdr:from>
      <xdr:col>7</xdr:col>
      <xdr:colOff>205740</xdr:colOff>
      <xdr:row>184</xdr:row>
      <xdr:rowOff>121920</xdr:rowOff>
    </xdr:from>
    <xdr:to>
      <xdr:col>13</xdr:col>
      <xdr:colOff>289876</xdr:colOff>
      <xdr:row>188</xdr:row>
      <xdr:rowOff>38161</xdr:rowOff>
    </xdr:to>
    <xdr:pic>
      <xdr:nvPicPr>
        <xdr:cNvPr id="5" name="Рисунок 4">
          <a:extLst>
            <a:ext uri="{FF2B5EF4-FFF2-40B4-BE49-F238E27FC236}">
              <a16:creationId xmlns:a16="http://schemas.microsoft.com/office/drawing/2014/main" id="{A558CD4D-2B9D-E15D-D7D6-54E4DB6864D8}"/>
            </a:ext>
          </a:extLst>
        </xdr:cNvPr>
        <xdr:cNvPicPr>
          <a:picLocks noChangeAspect="1"/>
        </xdr:cNvPicPr>
      </xdr:nvPicPr>
      <xdr:blipFill>
        <a:blip xmlns:r="http://schemas.openxmlformats.org/officeDocument/2006/relationships" r:embed="rId4"/>
        <a:stretch>
          <a:fillRect/>
        </a:stretch>
      </xdr:blipFill>
      <xdr:spPr>
        <a:xfrm>
          <a:off x="6347460" y="40317420"/>
          <a:ext cx="3650296" cy="708721"/>
        </a:xfrm>
        <a:prstGeom prst="rect">
          <a:avLst/>
        </a:prstGeom>
      </xdr:spPr>
    </xdr:pic>
    <xdr:clientData/>
  </xdr:twoCellAnchor>
  <xdr:twoCellAnchor editAs="oneCell">
    <xdr:from>
      <xdr:col>4</xdr:col>
      <xdr:colOff>83820</xdr:colOff>
      <xdr:row>236</xdr:row>
      <xdr:rowOff>38100</xdr:rowOff>
    </xdr:from>
    <xdr:to>
      <xdr:col>11</xdr:col>
      <xdr:colOff>389007</xdr:colOff>
      <xdr:row>240</xdr:row>
      <xdr:rowOff>61031</xdr:rowOff>
    </xdr:to>
    <xdr:pic>
      <xdr:nvPicPr>
        <xdr:cNvPr id="6" name="Рисунок 5">
          <a:extLst>
            <a:ext uri="{FF2B5EF4-FFF2-40B4-BE49-F238E27FC236}">
              <a16:creationId xmlns:a16="http://schemas.microsoft.com/office/drawing/2014/main" id="{E34366D1-B55D-232C-E321-AFD2446D75AC}"/>
            </a:ext>
          </a:extLst>
        </xdr:cNvPr>
        <xdr:cNvPicPr>
          <a:picLocks noChangeAspect="1"/>
        </xdr:cNvPicPr>
      </xdr:nvPicPr>
      <xdr:blipFill>
        <a:blip xmlns:r="http://schemas.openxmlformats.org/officeDocument/2006/relationships" r:embed="rId5"/>
        <a:stretch>
          <a:fillRect/>
        </a:stretch>
      </xdr:blipFill>
      <xdr:spPr>
        <a:xfrm>
          <a:off x="4442460" y="50543460"/>
          <a:ext cx="4465707" cy="815411"/>
        </a:xfrm>
        <a:prstGeom prst="rect">
          <a:avLst/>
        </a:prstGeom>
      </xdr:spPr>
    </xdr:pic>
    <xdr:clientData/>
  </xdr:twoCellAnchor>
  <xdr:twoCellAnchor editAs="oneCell">
    <xdr:from>
      <xdr:col>3</xdr:col>
      <xdr:colOff>152400</xdr:colOff>
      <xdr:row>246</xdr:row>
      <xdr:rowOff>160020</xdr:rowOff>
    </xdr:from>
    <xdr:to>
      <xdr:col>10</xdr:col>
      <xdr:colOff>168027</xdr:colOff>
      <xdr:row>250</xdr:row>
      <xdr:rowOff>182951</xdr:rowOff>
    </xdr:to>
    <xdr:pic>
      <xdr:nvPicPr>
        <xdr:cNvPr id="7" name="Рисунок 6">
          <a:extLst>
            <a:ext uri="{FF2B5EF4-FFF2-40B4-BE49-F238E27FC236}">
              <a16:creationId xmlns:a16="http://schemas.microsoft.com/office/drawing/2014/main" id="{63942008-639E-41A5-854E-BBD07F716113}"/>
            </a:ext>
          </a:extLst>
        </xdr:cNvPr>
        <xdr:cNvPicPr>
          <a:picLocks noChangeAspect="1"/>
        </xdr:cNvPicPr>
      </xdr:nvPicPr>
      <xdr:blipFill>
        <a:blip xmlns:r="http://schemas.openxmlformats.org/officeDocument/2006/relationships" r:embed="rId5"/>
        <a:stretch>
          <a:fillRect/>
        </a:stretch>
      </xdr:blipFill>
      <xdr:spPr>
        <a:xfrm>
          <a:off x="3627120" y="52646580"/>
          <a:ext cx="4465707" cy="815411"/>
        </a:xfrm>
        <a:prstGeom prst="rect">
          <a:avLst/>
        </a:prstGeom>
      </xdr:spPr>
    </xdr:pic>
    <xdr:clientData/>
  </xdr:twoCellAnchor>
  <xdr:twoCellAnchor editAs="oneCell">
    <xdr:from>
      <xdr:col>3</xdr:col>
      <xdr:colOff>281940</xdr:colOff>
      <xdr:row>264</xdr:row>
      <xdr:rowOff>129540</xdr:rowOff>
    </xdr:from>
    <xdr:to>
      <xdr:col>10</xdr:col>
      <xdr:colOff>297567</xdr:colOff>
      <xdr:row>268</xdr:row>
      <xdr:rowOff>152471</xdr:rowOff>
    </xdr:to>
    <xdr:pic>
      <xdr:nvPicPr>
        <xdr:cNvPr id="8" name="Рисунок 7">
          <a:extLst>
            <a:ext uri="{FF2B5EF4-FFF2-40B4-BE49-F238E27FC236}">
              <a16:creationId xmlns:a16="http://schemas.microsoft.com/office/drawing/2014/main" id="{4D221551-7946-43D2-A2E8-6738947E41EE}"/>
            </a:ext>
          </a:extLst>
        </xdr:cNvPr>
        <xdr:cNvPicPr>
          <a:picLocks noChangeAspect="1"/>
        </xdr:cNvPicPr>
      </xdr:nvPicPr>
      <xdr:blipFill>
        <a:blip xmlns:r="http://schemas.openxmlformats.org/officeDocument/2006/relationships" r:embed="rId5"/>
        <a:stretch>
          <a:fillRect/>
        </a:stretch>
      </xdr:blipFill>
      <xdr:spPr>
        <a:xfrm>
          <a:off x="3756660" y="56182260"/>
          <a:ext cx="4465707" cy="815411"/>
        </a:xfrm>
        <a:prstGeom prst="rect">
          <a:avLst/>
        </a:prstGeom>
      </xdr:spPr>
    </xdr:pic>
    <xdr:clientData/>
  </xdr:twoCellAnchor>
  <xdr:twoCellAnchor editAs="oneCell">
    <xdr:from>
      <xdr:col>9</xdr:col>
      <xdr:colOff>205740</xdr:colOff>
      <xdr:row>276</xdr:row>
      <xdr:rowOff>121920</xdr:rowOff>
    </xdr:from>
    <xdr:to>
      <xdr:col>13</xdr:col>
      <xdr:colOff>144981</xdr:colOff>
      <xdr:row>284</xdr:row>
      <xdr:rowOff>61092</xdr:rowOff>
    </xdr:to>
    <xdr:pic>
      <xdr:nvPicPr>
        <xdr:cNvPr id="9" name="Рисунок 8">
          <a:extLst>
            <a:ext uri="{FF2B5EF4-FFF2-40B4-BE49-F238E27FC236}">
              <a16:creationId xmlns:a16="http://schemas.microsoft.com/office/drawing/2014/main" id="{2DCB222E-90DA-FFF2-6772-11260D512BAE}"/>
            </a:ext>
          </a:extLst>
        </xdr:cNvPr>
        <xdr:cNvPicPr>
          <a:picLocks noChangeAspect="1"/>
        </xdr:cNvPicPr>
      </xdr:nvPicPr>
      <xdr:blipFill>
        <a:blip xmlns:r="http://schemas.openxmlformats.org/officeDocument/2006/relationships" r:embed="rId6"/>
        <a:stretch>
          <a:fillRect/>
        </a:stretch>
      </xdr:blipFill>
      <xdr:spPr>
        <a:xfrm>
          <a:off x="7536180" y="58552080"/>
          <a:ext cx="2316681" cy="1524132"/>
        </a:xfrm>
        <a:prstGeom prst="rect">
          <a:avLst/>
        </a:prstGeom>
      </xdr:spPr>
    </xdr:pic>
    <xdr:clientData/>
  </xdr:twoCellAnchor>
  <xdr:twoCellAnchor editAs="oneCell">
    <xdr:from>
      <xdr:col>9</xdr:col>
      <xdr:colOff>327660</xdr:colOff>
      <xdr:row>290</xdr:row>
      <xdr:rowOff>182880</xdr:rowOff>
    </xdr:from>
    <xdr:to>
      <xdr:col>12</xdr:col>
      <xdr:colOff>419262</xdr:colOff>
      <xdr:row>294</xdr:row>
      <xdr:rowOff>83880</xdr:rowOff>
    </xdr:to>
    <xdr:pic>
      <xdr:nvPicPr>
        <xdr:cNvPr id="10" name="Рисунок 9">
          <a:extLst>
            <a:ext uri="{FF2B5EF4-FFF2-40B4-BE49-F238E27FC236}">
              <a16:creationId xmlns:a16="http://schemas.microsoft.com/office/drawing/2014/main" id="{0782BAD2-FA21-6330-18A3-EC5BD7BBD2CA}"/>
            </a:ext>
          </a:extLst>
        </xdr:cNvPr>
        <xdr:cNvPicPr>
          <a:picLocks noChangeAspect="1"/>
        </xdr:cNvPicPr>
      </xdr:nvPicPr>
      <xdr:blipFill>
        <a:blip xmlns:r="http://schemas.openxmlformats.org/officeDocument/2006/relationships" r:embed="rId7"/>
        <a:stretch>
          <a:fillRect/>
        </a:stretch>
      </xdr:blipFill>
      <xdr:spPr>
        <a:xfrm>
          <a:off x="7658100" y="61386720"/>
          <a:ext cx="1874682" cy="693480"/>
        </a:xfrm>
        <a:prstGeom prst="rect">
          <a:avLst/>
        </a:prstGeom>
      </xdr:spPr>
    </xdr:pic>
    <xdr:clientData/>
  </xdr:twoCellAnchor>
  <xdr:twoCellAnchor editAs="oneCell">
    <xdr:from>
      <xdr:col>12</xdr:col>
      <xdr:colOff>381000</xdr:colOff>
      <xdr:row>289</xdr:row>
      <xdr:rowOff>167640</xdr:rowOff>
    </xdr:from>
    <xdr:to>
      <xdr:col>16</xdr:col>
      <xdr:colOff>213552</xdr:colOff>
      <xdr:row>294</xdr:row>
      <xdr:rowOff>61037</xdr:rowOff>
    </xdr:to>
    <xdr:pic>
      <xdr:nvPicPr>
        <xdr:cNvPr id="11" name="Рисунок 10">
          <a:extLst>
            <a:ext uri="{FF2B5EF4-FFF2-40B4-BE49-F238E27FC236}">
              <a16:creationId xmlns:a16="http://schemas.microsoft.com/office/drawing/2014/main" id="{F4AB6812-88F2-3F1E-DBA5-8E341537F814}"/>
            </a:ext>
          </a:extLst>
        </xdr:cNvPr>
        <xdr:cNvPicPr>
          <a:picLocks noChangeAspect="1"/>
        </xdr:cNvPicPr>
      </xdr:nvPicPr>
      <xdr:blipFill>
        <a:blip xmlns:r="http://schemas.openxmlformats.org/officeDocument/2006/relationships" r:embed="rId8"/>
        <a:stretch>
          <a:fillRect/>
        </a:stretch>
      </xdr:blipFill>
      <xdr:spPr>
        <a:xfrm>
          <a:off x="9494520" y="61173360"/>
          <a:ext cx="2209992" cy="883997"/>
        </a:xfrm>
        <a:prstGeom prst="rect">
          <a:avLst/>
        </a:prstGeom>
      </xdr:spPr>
    </xdr:pic>
    <xdr:clientData/>
  </xdr:twoCellAnchor>
  <xdr:twoCellAnchor editAs="oneCell">
    <xdr:from>
      <xdr:col>9</xdr:col>
      <xdr:colOff>243840</xdr:colOff>
      <xdr:row>296</xdr:row>
      <xdr:rowOff>99060</xdr:rowOff>
    </xdr:from>
    <xdr:to>
      <xdr:col>12</xdr:col>
      <xdr:colOff>358304</xdr:colOff>
      <xdr:row>301</xdr:row>
      <xdr:rowOff>30560</xdr:rowOff>
    </xdr:to>
    <xdr:pic>
      <xdr:nvPicPr>
        <xdr:cNvPr id="12" name="Рисунок 11">
          <a:extLst>
            <a:ext uri="{FF2B5EF4-FFF2-40B4-BE49-F238E27FC236}">
              <a16:creationId xmlns:a16="http://schemas.microsoft.com/office/drawing/2014/main" id="{E149E799-E1EC-145B-3DA8-161E92E55F8B}"/>
            </a:ext>
          </a:extLst>
        </xdr:cNvPr>
        <xdr:cNvPicPr>
          <a:picLocks noChangeAspect="1"/>
        </xdr:cNvPicPr>
      </xdr:nvPicPr>
      <xdr:blipFill>
        <a:blip xmlns:r="http://schemas.openxmlformats.org/officeDocument/2006/relationships" r:embed="rId9"/>
        <a:stretch>
          <a:fillRect/>
        </a:stretch>
      </xdr:blipFill>
      <xdr:spPr>
        <a:xfrm>
          <a:off x="7574280" y="62491620"/>
          <a:ext cx="1897544" cy="922100"/>
        </a:xfrm>
        <a:prstGeom prst="rect">
          <a:avLst/>
        </a:prstGeom>
      </xdr:spPr>
    </xdr:pic>
    <xdr:clientData/>
  </xdr:twoCellAnchor>
  <xdr:twoCellAnchor editAs="oneCell">
    <xdr:from>
      <xdr:col>12</xdr:col>
      <xdr:colOff>358140</xdr:colOff>
      <xdr:row>296</xdr:row>
      <xdr:rowOff>53340</xdr:rowOff>
    </xdr:from>
    <xdr:to>
      <xdr:col>15</xdr:col>
      <xdr:colOff>381157</xdr:colOff>
      <xdr:row>301</xdr:row>
      <xdr:rowOff>68667</xdr:rowOff>
    </xdr:to>
    <xdr:pic>
      <xdr:nvPicPr>
        <xdr:cNvPr id="13" name="Рисунок 12">
          <a:extLst>
            <a:ext uri="{FF2B5EF4-FFF2-40B4-BE49-F238E27FC236}">
              <a16:creationId xmlns:a16="http://schemas.microsoft.com/office/drawing/2014/main" id="{EACBBB9A-6BD6-ACDB-45BC-E959CFAF8934}"/>
            </a:ext>
          </a:extLst>
        </xdr:cNvPr>
        <xdr:cNvPicPr>
          <a:picLocks noChangeAspect="1"/>
        </xdr:cNvPicPr>
      </xdr:nvPicPr>
      <xdr:blipFill>
        <a:blip xmlns:r="http://schemas.openxmlformats.org/officeDocument/2006/relationships" r:embed="rId10"/>
        <a:stretch>
          <a:fillRect/>
        </a:stretch>
      </xdr:blipFill>
      <xdr:spPr>
        <a:xfrm>
          <a:off x="9471660" y="62445900"/>
          <a:ext cx="1806097" cy="10059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94</xdr:row>
      <xdr:rowOff>180975</xdr:rowOff>
    </xdr:from>
    <xdr:ext cx="3209925" cy="447675"/>
    <xdr:pic>
      <xdr:nvPicPr>
        <xdr:cNvPr id="2" name="image10.png">
          <a:extLst>
            <a:ext uri="{FF2B5EF4-FFF2-40B4-BE49-F238E27FC236}">
              <a16:creationId xmlns:a16="http://schemas.microsoft.com/office/drawing/2014/main" id="{9C0058C4-AD03-4DCB-89EE-37A8F6DDB4FB}"/>
            </a:ext>
          </a:extLst>
        </xdr:cNvPr>
        <xdr:cNvPicPr preferRelativeResize="0"/>
      </xdr:nvPicPr>
      <xdr:blipFill>
        <a:blip xmlns:r="http://schemas.openxmlformats.org/officeDocument/2006/relationships" r:embed="rId1" cstate="print"/>
        <a:stretch>
          <a:fillRect/>
        </a:stretch>
      </xdr:blipFill>
      <xdr:spPr>
        <a:xfrm>
          <a:off x="0" y="18606135"/>
          <a:ext cx="3209925" cy="447675"/>
        </a:xfrm>
        <a:prstGeom prst="rect">
          <a:avLst/>
        </a:prstGeom>
        <a:noFill/>
      </xdr:spPr>
    </xdr:pic>
    <xdr:clientData fLocksWithSheet="0"/>
  </xdr:oneCellAnchor>
  <xdr:oneCellAnchor>
    <xdr:from>
      <xdr:col>0</xdr:col>
      <xdr:colOff>0</xdr:colOff>
      <xdr:row>105</xdr:row>
      <xdr:rowOff>57150</xdr:rowOff>
    </xdr:from>
    <xdr:ext cx="914400" cy="390525"/>
    <xdr:pic>
      <xdr:nvPicPr>
        <xdr:cNvPr id="3" name="image7.png">
          <a:extLst>
            <a:ext uri="{FF2B5EF4-FFF2-40B4-BE49-F238E27FC236}">
              <a16:creationId xmlns:a16="http://schemas.microsoft.com/office/drawing/2014/main" id="{B9A92510-1A6A-43A4-913D-A95145E3F83B}"/>
            </a:ext>
          </a:extLst>
        </xdr:cNvPr>
        <xdr:cNvPicPr preferRelativeResize="0"/>
      </xdr:nvPicPr>
      <xdr:blipFill>
        <a:blip xmlns:r="http://schemas.openxmlformats.org/officeDocument/2006/relationships" r:embed="rId2" cstate="print"/>
        <a:stretch>
          <a:fillRect/>
        </a:stretch>
      </xdr:blipFill>
      <xdr:spPr>
        <a:xfrm>
          <a:off x="0" y="20661630"/>
          <a:ext cx="914400" cy="390525"/>
        </a:xfrm>
        <a:prstGeom prst="rect">
          <a:avLst/>
        </a:prstGeom>
        <a:noFill/>
      </xdr:spPr>
    </xdr:pic>
    <xdr:clientData fLocksWithSheet="0"/>
  </xdr:oneCellAnchor>
  <xdr:oneCellAnchor>
    <xdr:from>
      <xdr:col>0</xdr:col>
      <xdr:colOff>0</xdr:colOff>
      <xdr:row>121</xdr:row>
      <xdr:rowOff>0</xdr:rowOff>
    </xdr:from>
    <xdr:ext cx="3200400" cy="409575"/>
    <xdr:pic>
      <xdr:nvPicPr>
        <xdr:cNvPr id="4" name="image4.png">
          <a:extLst>
            <a:ext uri="{FF2B5EF4-FFF2-40B4-BE49-F238E27FC236}">
              <a16:creationId xmlns:a16="http://schemas.microsoft.com/office/drawing/2014/main" id="{033CC18F-7DD2-497C-B26D-F0E494483361}"/>
            </a:ext>
          </a:extLst>
        </xdr:cNvPr>
        <xdr:cNvPicPr preferRelativeResize="0"/>
      </xdr:nvPicPr>
      <xdr:blipFill>
        <a:blip xmlns:r="http://schemas.openxmlformats.org/officeDocument/2006/relationships" r:embed="rId3" cstate="print"/>
        <a:stretch>
          <a:fillRect/>
        </a:stretch>
      </xdr:blipFill>
      <xdr:spPr>
        <a:xfrm>
          <a:off x="0" y="23774400"/>
          <a:ext cx="3200400" cy="409575"/>
        </a:xfrm>
        <a:prstGeom prst="rect">
          <a:avLst/>
        </a:prstGeom>
        <a:noFill/>
      </xdr:spPr>
    </xdr:pic>
    <xdr:clientData fLocksWithSheet="0"/>
  </xdr:oneCellAnchor>
  <xdr:oneCellAnchor>
    <xdr:from>
      <xdr:col>0</xdr:col>
      <xdr:colOff>0</xdr:colOff>
      <xdr:row>139</xdr:row>
      <xdr:rowOff>0</xdr:rowOff>
    </xdr:from>
    <xdr:ext cx="3848100" cy="495300"/>
    <xdr:pic>
      <xdr:nvPicPr>
        <xdr:cNvPr id="5" name="image9.png">
          <a:extLst>
            <a:ext uri="{FF2B5EF4-FFF2-40B4-BE49-F238E27FC236}">
              <a16:creationId xmlns:a16="http://schemas.microsoft.com/office/drawing/2014/main" id="{20C5F6C4-2511-4F19-98FF-04BE14BAC5F0}"/>
            </a:ext>
          </a:extLst>
        </xdr:cNvPr>
        <xdr:cNvPicPr preferRelativeResize="0"/>
      </xdr:nvPicPr>
      <xdr:blipFill>
        <a:blip xmlns:r="http://schemas.openxmlformats.org/officeDocument/2006/relationships" r:embed="rId4" cstate="print"/>
        <a:stretch>
          <a:fillRect/>
        </a:stretch>
      </xdr:blipFill>
      <xdr:spPr>
        <a:xfrm>
          <a:off x="0" y="27340560"/>
          <a:ext cx="3848100" cy="495300"/>
        </a:xfrm>
        <a:prstGeom prst="rect">
          <a:avLst/>
        </a:prstGeom>
        <a:noFill/>
      </xdr:spPr>
    </xdr:pic>
    <xdr:clientData fLocksWithSheet="0"/>
  </xdr:oneCellAnchor>
  <xdr:oneCellAnchor>
    <xdr:from>
      <xdr:col>1</xdr:col>
      <xdr:colOff>352425</xdr:colOff>
      <xdr:row>153</xdr:row>
      <xdr:rowOff>95250</xdr:rowOff>
    </xdr:from>
    <xdr:ext cx="1847850" cy="466725"/>
    <xdr:pic>
      <xdr:nvPicPr>
        <xdr:cNvPr id="6" name="image6.png">
          <a:extLst>
            <a:ext uri="{FF2B5EF4-FFF2-40B4-BE49-F238E27FC236}">
              <a16:creationId xmlns:a16="http://schemas.microsoft.com/office/drawing/2014/main" id="{532D10F6-DE64-4D29-983B-6B6E00625157}"/>
            </a:ext>
          </a:extLst>
        </xdr:cNvPr>
        <xdr:cNvPicPr preferRelativeResize="0"/>
      </xdr:nvPicPr>
      <xdr:blipFill>
        <a:blip xmlns:r="http://schemas.openxmlformats.org/officeDocument/2006/relationships" r:embed="rId5" cstate="print"/>
        <a:stretch>
          <a:fillRect/>
        </a:stretch>
      </xdr:blipFill>
      <xdr:spPr>
        <a:xfrm>
          <a:off x="4352925" y="30209490"/>
          <a:ext cx="1847850" cy="466725"/>
        </a:xfrm>
        <a:prstGeom prst="rect">
          <a:avLst/>
        </a:prstGeom>
        <a:noFill/>
      </xdr:spPr>
    </xdr:pic>
    <xdr:clientData fLocksWithSheet="0"/>
  </xdr:oneCellAnchor>
  <xdr:oneCellAnchor>
    <xdr:from>
      <xdr:col>0</xdr:col>
      <xdr:colOff>0</xdr:colOff>
      <xdr:row>453</xdr:row>
      <xdr:rowOff>190500</xdr:rowOff>
    </xdr:from>
    <xdr:ext cx="8191500" cy="1057275"/>
    <xdr:pic>
      <xdr:nvPicPr>
        <xdr:cNvPr id="7" name="image5.png" title="Изображение">
          <a:extLst>
            <a:ext uri="{FF2B5EF4-FFF2-40B4-BE49-F238E27FC236}">
              <a16:creationId xmlns:a16="http://schemas.microsoft.com/office/drawing/2014/main" id="{545E194F-0D73-45EC-808B-703B1C448523}"/>
            </a:ext>
          </a:extLst>
        </xdr:cNvPr>
        <xdr:cNvPicPr preferRelativeResize="0"/>
      </xdr:nvPicPr>
      <xdr:blipFill>
        <a:blip xmlns:r="http://schemas.openxmlformats.org/officeDocument/2006/relationships" r:embed="rId6" cstate="print"/>
        <a:stretch>
          <a:fillRect/>
        </a:stretch>
      </xdr:blipFill>
      <xdr:spPr>
        <a:xfrm>
          <a:off x="0" y="89740740"/>
          <a:ext cx="8191500" cy="1057275"/>
        </a:xfrm>
        <a:prstGeom prst="rect">
          <a:avLst/>
        </a:prstGeom>
        <a:noFill/>
      </xdr:spPr>
    </xdr:pic>
    <xdr:clientData fLocksWithSheet="0"/>
  </xdr:oneCellAnchor>
  <xdr:twoCellAnchor editAs="oneCell">
    <xdr:from>
      <xdr:col>5</xdr:col>
      <xdr:colOff>266700</xdr:colOff>
      <xdr:row>212</xdr:row>
      <xdr:rowOff>45720</xdr:rowOff>
    </xdr:from>
    <xdr:to>
      <xdr:col>13</xdr:col>
      <xdr:colOff>244284</xdr:colOff>
      <xdr:row>219</xdr:row>
      <xdr:rowOff>61082</xdr:rowOff>
    </xdr:to>
    <xdr:pic>
      <xdr:nvPicPr>
        <xdr:cNvPr id="8" name="Рисунок 7">
          <a:extLst>
            <a:ext uri="{FF2B5EF4-FFF2-40B4-BE49-F238E27FC236}">
              <a16:creationId xmlns:a16="http://schemas.microsoft.com/office/drawing/2014/main" id="{82EC7256-3EDB-7CBF-F522-0174D98BB126}"/>
            </a:ext>
          </a:extLst>
        </xdr:cNvPr>
        <xdr:cNvPicPr>
          <a:picLocks noChangeAspect="1"/>
        </xdr:cNvPicPr>
      </xdr:nvPicPr>
      <xdr:blipFill>
        <a:blip xmlns:r="http://schemas.openxmlformats.org/officeDocument/2006/relationships" r:embed="rId7"/>
        <a:stretch>
          <a:fillRect/>
        </a:stretch>
      </xdr:blipFill>
      <xdr:spPr>
        <a:xfrm>
          <a:off x="7559040" y="41849040"/>
          <a:ext cx="5121084" cy="1402202"/>
        </a:xfrm>
        <a:prstGeom prst="rect">
          <a:avLst/>
        </a:prstGeom>
      </xdr:spPr>
    </xdr:pic>
    <xdr:clientData/>
  </xdr:twoCellAnchor>
  <xdr:twoCellAnchor editAs="oneCell">
    <xdr:from>
      <xdr:col>5</xdr:col>
      <xdr:colOff>365760</xdr:colOff>
      <xdr:row>228</xdr:row>
      <xdr:rowOff>175260</xdr:rowOff>
    </xdr:from>
    <xdr:to>
      <xdr:col>13</xdr:col>
      <xdr:colOff>343344</xdr:colOff>
      <xdr:row>235</xdr:row>
      <xdr:rowOff>190622</xdr:rowOff>
    </xdr:to>
    <xdr:pic>
      <xdr:nvPicPr>
        <xdr:cNvPr id="9" name="Рисунок 8">
          <a:extLst>
            <a:ext uri="{FF2B5EF4-FFF2-40B4-BE49-F238E27FC236}">
              <a16:creationId xmlns:a16="http://schemas.microsoft.com/office/drawing/2014/main" id="{00DEC377-2FA1-4CF3-B9D8-C700D54C1DBE}"/>
            </a:ext>
          </a:extLst>
        </xdr:cNvPr>
        <xdr:cNvPicPr>
          <a:picLocks noChangeAspect="1"/>
        </xdr:cNvPicPr>
      </xdr:nvPicPr>
      <xdr:blipFill>
        <a:blip xmlns:r="http://schemas.openxmlformats.org/officeDocument/2006/relationships" r:embed="rId7"/>
        <a:stretch>
          <a:fillRect/>
        </a:stretch>
      </xdr:blipFill>
      <xdr:spPr>
        <a:xfrm>
          <a:off x="7658100" y="45148500"/>
          <a:ext cx="5121084" cy="1402202"/>
        </a:xfrm>
        <a:prstGeom prst="rect">
          <a:avLst/>
        </a:prstGeom>
      </xdr:spPr>
    </xdr:pic>
    <xdr:clientData/>
  </xdr:twoCellAnchor>
  <xdr:twoCellAnchor editAs="oneCell">
    <xdr:from>
      <xdr:col>5</xdr:col>
      <xdr:colOff>160020</xdr:colOff>
      <xdr:row>240</xdr:row>
      <xdr:rowOff>152400</xdr:rowOff>
    </xdr:from>
    <xdr:to>
      <xdr:col>13</xdr:col>
      <xdr:colOff>137604</xdr:colOff>
      <xdr:row>247</xdr:row>
      <xdr:rowOff>167762</xdr:rowOff>
    </xdr:to>
    <xdr:pic>
      <xdr:nvPicPr>
        <xdr:cNvPr id="10" name="Рисунок 9">
          <a:extLst>
            <a:ext uri="{FF2B5EF4-FFF2-40B4-BE49-F238E27FC236}">
              <a16:creationId xmlns:a16="http://schemas.microsoft.com/office/drawing/2014/main" id="{D99F11AF-3754-4BC0-A5CA-D7AB9FB7D97A}"/>
            </a:ext>
          </a:extLst>
        </xdr:cNvPr>
        <xdr:cNvPicPr>
          <a:picLocks noChangeAspect="1"/>
        </xdr:cNvPicPr>
      </xdr:nvPicPr>
      <xdr:blipFill>
        <a:blip xmlns:r="http://schemas.openxmlformats.org/officeDocument/2006/relationships" r:embed="rId7"/>
        <a:stretch>
          <a:fillRect/>
        </a:stretch>
      </xdr:blipFill>
      <xdr:spPr>
        <a:xfrm>
          <a:off x="7452360" y="47503080"/>
          <a:ext cx="5121084" cy="1402202"/>
        </a:xfrm>
        <a:prstGeom prst="rect">
          <a:avLst/>
        </a:prstGeom>
      </xdr:spPr>
    </xdr:pic>
    <xdr:clientData/>
  </xdr:twoCellAnchor>
  <xdr:twoCellAnchor editAs="oneCell">
    <xdr:from>
      <xdr:col>5</xdr:col>
      <xdr:colOff>449580</xdr:colOff>
      <xdr:row>255</xdr:row>
      <xdr:rowOff>76200</xdr:rowOff>
    </xdr:from>
    <xdr:to>
      <xdr:col>13</xdr:col>
      <xdr:colOff>427164</xdr:colOff>
      <xdr:row>262</xdr:row>
      <xdr:rowOff>91562</xdr:rowOff>
    </xdr:to>
    <xdr:pic>
      <xdr:nvPicPr>
        <xdr:cNvPr id="11" name="Рисунок 10">
          <a:extLst>
            <a:ext uri="{FF2B5EF4-FFF2-40B4-BE49-F238E27FC236}">
              <a16:creationId xmlns:a16="http://schemas.microsoft.com/office/drawing/2014/main" id="{5F4229E0-5FE2-4AE5-BCDA-955E65FC51C3}"/>
            </a:ext>
          </a:extLst>
        </xdr:cNvPr>
        <xdr:cNvPicPr>
          <a:picLocks noChangeAspect="1"/>
        </xdr:cNvPicPr>
      </xdr:nvPicPr>
      <xdr:blipFill>
        <a:blip xmlns:r="http://schemas.openxmlformats.org/officeDocument/2006/relationships" r:embed="rId7"/>
        <a:stretch>
          <a:fillRect/>
        </a:stretch>
      </xdr:blipFill>
      <xdr:spPr>
        <a:xfrm>
          <a:off x="7741920" y="50398680"/>
          <a:ext cx="5121084" cy="1402202"/>
        </a:xfrm>
        <a:prstGeom prst="rect">
          <a:avLst/>
        </a:prstGeom>
      </xdr:spPr>
    </xdr:pic>
    <xdr:clientData/>
  </xdr:twoCellAnchor>
  <xdr:twoCellAnchor editAs="oneCell">
    <xdr:from>
      <xdr:col>3</xdr:col>
      <xdr:colOff>425823</xdr:colOff>
      <xdr:row>266</xdr:row>
      <xdr:rowOff>145676</xdr:rowOff>
    </xdr:from>
    <xdr:to>
      <xdr:col>11</xdr:col>
      <xdr:colOff>33613</xdr:colOff>
      <xdr:row>273</xdr:row>
      <xdr:rowOff>161037</xdr:rowOff>
    </xdr:to>
    <xdr:pic>
      <xdr:nvPicPr>
        <xdr:cNvPr id="12" name="Рисунок 11">
          <a:extLst>
            <a:ext uri="{FF2B5EF4-FFF2-40B4-BE49-F238E27FC236}">
              <a16:creationId xmlns:a16="http://schemas.microsoft.com/office/drawing/2014/main" id="{EAD660A0-84D5-489D-9929-4D988EC4D6AB}"/>
            </a:ext>
          </a:extLst>
        </xdr:cNvPr>
        <xdr:cNvPicPr>
          <a:picLocks noChangeAspect="1"/>
        </xdr:cNvPicPr>
      </xdr:nvPicPr>
      <xdr:blipFill>
        <a:blip xmlns:r="http://schemas.openxmlformats.org/officeDocument/2006/relationships" r:embed="rId7"/>
        <a:stretch>
          <a:fillRect/>
        </a:stretch>
      </xdr:blipFill>
      <xdr:spPr>
        <a:xfrm>
          <a:off x="5983941" y="53642558"/>
          <a:ext cx="5009025" cy="1427303"/>
        </a:xfrm>
        <a:prstGeom prst="rect">
          <a:avLst/>
        </a:prstGeom>
      </xdr:spPr>
    </xdr:pic>
    <xdr:clientData/>
  </xdr:twoCellAnchor>
  <xdr:twoCellAnchor editAs="oneCell">
    <xdr:from>
      <xdr:col>4</xdr:col>
      <xdr:colOff>212912</xdr:colOff>
      <xdr:row>278</xdr:row>
      <xdr:rowOff>0</xdr:rowOff>
    </xdr:from>
    <xdr:to>
      <xdr:col>8</xdr:col>
      <xdr:colOff>438611</xdr:colOff>
      <xdr:row>282</xdr:row>
      <xdr:rowOff>164863</xdr:rowOff>
    </xdr:to>
    <xdr:pic>
      <xdr:nvPicPr>
        <xdr:cNvPr id="13" name="Рисунок 12">
          <a:extLst>
            <a:ext uri="{FF2B5EF4-FFF2-40B4-BE49-F238E27FC236}">
              <a16:creationId xmlns:a16="http://schemas.microsoft.com/office/drawing/2014/main" id="{FC3339AE-08F7-4813-89CD-AF345C899921}"/>
            </a:ext>
          </a:extLst>
        </xdr:cNvPr>
        <xdr:cNvPicPr>
          <a:picLocks noChangeAspect="1"/>
        </xdr:cNvPicPr>
      </xdr:nvPicPr>
      <xdr:blipFill>
        <a:blip xmlns:r="http://schemas.openxmlformats.org/officeDocument/2006/relationships" r:embed="rId8"/>
        <a:stretch>
          <a:fillRect/>
        </a:stretch>
      </xdr:blipFill>
      <xdr:spPr>
        <a:xfrm>
          <a:off x="6353736" y="55917353"/>
          <a:ext cx="3296110" cy="971686"/>
        </a:xfrm>
        <a:prstGeom prst="rect">
          <a:avLst/>
        </a:prstGeom>
      </xdr:spPr>
    </xdr:pic>
    <xdr:clientData/>
  </xdr:twoCellAnchor>
  <xdr:twoCellAnchor editAs="oneCell">
    <xdr:from>
      <xdr:col>4</xdr:col>
      <xdr:colOff>56029</xdr:colOff>
      <xdr:row>306</xdr:row>
      <xdr:rowOff>33616</xdr:rowOff>
    </xdr:from>
    <xdr:to>
      <xdr:col>10</xdr:col>
      <xdr:colOff>126107</xdr:colOff>
      <xdr:row>311</xdr:row>
      <xdr:rowOff>120615</xdr:rowOff>
    </xdr:to>
    <xdr:pic>
      <xdr:nvPicPr>
        <xdr:cNvPr id="14" name="Рисунок 13">
          <a:extLst>
            <a:ext uri="{FF2B5EF4-FFF2-40B4-BE49-F238E27FC236}">
              <a16:creationId xmlns:a16="http://schemas.microsoft.com/office/drawing/2014/main" id="{E95E516B-0DB6-4EB3-8532-CF357A1C73DF}"/>
            </a:ext>
          </a:extLst>
        </xdr:cNvPr>
        <xdr:cNvPicPr>
          <a:picLocks noChangeAspect="1"/>
        </xdr:cNvPicPr>
      </xdr:nvPicPr>
      <xdr:blipFill>
        <a:blip xmlns:r="http://schemas.openxmlformats.org/officeDocument/2006/relationships" r:embed="rId9"/>
        <a:stretch>
          <a:fillRect/>
        </a:stretch>
      </xdr:blipFill>
      <xdr:spPr>
        <a:xfrm>
          <a:off x="6196853" y="61598734"/>
          <a:ext cx="4305901" cy="1095528"/>
        </a:xfrm>
        <a:prstGeom prst="rect">
          <a:avLst/>
        </a:prstGeom>
      </xdr:spPr>
    </xdr:pic>
    <xdr:clientData/>
  </xdr:twoCellAnchor>
  <xdr:twoCellAnchor editAs="oneCell">
    <xdr:from>
      <xdr:col>4</xdr:col>
      <xdr:colOff>504265</xdr:colOff>
      <xdr:row>303</xdr:row>
      <xdr:rowOff>0</xdr:rowOff>
    </xdr:from>
    <xdr:to>
      <xdr:col>10</xdr:col>
      <xdr:colOff>117079</xdr:colOff>
      <xdr:row>307</xdr:row>
      <xdr:rowOff>60072</xdr:rowOff>
    </xdr:to>
    <xdr:pic>
      <xdr:nvPicPr>
        <xdr:cNvPr id="15" name="Рисунок 14">
          <a:extLst>
            <a:ext uri="{FF2B5EF4-FFF2-40B4-BE49-F238E27FC236}">
              <a16:creationId xmlns:a16="http://schemas.microsoft.com/office/drawing/2014/main" id="{C89047EF-CDE0-4C7C-A2C6-6091BC110155}"/>
            </a:ext>
          </a:extLst>
        </xdr:cNvPr>
        <xdr:cNvPicPr>
          <a:picLocks noChangeAspect="1"/>
        </xdr:cNvPicPr>
      </xdr:nvPicPr>
      <xdr:blipFill>
        <a:blip xmlns:r="http://schemas.openxmlformats.org/officeDocument/2006/relationships" r:embed="rId10"/>
        <a:stretch>
          <a:fillRect/>
        </a:stretch>
      </xdr:blipFill>
      <xdr:spPr>
        <a:xfrm>
          <a:off x="6645089" y="60960000"/>
          <a:ext cx="3848637" cy="866896"/>
        </a:xfrm>
        <a:prstGeom prst="rect">
          <a:avLst/>
        </a:prstGeom>
      </xdr:spPr>
    </xdr:pic>
    <xdr:clientData/>
  </xdr:twoCellAnchor>
  <xdr:twoCellAnchor editAs="oneCell">
    <xdr:from>
      <xdr:col>2</xdr:col>
      <xdr:colOff>537883</xdr:colOff>
      <xdr:row>290</xdr:row>
      <xdr:rowOff>156881</xdr:rowOff>
    </xdr:from>
    <xdr:to>
      <xdr:col>10</xdr:col>
      <xdr:colOff>299919</xdr:colOff>
      <xdr:row>297</xdr:row>
      <xdr:rowOff>164363</xdr:rowOff>
    </xdr:to>
    <xdr:pic>
      <xdr:nvPicPr>
        <xdr:cNvPr id="16" name="Рисунок 15">
          <a:extLst>
            <a:ext uri="{FF2B5EF4-FFF2-40B4-BE49-F238E27FC236}">
              <a16:creationId xmlns:a16="http://schemas.microsoft.com/office/drawing/2014/main" id="{5896AA9E-501C-444C-9255-0B1D0A331AC6}"/>
            </a:ext>
          </a:extLst>
        </xdr:cNvPr>
        <xdr:cNvPicPr>
          <a:picLocks noChangeAspect="1"/>
        </xdr:cNvPicPr>
      </xdr:nvPicPr>
      <xdr:blipFill>
        <a:blip xmlns:r="http://schemas.openxmlformats.org/officeDocument/2006/relationships" r:embed="rId11"/>
        <a:stretch>
          <a:fillRect/>
        </a:stretch>
      </xdr:blipFill>
      <xdr:spPr>
        <a:xfrm>
          <a:off x="5513295" y="58494705"/>
          <a:ext cx="5163271" cy="1419423"/>
        </a:xfrm>
        <a:prstGeom prst="rect">
          <a:avLst/>
        </a:prstGeom>
      </xdr:spPr>
    </xdr:pic>
    <xdr:clientData/>
  </xdr:twoCellAnchor>
  <xdr:twoCellAnchor editAs="oneCell">
    <xdr:from>
      <xdr:col>3</xdr:col>
      <xdr:colOff>448236</xdr:colOff>
      <xdr:row>330</xdr:row>
      <xdr:rowOff>112059</xdr:rowOff>
    </xdr:from>
    <xdr:to>
      <xdr:col>7</xdr:col>
      <xdr:colOff>805571</xdr:colOff>
      <xdr:row>335</xdr:row>
      <xdr:rowOff>113321</xdr:rowOff>
    </xdr:to>
    <xdr:pic>
      <xdr:nvPicPr>
        <xdr:cNvPr id="17" name="Рисунок 16">
          <a:extLst>
            <a:ext uri="{FF2B5EF4-FFF2-40B4-BE49-F238E27FC236}">
              <a16:creationId xmlns:a16="http://schemas.microsoft.com/office/drawing/2014/main" id="{30317C4F-31D7-4B91-B928-D765AD825E70}"/>
            </a:ext>
          </a:extLst>
        </xdr:cNvPr>
        <xdr:cNvPicPr>
          <a:picLocks noChangeAspect="1"/>
        </xdr:cNvPicPr>
      </xdr:nvPicPr>
      <xdr:blipFill>
        <a:blip xmlns:r="http://schemas.openxmlformats.org/officeDocument/2006/relationships" r:embed="rId12"/>
        <a:stretch>
          <a:fillRect/>
        </a:stretch>
      </xdr:blipFill>
      <xdr:spPr>
        <a:xfrm>
          <a:off x="6006354" y="66518118"/>
          <a:ext cx="3057952" cy="1009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164</xdr:row>
      <xdr:rowOff>1466850</xdr:rowOff>
    </xdr:from>
    <xdr:ext cx="2619375" cy="847725"/>
    <xdr:pic>
      <xdr:nvPicPr>
        <xdr:cNvPr id="2" name="image13.png" title="Изображение">
          <a:extLst>
            <a:ext uri="{FF2B5EF4-FFF2-40B4-BE49-F238E27FC236}">
              <a16:creationId xmlns:a16="http://schemas.microsoft.com/office/drawing/2014/main" id="{78A673F2-9B7A-4DCC-BB11-286A853BCC66}"/>
            </a:ext>
          </a:extLst>
        </xdr:cNvPr>
        <xdr:cNvPicPr preferRelativeResize="0"/>
      </xdr:nvPicPr>
      <xdr:blipFill>
        <a:blip xmlns:r="http://schemas.openxmlformats.org/officeDocument/2006/relationships" r:embed="rId1" cstate="print"/>
        <a:stretch>
          <a:fillRect/>
        </a:stretch>
      </xdr:blipFill>
      <xdr:spPr>
        <a:xfrm>
          <a:off x="0" y="32404050"/>
          <a:ext cx="2619375" cy="847725"/>
        </a:xfrm>
        <a:prstGeom prst="rect">
          <a:avLst/>
        </a:prstGeom>
        <a:noFill/>
      </xdr:spPr>
    </xdr:pic>
    <xdr:clientData fLocksWithSheet="0"/>
  </xdr:oneCellAnchor>
  <xdr:oneCellAnchor>
    <xdr:from>
      <xdr:col>0</xdr:col>
      <xdr:colOff>0</xdr:colOff>
      <xdr:row>386</xdr:row>
      <xdr:rowOff>0</xdr:rowOff>
    </xdr:from>
    <xdr:ext cx="7962900" cy="714375"/>
    <xdr:pic>
      <xdr:nvPicPr>
        <xdr:cNvPr id="3" name="image3.png" title="Изображение">
          <a:extLst>
            <a:ext uri="{FF2B5EF4-FFF2-40B4-BE49-F238E27FC236}">
              <a16:creationId xmlns:a16="http://schemas.microsoft.com/office/drawing/2014/main" id="{C472BD43-9A99-440C-A055-71DBE9CE1C23}"/>
            </a:ext>
          </a:extLst>
        </xdr:cNvPr>
        <xdr:cNvPicPr preferRelativeResize="0"/>
      </xdr:nvPicPr>
      <xdr:blipFill>
        <a:blip xmlns:r="http://schemas.openxmlformats.org/officeDocument/2006/relationships" r:embed="rId2" cstate="print"/>
        <a:stretch>
          <a:fillRect/>
        </a:stretch>
      </xdr:blipFill>
      <xdr:spPr>
        <a:xfrm>
          <a:off x="0" y="76192380"/>
          <a:ext cx="7962900" cy="714375"/>
        </a:xfrm>
        <a:prstGeom prst="rect">
          <a:avLst/>
        </a:prstGeom>
        <a:noFill/>
      </xdr:spPr>
    </xdr:pic>
    <xdr:clientData fLocksWithSheet="0"/>
  </xdr:oneCellAnchor>
  <xdr:twoCellAnchor editAs="oneCell">
    <xdr:from>
      <xdr:col>7</xdr:col>
      <xdr:colOff>457200</xdr:colOff>
      <xdr:row>170</xdr:row>
      <xdr:rowOff>28575</xdr:rowOff>
    </xdr:from>
    <xdr:to>
      <xdr:col>12</xdr:col>
      <xdr:colOff>238528</xdr:colOff>
      <xdr:row>176</xdr:row>
      <xdr:rowOff>9690</xdr:rowOff>
    </xdr:to>
    <xdr:pic>
      <xdr:nvPicPr>
        <xdr:cNvPr id="4" name="Рисунок 3">
          <a:extLst>
            <a:ext uri="{FF2B5EF4-FFF2-40B4-BE49-F238E27FC236}">
              <a16:creationId xmlns:a16="http://schemas.microsoft.com/office/drawing/2014/main" id="{3D6DBA80-1719-4131-B782-9E6396CF88EC}"/>
            </a:ext>
          </a:extLst>
        </xdr:cNvPr>
        <xdr:cNvPicPr>
          <a:picLocks noChangeAspect="1"/>
        </xdr:cNvPicPr>
      </xdr:nvPicPr>
      <xdr:blipFill>
        <a:blip xmlns:r="http://schemas.openxmlformats.org/officeDocument/2006/relationships" r:embed="rId3"/>
        <a:stretch>
          <a:fillRect/>
        </a:stretch>
      </xdr:blipFill>
      <xdr:spPr>
        <a:xfrm>
          <a:off x="5429250" y="33870900"/>
          <a:ext cx="2886478" cy="1181265"/>
        </a:xfrm>
        <a:prstGeom prst="rect">
          <a:avLst/>
        </a:prstGeom>
      </xdr:spPr>
    </xdr:pic>
    <xdr:clientData/>
  </xdr:twoCellAnchor>
  <xdr:twoCellAnchor editAs="oneCell">
    <xdr:from>
      <xdr:col>9</xdr:col>
      <xdr:colOff>0</xdr:colOff>
      <xdr:row>193</xdr:row>
      <xdr:rowOff>0</xdr:rowOff>
    </xdr:from>
    <xdr:to>
      <xdr:col>13</xdr:col>
      <xdr:colOff>562378</xdr:colOff>
      <xdr:row>198</xdr:row>
      <xdr:rowOff>181140</xdr:rowOff>
    </xdr:to>
    <xdr:pic>
      <xdr:nvPicPr>
        <xdr:cNvPr id="5" name="Рисунок 4">
          <a:extLst>
            <a:ext uri="{FF2B5EF4-FFF2-40B4-BE49-F238E27FC236}">
              <a16:creationId xmlns:a16="http://schemas.microsoft.com/office/drawing/2014/main" id="{91323826-2486-479C-A5A3-4CA4560B1363}"/>
            </a:ext>
          </a:extLst>
        </xdr:cNvPr>
        <xdr:cNvPicPr>
          <a:picLocks noChangeAspect="1"/>
        </xdr:cNvPicPr>
      </xdr:nvPicPr>
      <xdr:blipFill>
        <a:blip xmlns:r="http://schemas.openxmlformats.org/officeDocument/2006/relationships" r:embed="rId3"/>
        <a:stretch>
          <a:fillRect/>
        </a:stretch>
      </xdr:blipFill>
      <xdr:spPr>
        <a:xfrm>
          <a:off x="6334125" y="38442900"/>
          <a:ext cx="2886478" cy="1181265"/>
        </a:xfrm>
        <a:prstGeom prst="rect">
          <a:avLst/>
        </a:prstGeom>
      </xdr:spPr>
    </xdr:pic>
    <xdr:clientData/>
  </xdr:twoCellAnchor>
  <xdr:twoCellAnchor editAs="oneCell">
    <xdr:from>
      <xdr:col>9</xdr:col>
      <xdr:colOff>0</xdr:colOff>
      <xdr:row>204</xdr:row>
      <xdr:rowOff>0</xdr:rowOff>
    </xdr:from>
    <xdr:to>
      <xdr:col>13</xdr:col>
      <xdr:colOff>562378</xdr:colOff>
      <xdr:row>209</xdr:row>
      <xdr:rowOff>181140</xdr:rowOff>
    </xdr:to>
    <xdr:pic>
      <xdr:nvPicPr>
        <xdr:cNvPr id="6" name="Рисунок 5">
          <a:extLst>
            <a:ext uri="{FF2B5EF4-FFF2-40B4-BE49-F238E27FC236}">
              <a16:creationId xmlns:a16="http://schemas.microsoft.com/office/drawing/2014/main" id="{0CF07202-92C2-4027-A175-ED36CE1E1648}"/>
            </a:ext>
          </a:extLst>
        </xdr:cNvPr>
        <xdr:cNvPicPr>
          <a:picLocks noChangeAspect="1"/>
        </xdr:cNvPicPr>
      </xdr:nvPicPr>
      <xdr:blipFill>
        <a:blip xmlns:r="http://schemas.openxmlformats.org/officeDocument/2006/relationships" r:embed="rId3"/>
        <a:stretch>
          <a:fillRect/>
        </a:stretch>
      </xdr:blipFill>
      <xdr:spPr>
        <a:xfrm>
          <a:off x="6334125" y="40643175"/>
          <a:ext cx="2886478" cy="1181265"/>
        </a:xfrm>
        <a:prstGeom prst="rect">
          <a:avLst/>
        </a:prstGeom>
      </xdr:spPr>
    </xdr:pic>
    <xdr:clientData/>
  </xdr:twoCellAnchor>
  <xdr:twoCellAnchor editAs="oneCell">
    <xdr:from>
      <xdr:col>10</xdr:col>
      <xdr:colOff>0</xdr:colOff>
      <xdr:row>213</xdr:row>
      <xdr:rowOff>0</xdr:rowOff>
    </xdr:from>
    <xdr:to>
      <xdr:col>12</xdr:col>
      <xdr:colOff>486005</xdr:colOff>
      <xdr:row>216</xdr:row>
      <xdr:rowOff>190610</xdr:rowOff>
    </xdr:to>
    <xdr:pic>
      <xdr:nvPicPr>
        <xdr:cNvPr id="7" name="Рисунок 6">
          <a:extLst>
            <a:ext uri="{FF2B5EF4-FFF2-40B4-BE49-F238E27FC236}">
              <a16:creationId xmlns:a16="http://schemas.microsoft.com/office/drawing/2014/main" id="{93F946CE-7F4A-436A-9FD8-476DDE58228B}"/>
            </a:ext>
          </a:extLst>
        </xdr:cNvPr>
        <xdr:cNvPicPr>
          <a:picLocks noChangeAspect="1"/>
        </xdr:cNvPicPr>
      </xdr:nvPicPr>
      <xdr:blipFill>
        <a:blip xmlns:r="http://schemas.openxmlformats.org/officeDocument/2006/relationships" r:embed="rId4"/>
        <a:stretch>
          <a:fillRect/>
        </a:stretch>
      </xdr:blipFill>
      <xdr:spPr>
        <a:xfrm>
          <a:off x="6915150" y="42443400"/>
          <a:ext cx="1648055" cy="790685"/>
        </a:xfrm>
        <a:prstGeom prst="rect">
          <a:avLst/>
        </a:prstGeom>
      </xdr:spPr>
    </xdr:pic>
    <xdr:clientData/>
  </xdr:twoCellAnchor>
  <xdr:twoCellAnchor editAs="oneCell">
    <xdr:from>
      <xdr:col>9</xdr:col>
      <xdr:colOff>276225</xdr:colOff>
      <xdr:row>221</xdr:row>
      <xdr:rowOff>133350</xdr:rowOff>
    </xdr:from>
    <xdr:to>
      <xdr:col>12</xdr:col>
      <xdr:colOff>228837</xdr:colOff>
      <xdr:row>225</xdr:row>
      <xdr:rowOff>38198</xdr:rowOff>
    </xdr:to>
    <xdr:pic>
      <xdr:nvPicPr>
        <xdr:cNvPr id="8" name="Рисунок 7">
          <a:extLst>
            <a:ext uri="{FF2B5EF4-FFF2-40B4-BE49-F238E27FC236}">
              <a16:creationId xmlns:a16="http://schemas.microsoft.com/office/drawing/2014/main" id="{7909D4E3-C482-4A65-842A-5158D57567FE}"/>
            </a:ext>
          </a:extLst>
        </xdr:cNvPr>
        <xdr:cNvPicPr>
          <a:picLocks noChangeAspect="1"/>
        </xdr:cNvPicPr>
      </xdr:nvPicPr>
      <xdr:blipFill>
        <a:blip xmlns:r="http://schemas.openxmlformats.org/officeDocument/2006/relationships" r:embed="rId5"/>
        <a:stretch>
          <a:fillRect/>
        </a:stretch>
      </xdr:blipFill>
      <xdr:spPr>
        <a:xfrm>
          <a:off x="6610350" y="44176950"/>
          <a:ext cx="1695687" cy="704948"/>
        </a:xfrm>
        <a:prstGeom prst="rect">
          <a:avLst/>
        </a:prstGeom>
      </xdr:spPr>
    </xdr:pic>
    <xdr:clientData/>
  </xdr:twoCellAnchor>
  <xdr:twoCellAnchor editAs="oneCell">
    <xdr:from>
      <xdr:col>9</xdr:col>
      <xdr:colOff>114300</xdr:colOff>
      <xdr:row>226</xdr:row>
      <xdr:rowOff>85725</xdr:rowOff>
    </xdr:from>
    <xdr:to>
      <xdr:col>14</xdr:col>
      <xdr:colOff>162337</xdr:colOff>
      <xdr:row>232</xdr:row>
      <xdr:rowOff>162103</xdr:rowOff>
    </xdr:to>
    <xdr:pic>
      <xdr:nvPicPr>
        <xdr:cNvPr id="9" name="Рисунок 8">
          <a:extLst>
            <a:ext uri="{FF2B5EF4-FFF2-40B4-BE49-F238E27FC236}">
              <a16:creationId xmlns:a16="http://schemas.microsoft.com/office/drawing/2014/main" id="{D590F1E3-5423-4C86-93B1-B33DA5B5510E}"/>
            </a:ext>
          </a:extLst>
        </xdr:cNvPr>
        <xdr:cNvPicPr>
          <a:picLocks noChangeAspect="1"/>
        </xdr:cNvPicPr>
      </xdr:nvPicPr>
      <xdr:blipFill>
        <a:blip xmlns:r="http://schemas.openxmlformats.org/officeDocument/2006/relationships" r:embed="rId6"/>
        <a:stretch>
          <a:fillRect/>
        </a:stretch>
      </xdr:blipFill>
      <xdr:spPr>
        <a:xfrm>
          <a:off x="6448425" y="45129450"/>
          <a:ext cx="2953162" cy="1276528"/>
        </a:xfrm>
        <a:prstGeom prst="rect">
          <a:avLst/>
        </a:prstGeom>
      </xdr:spPr>
    </xdr:pic>
    <xdr:clientData/>
  </xdr:twoCellAnchor>
  <xdr:twoCellAnchor editAs="oneCell">
    <xdr:from>
      <xdr:col>9</xdr:col>
      <xdr:colOff>0</xdr:colOff>
      <xdr:row>236</xdr:row>
      <xdr:rowOff>0</xdr:rowOff>
    </xdr:from>
    <xdr:to>
      <xdr:col>11</xdr:col>
      <xdr:colOff>457426</xdr:colOff>
      <xdr:row>240</xdr:row>
      <xdr:rowOff>38217</xdr:rowOff>
    </xdr:to>
    <xdr:pic>
      <xdr:nvPicPr>
        <xdr:cNvPr id="10" name="Рисунок 9">
          <a:extLst>
            <a:ext uri="{FF2B5EF4-FFF2-40B4-BE49-F238E27FC236}">
              <a16:creationId xmlns:a16="http://schemas.microsoft.com/office/drawing/2014/main" id="{C2886D04-C77E-484E-B8E4-240DE866412F}"/>
            </a:ext>
          </a:extLst>
        </xdr:cNvPr>
        <xdr:cNvPicPr>
          <a:picLocks noChangeAspect="1"/>
        </xdr:cNvPicPr>
      </xdr:nvPicPr>
      <xdr:blipFill>
        <a:blip xmlns:r="http://schemas.openxmlformats.org/officeDocument/2006/relationships" r:embed="rId7"/>
        <a:stretch>
          <a:fillRect/>
        </a:stretch>
      </xdr:blipFill>
      <xdr:spPr>
        <a:xfrm>
          <a:off x="6334125" y="47043975"/>
          <a:ext cx="1619476" cy="838317"/>
        </a:xfrm>
        <a:prstGeom prst="rect">
          <a:avLst/>
        </a:prstGeom>
      </xdr:spPr>
    </xdr:pic>
    <xdr:clientData/>
  </xdr:twoCellAnchor>
  <xdr:twoCellAnchor editAs="oneCell">
    <xdr:from>
      <xdr:col>11</xdr:col>
      <xdr:colOff>161925</xdr:colOff>
      <xdr:row>260</xdr:row>
      <xdr:rowOff>19050</xdr:rowOff>
    </xdr:from>
    <xdr:to>
      <xdr:col>14</xdr:col>
      <xdr:colOff>38326</xdr:colOff>
      <xdr:row>264</xdr:row>
      <xdr:rowOff>57267</xdr:rowOff>
    </xdr:to>
    <xdr:pic>
      <xdr:nvPicPr>
        <xdr:cNvPr id="11" name="Рисунок 10">
          <a:extLst>
            <a:ext uri="{FF2B5EF4-FFF2-40B4-BE49-F238E27FC236}">
              <a16:creationId xmlns:a16="http://schemas.microsoft.com/office/drawing/2014/main" id="{7F61DFF7-347A-4F5F-A4F1-EAAF364AD9DD}"/>
            </a:ext>
          </a:extLst>
        </xdr:cNvPr>
        <xdr:cNvPicPr>
          <a:picLocks noChangeAspect="1"/>
        </xdr:cNvPicPr>
      </xdr:nvPicPr>
      <xdr:blipFill>
        <a:blip xmlns:r="http://schemas.openxmlformats.org/officeDocument/2006/relationships" r:embed="rId7"/>
        <a:stretch>
          <a:fillRect/>
        </a:stretch>
      </xdr:blipFill>
      <xdr:spPr>
        <a:xfrm>
          <a:off x="7658100" y="51863625"/>
          <a:ext cx="1619476" cy="838317"/>
        </a:xfrm>
        <a:prstGeom prst="rect">
          <a:avLst/>
        </a:prstGeom>
      </xdr:spPr>
    </xdr:pic>
    <xdr:clientData/>
  </xdr:twoCellAnchor>
  <xdr:twoCellAnchor editAs="oneCell">
    <xdr:from>
      <xdr:col>11</xdr:col>
      <xdr:colOff>342900</xdr:colOff>
      <xdr:row>267</xdr:row>
      <xdr:rowOff>57150</xdr:rowOff>
    </xdr:from>
    <xdr:to>
      <xdr:col>14</xdr:col>
      <xdr:colOff>419354</xdr:colOff>
      <xdr:row>271</xdr:row>
      <xdr:rowOff>95367</xdr:rowOff>
    </xdr:to>
    <xdr:pic>
      <xdr:nvPicPr>
        <xdr:cNvPr id="12" name="Рисунок 11">
          <a:extLst>
            <a:ext uri="{FF2B5EF4-FFF2-40B4-BE49-F238E27FC236}">
              <a16:creationId xmlns:a16="http://schemas.microsoft.com/office/drawing/2014/main" id="{DB9AD3E0-BA32-4B2B-A559-F4CE20EDB9DF}"/>
            </a:ext>
          </a:extLst>
        </xdr:cNvPr>
        <xdr:cNvPicPr>
          <a:picLocks noChangeAspect="1"/>
        </xdr:cNvPicPr>
      </xdr:nvPicPr>
      <xdr:blipFill>
        <a:blip xmlns:r="http://schemas.openxmlformats.org/officeDocument/2006/relationships" r:embed="rId8"/>
        <a:stretch>
          <a:fillRect/>
        </a:stretch>
      </xdr:blipFill>
      <xdr:spPr>
        <a:xfrm>
          <a:off x="7839075" y="53301900"/>
          <a:ext cx="1819529" cy="838317"/>
        </a:xfrm>
        <a:prstGeom prst="rect">
          <a:avLst/>
        </a:prstGeom>
      </xdr:spPr>
    </xdr:pic>
    <xdr:clientData/>
  </xdr:twoCellAnchor>
  <xdr:twoCellAnchor editAs="oneCell">
    <xdr:from>
      <xdr:col>11</xdr:col>
      <xdr:colOff>171450</xdr:colOff>
      <xdr:row>271</xdr:row>
      <xdr:rowOff>104775</xdr:rowOff>
    </xdr:from>
    <xdr:to>
      <xdr:col>18</xdr:col>
      <xdr:colOff>572124</xdr:colOff>
      <xdr:row>283</xdr:row>
      <xdr:rowOff>28899</xdr:rowOff>
    </xdr:to>
    <xdr:pic>
      <xdr:nvPicPr>
        <xdr:cNvPr id="13" name="Рисунок 12">
          <a:extLst>
            <a:ext uri="{FF2B5EF4-FFF2-40B4-BE49-F238E27FC236}">
              <a16:creationId xmlns:a16="http://schemas.microsoft.com/office/drawing/2014/main" id="{9430ADCB-6A84-44AD-97FE-8129A39FCA9C}"/>
            </a:ext>
          </a:extLst>
        </xdr:cNvPr>
        <xdr:cNvPicPr>
          <a:picLocks noChangeAspect="1"/>
        </xdr:cNvPicPr>
      </xdr:nvPicPr>
      <xdr:blipFill>
        <a:blip xmlns:r="http://schemas.openxmlformats.org/officeDocument/2006/relationships" r:embed="rId9"/>
        <a:stretch>
          <a:fillRect/>
        </a:stretch>
      </xdr:blipFill>
      <xdr:spPr>
        <a:xfrm>
          <a:off x="7667625" y="54149625"/>
          <a:ext cx="4467849" cy="2324424"/>
        </a:xfrm>
        <a:prstGeom prst="rect">
          <a:avLst/>
        </a:prstGeom>
      </xdr:spPr>
    </xdr:pic>
    <xdr:clientData/>
  </xdr:twoCellAnchor>
  <xdr:twoCellAnchor editAs="oneCell">
    <xdr:from>
      <xdr:col>9</xdr:col>
      <xdr:colOff>0</xdr:colOff>
      <xdr:row>300</xdr:row>
      <xdr:rowOff>0</xdr:rowOff>
    </xdr:from>
    <xdr:to>
      <xdr:col>12</xdr:col>
      <xdr:colOff>19296</xdr:colOff>
      <xdr:row>304</xdr:row>
      <xdr:rowOff>104901</xdr:rowOff>
    </xdr:to>
    <xdr:pic>
      <xdr:nvPicPr>
        <xdr:cNvPr id="16" name="Рисунок 15">
          <a:extLst>
            <a:ext uri="{FF2B5EF4-FFF2-40B4-BE49-F238E27FC236}">
              <a16:creationId xmlns:a16="http://schemas.microsoft.com/office/drawing/2014/main" id="{9557C2A2-B000-4305-9FE4-C48304C0F7D0}"/>
            </a:ext>
          </a:extLst>
        </xdr:cNvPr>
        <xdr:cNvPicPr>
          <a:picLocks noChangeAspect="1"/>
        </xdr:cNvPicPr>
      </xdr:nvPicPr>
      <xdr:blipFill>
        <a:blip xmlns:r="http://schemas.openxmlformats.org/officeDocument/2006/relationships" r:embed="rId10"/>
        <a:stretch>
          <a:fillRect/>
        </a:stretch>
      </xdr:blipFill>
      <xdr:spPr>
        <a:xfrm>
          <a:off x="6334125" y="59845575"/>
          <a:ext cx="1762371" cy="905001"/>
        </a:xfrm>
        <a:prstGeom prst="rect">
          <a:avLst/>
        </a:prstGeom>
      </xdr:spPr>
    </xdr:pic>
    <xdr:clientData/>
  </xdr:twoCellAnchor>
  <xdr:twoCellAnchor editAs="oneCell">
    <xdr:from>
      <xdr:col>9</xdr:col>
      <xdr:colOff>323850</xdr:colOff>
      <xdr:row>304</xdr:row>
      <xdr:rowOff>142875</xdr:rowOff>
    </xdr:from>
    <xdr:to>
      <xdr:col>14</xdr:col>
      <xdr:colOff>505256</xdr:colOff>
      <xdr:row>311</xdr:row>
      <xdr:rowOff>143070</xdr:rowOff>
    </xdr:to>
    <xdr:pic>
      <xdr:nvPicPr>
        <xdr:cNvPr id="17" name="Рисунок 16">
          <a:extLst>
            <a:ext uri="{FF2B5EF4-FFF2-40B4-BE49-F238E27FC236}">
              <a16:creationId xmlns:a16="http://schemas.microsoft.com/office/drawing/2014/main" id="{F84A3126-6781-4184-AB5A-6AC2B4E5F356}"/>
            </a:ext>
          </a:extLst>
        </xdr:cNvPr>
        <xdr:cNvPicPr>
          <a:picLocks noChangeAspect="1"/>
        </xdr:cNvPicPr>
      </xdr:nvPicPr>
      <xdr:blipFill>
        <a:blip xmlns:r="http://schemas.openxmlformats.org/officeDocument/2006/relationships" r:embed="rId11"/>
        <a:stretch>
          <a:fillRect/>
        </a:stretch>
      </xdr:blipFill>
      <xdr:spPr>
        <a:xfrm>
          <a:off x="6657975" y="60788550"/>
          <a:ext cx="3086531" cy="1400370"/>
        </a:xfrm>
        <a:prstGeom prst="rect">
          <a:avLst/>
        </a:prstGeom>
      </xdr:spPr>
    </xdr:pic>
    <xdr:clientData/>
  </xdr:twoCellAnchor>
  <xdr:twoCellAnchor editAs="oneCell">
    <xdr:from>
      <xdr:col>10</xdr:col>
      <xdr:colOff>9525</xdr:colOff>
      <xdr:row>334</xdr:row>
      <xdr:rowOff>133350</xdr:rowOff>
    </xdr:from>
    <xdr:to>
      <xdr:col>15</xdr:col>
      <xdr:colOff>152825</xdr:colOff>
      <xdr:row>337</xdr:row>
      <xdr:rowOff>19118</xdr:rowOff>
    </xdr:to>
    <xdr:pic>
      <xdr:nvPicPr>
        <xdr:cNvPr id="18" name="Рисунок 17">
          <a:extLst>
            <a:ext uri="{FF2B5EF4-FFF2-40B4-BE49-F238E27FC236}">
              <a16:creationId xmlns:a16="http://schemas.microsoft.com/office/drawing/2014/main" id="{C8AA02D4-EE07-41B5-BFF8-10E04E49ED6B}"/>
            </a:ext>
          </a:extLst>
        </xdr:cNvPr>
        <xdr:cNvPicPr>
          <a:picLocks noChangeAspect="1"/>
        </xdr:cNvPicPr>
      </xdr:nvPicPr>
      <xdr:blipFill>
        <a:blip xmlns:r="http://schemas.openxmlformats.org/officeDocument/2006/relationships" r:embed="rId12"/>
        <a:stretch>
          <a:fillRect/>
        </a:stretch>
      </xdr:blipFill>
      <xdr:spPr>
        <a:xfrm>
          <a:off x="6924675" y="66779775"/>
          <a:ext cx="3048425" cy="485843"/>
        </a:xfrm>
        <a:prstGeom prst="rect">
          <a:avLst/>
        </a:prstGeom>
      </xdr:spPr>
    </xdr:pic>
    <xdr:clientData/>
  </xdr:twoCellAnchor>
  <xdr:twoCellAnchor editAs="oneCell">
    <xdr:from>
      <xdr:col>10</xdr:col>
      <xdr:colOff>57150</xdr:colOff>
      <xdr:row>337</xdr:row>
      <xdr:rowOff>76200</xdr:rowOff>
    </xdr:from>
    <xdr:to>
      <xdr:col>17</xdr:col>
      <xdr:colOff>543560</xdr:colOff>
      <xdr:row>350</xdr:row>
      <xdr:rowOff>124195</xdr:rowOff>
    </xdr:to>
    <xdr:pic>
      <xdr:nvPicPr>
        <xdr:cNvPr id="19" name="Рисунок 18">
          <a:extLst>
            <a:ext uri="{FF2B5EF4-FFF2-40B4-BE49-F238E27FC236}">
              <a16:creationId xmlns:a16="http://schemas.microsoft.com/office/drawing/2014/main" id="{C673E0C7-BCD8-41C2-98A4-85F394E83B1B}"/>
            </a:ext>
          </a:extLst>
        </xdr:cNvPr>
        <xdr:cNvPicPr>
          <a:picLocks noChangeAspect="1"/>
        </xdr:cNvPicPr>
      </xdr:nvPicPr>
      <xdr:blipFill>
        <a:blip xmlns:r="http://schemas.openxmlformats.org/officeDocument/2006/relationships" r:embed="rId13"/>
        <a:stretch>
          <a:fillRect/>
        </a:stretch>
      </xdr:blipFill>
      <xdr:spPr>
        <a:xfrm>
          <a:off x="6972300" y="67322700"/>
          <a:ext cx="4553585" cy="2648320"/>
        </a:xfrm>
        <a:prstGeom prst="rect">
          <a:avLst/>
        </a:prstGeom>
      </xdr:spPr>
    </xdr:pic>
    <xdr:clientData/>
  </xdr:twoCellAnchor>
  <xdr:twoCellAnchor editAs="oneCell">
    <xdr:from>
      <xdr:col>12</xdr:col>
      <xdr:colOff>133350</xdr:colOff>
      <xdr:row>330</xdr:row>
      <xdr:rowOff>66675</xdr:rowOff>
    </xdr:from>
    <xdr:to>
      <xdr:col>15</xdr:col>
      <xdr:colOff>343173</xdr:colOff>
      <xdr:row>334</xdr:row>
      <xdr:rowOff>85839</xdr:rowOff>
    </xdr:to>
    <xdr:pic>
      <xdr:nvPicPr>
        <xdr:cNvPr id="20" name="Рисунок 19">
          <a:extLst>
            <a:ext uri="{FF2B5EF4-FFF2-40B4-BE49-F238E27FC236}">
              <a16:creationId xmlns:a16="http://schemas.microsoft.com/office/drawing/2014/main" id="{A9920328-B4BF-40C8-8147-B2A78E921D02}"/>
            </a:ext>
          </a:extLst>
        </xdr:cNvPr>
        <xdr:cNvPicPr>
          <a:picLocks noChangeAspect="1"/>
        </xdr:cNvPicPr>
      </xdr:nvPicPr>
      <xdr:blipFill>
        <a:blip xmlns:r="http://schemas.openxmlformats.org/officeDocument/2006/relationships" r:embed="rId14"/>
        <a:stretch>
          <a:fillRect/>
        </a:stretch>
      </xdr:blipFill>
      <xdr:spPr>
        <a:xfrm>
          <a:off x="8210550" y="65913000"/>
          <a:ext cx="1952898" cy="8192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152400</xdr:colOff>
      <xdr:row>30</xdr:row>
      <xdr:rowOff>143933</xdr:rowOff>
    </xdr:from>
    <xdr:to>
      <xdr:col>15</xdr:col>
      <xdr:colOff>858178</xdr:colOff>
      <xdr:row>40</xdr:row>
      <xdr:rowOff>92334</xdr:rowOff>
    </xdr:to>
    <xdr:pic>
      <xdr:nvPicPr>
        <xdr:cNvPr id="2" name="Рисунок 1">
          <a:extLst>
            <a:ext uri="{FF2B5EF4-FFF2-40B4-BE49-F238E27FC236}">
              <a16:creationId xmlns:a16="http://schemas.microsoft.com/office/drawing/2014/main" id="{51EAB358-A4D3-8682-D6AF-EECEC40BD650}"/>
            </a:ext>
          </a:extLst>
        </xdr:cNvPr>
        <xdr:cNvPicPr>
          <a:picLocks noChangeAspect="1"/>
        </xdr:cNvPicPr>
      </xdr:nvPicPr>
      <xdr:blipFill>
        <a:blip xmlns:r="http://schemas.openxmlformats.org/officeDocument/2006/relationships" r:embed="rId1"/>
        <a:stretch>
          <a:fillRect/>
        </a:stretch>
      </xdr:blipFill>
      <xdr:spPr>
        <a:xfrm>
          <a:off x="9152467" y="6223000"/>
          <a:ext cx="6649378" cy="1895734"/>
        </a:xfrm>
        <a:prstGeom prst="rect">
          <a:avLst/>
        </a:prstGeom>
      </xdr:spPr>
    </xdr:pic>
    <xdr:clientData/>
  </xdr:twoCellAnchor>
  <xdr:twoCellAnchor editAs="oneCell">
    <xdr:from>
      <xdr:col>3</xdr:col>
      <xdr:colOff>0</xdr:colOff>
      <xdr:row>23</xdr:row>
      <xdr:rowOff>0</xdr:rowOff>
    </xdr:from>
    <xdr:to>
      <xdr:col>3</xdr:col>
      <xdr:colOff>756297</xdr:colOff>
      <xdr:row>25</xdr:row>
      <xdr:rowOff>33746</xdr:rowOff>
    </xdr:to>
    <xdr:pic>
      <xdr:nvPicPr>
        <xdr:cNvPr id="9" name="Рисунок 8">
          <a:extLst>
            <a:ext uri="{FF2B5EF4-FFF2-40B4-BE49-F238E27FC236}">
              <a16:creationId xmlns:a16="http://schemas.microsoft.com/office/drawing/2014/main" id="{80B6E3E0-E10C-4FC3-93D4-332327508431}"/>
            </a:ext>
          </a:extLst>
        </xdr:cNvPr>
        <xdr:cNvPicPr>
          <a:picLocks noChangeAspect="1"/>
        </xdr:cNvPicPr>
      </xdr:nvPicPr>
      <xdr:blipFill>
        <a:blip xmlns:r="http://schemas.openxmlformats.org/officeDocument/2006/relationships" r:embed="rId2"/>
        <a:stretch>
          <a:fillRect/>
        </a:stretch>
      </xdr:blipFill>
      <xdr:spPr>
        <a:xfrm>
          <a:off x="3060700" y="4648200"/>
          <a:ext cx="756297" cy="414746"/>
        </a:xfrm>
        <a:prstGeom prst="rect">
          <a:avLst/>
        </a:prstGeom>
      </xdr:spPr>
    </xdr:pic>
    <xdr:clientData/>
  </xdr:twoCellAnchor>
  <xdr:twoCellAnchor editAs="oneCell">
    <xdr:from>
      <xdr:col>5</xdr:col>
      <xdr:colOff>0</xdr:colOff>
      <xdr:row>23</xdr:row>
      <xdr:rowOff>0</xdr:rowOff>
    </xdr:from>
    <xdr:to>
      <xdr:col>8</xdr:col>
      <xdr:colOff>917653</xdr:colOff>
      <xdr:row>26</xdr:row>
      <xdr:rowOff>146515</xdr:rowOff>
    </xdr:to>
    <xdr:pic>
      <xdr:nvPicPr>
        <xdr:cNvPr id="10" name="Рисунок 9">
          <a:extLst>
            <a:ext uri="{FF2B5EF4-FFF2-40B4-BE49-F238E27FC236}">
              <a16:creationId xmlns:a16="http://schemas.microsoft.com/office/drawing/2014/main" id="{D7FEEEDF-F98F-4B4F-A8B7-1A304347B5B1}"/>
            </a:ext>
          </a:extLst>
        </xdr:cNvPr>
        <xdr:cNvPicPr>
          <a:picLocks noChangeAspect="1"/>
        </xdr:cNvPicPr>
      </xdr:nvPicPr>
      <xdr:blipFill>
        <a:blip xmlns:r="http://schemas.openxmlformats.org/officeDocument/2006/relationships" r:embed="rId3"/>
        <a:stretch>
          <a:fillRect/>
        </a:stretch>
      </xdr:blipFill>
      <xdr:spPr>
        <a:xfrm>
          <a:off x="5041900" y="4648200"/>
          <a:ext cx="3889453" cy="718015"/>
        </a:xfrm>
        <a:prstGeom prst="rect">
          <a:avLst/>
        </a:prstGeom>
      </xdr:spPr>
    </xdr:pic>
    <xdr:clientData/>
  </xdr:twoCellAnchor>
  <xdr:twoCellAnchor editAs="oneCell">
    <xdr:from>
      <xdr:col>6</xdr:col>
      <xdr:colOff>474148</xdr:colOff>
      <xdr:row>241</xdr:row>
      <xdr:rowOff>190499</xdr:rowOff>
    </xdr:from>
    <xdr:to>
      <xdr:col>11</xdr:col>
      <xdr:colOff>449580</xdr:colOff>
      <xdr:row>255</xdr:row>
      <xdr:rowOff>138132</xdr:rowOff>
    </xdr:to>
    <xdr:pic>
      <xdr:nvPicPr>
        <xdr:cNvPr id="20" name="Рисунок 6">
          <a:extLst>
            <a:ext uri="{FF2B5EF4-FFF2-40B4-BE49-F238E27FC236}">
              <a16:creationId xmlns:a16="http://schemas.microsoft.com/office/drawing/2014/main" id="{91F53488-C70F-9508-3BD0-1A09F8257C43}"/>
            </a:ext>
          </a:extLst>
        </xdr:cNvPr>
        <xdr:cNvPicPr>
          <a:picLocks noChangeAspect="1"/>
        </xdr:cNvPicPr>
      </xdr:nvPicPr>
      <xdr:blipFill>
        <a:blip xmlns:r="http://schemas.openxmlformats.org/officeDocument/2006/relationships" r:embed="rId4"/>
        <a:stretch>
          <a:fillRect/>
        </a:stretch>
      </xdr:blipFill>
      <xdr:spPr>
        <a:xfrm>
          <a:off x="6417748" y="52334159"/>
          <a:ext cx="4928432" cy="3148033"/>
        </a:xfrm>
        <a:prstGeom prst="rect">
          <a:avLst/>
        </a:prstGeom>
      </xdr:spPr>
    </xdr:pic>
    <xdr:clientData/>
  </xdr:twoCellAnchor>
  <xdr:twoCellAnchor editAs="oneCell">
    <xdr:from>
      <xdr:col>3</xdr:col>
      <xdr:colOff>152400</xdr:colOff>
      <xdr:row>48</xdr:row>
      <xdr:rowOff>101600</xdr:rowOff>
    </xdr:from>
    <xdr:to>
      <xdr:col>5</xdr:col>
      <xdr:colOff>1881</xdr:colOff>
      <xdr:row>52</xdr:row>
      <xdr:rowOff>111700</xdr:rowOff>
    </xdr:to>
    <xdr:pic>
      <xdr:nvPicPr>
        <xdr:cNvPr id="22" name="Рисунок 21">
          <a:extLst>
            <a:ext uri="{FF2B5EF4-FFF2-40B4-BE49-F238E27FC236}">
              <a16:creationId xmlns:a16="http://schemas.microsoft.com/office/drawing/2014/main" id="{A16E51B2-9985-4576-8CCD-1093C238CBF0}"/>
            </a:ext>
          </a:extLst>
        </xdr:cNvPr>
        <xdr:cNvPicPr>
          <a:picLocks noChangeAspect="1"/>
        </xdr:cNvPicPr>
      </xdr:nvPicPr>
      <xdr:blipFill>
        <a:blip xmlns:r="http://schemas.openxmlformats.org/officeDocument/2006/relationships" r:embed="rId5"/>
        <a:stretch>
          <a:fillRect/>
        </a:stretch>
      </xdr:blipFill>
      <xdr:spPr>
        <a:xfrm>
          <a:off x="3213100" y="9512300"/>
          <a:ext cx="1830681" cy="772100"/>
        </a:xfrm>
        <a:prstGeom prst="rect">
          <a:avLst/>
        </a:prstGeom>
      </xdr:spPr>
    </xdr:pic>
    <xdr:clientData/>
  </xdr:twoCellAnchor>
  <xdr:twoCellAnchor editAs="oneCell">
    <xdr:from>
      <xdr:col>5</xdr:col>
      <xdr:colOff>0</xdr:colOff>
      <xdr:row>56</xdr:row>
      <xdr:rowOff>0</xdr:rowOff>
    </xdr:from>
    <xdr:to>
      <xdr:col>6</xdr:col>
      <xdr:colOff>350335</xdr:colOff>
      <xdr:row>60</xdr:row>
      <xdr:rowOff>35202</xdr:rowOff>
    </xdr:to>
    <xdr:pic>
      <xdr:nvPicPr>
        <xdr:cNvPr id="23" name="Рисунок 22">
          <a:extLst>
            <a:ext uri="{FF2B5EF4-FFF2-40B4-BE49-F238E27FC236}">
              <a16:creationId xmlns:a16="http://schemas.microsoft.com/office/drawing/2014/main" id="{F4FF6E43-173F-41FB-AFAF-0E8EA1D20326}"/>
            </a:ext>
          </a:extLst>
        </xdr:cNvPr>
        <xdr:cNvPicPr>
          <a:picLocks noChangeAspect="1"/>
        </xdr:cNvPicPr>
      </xdr:nvPicPr>
      <xdr:blipFill>
        <a:blip xmlns:r="http://schemas.openxmlformats.org/officeDocument/2006/relationships" r:embed="rId6"/>
        <a:stretch>
          <a:fillRect/>
        </a:stretch>
      </xdr:blipFill>
      <xdr:spPr>
        <a:xfrm>
          <a:off x="5041900" y="10934700"/>
          <a:ext cx="1340935" cy="797202"/>
        </a:xfrm>
        <a:prstGeom prst="rect">
          <a:avLst/>
        </a:prstGeom>
      </xdr:spPr>
    </xdr:pic>
    <xdr:clientData/>
  </xdr:twoCellAnchor>
  <xdr:twoCellAnchor editAs="oneCell">
    <xdr:from>
      <xdr:col>6</xdr:col>
      <xdr:colOff>35170</xdr:colOff>
      <xdr:row>555</xdr:row>
      <xdr:rowOff>158262</xdr:rowOff>
    </xdr:from>
    <xdr:to>
      <xdr:col>7</xdr:col>
      <xdr:colOff>39948</xdr:colOff>
      <xdr:row>557</xdr:row>
      <xdr:rowOff>134065</xdr:rowOff>
    </xdr:to>
    <xdr:pic>
      <xdr:nvPicPr>
        <xdr:cNvPr id="3" name="Рисунок 2">
          <a:extLst>
            <a:ext uri="{FF2B5EF4-FFF2-40B4-BE49-F238E27FC236}">
              <a16:creationId xmlns:a16="http://schemas.microsoft.com/office/drawing/2014/main" id="{754753D1-ECC8-4451-AB7A-FD2E2F8EBDB6}"/>
            </a:ext>
          </a:extLst>
        </xdr:cNvPr>
        <xdr:cNvPicPr>
          <a:picLocks noChangeAspect="1"/>
        </xdr:cNvPicPr>
      </xdr:nvPicPr>
      <xdr:blipFill>
        <a:blip xmlns:r="http://schemas.openxmlformats.org/officeDocument/2006/relationships" r:embed="rId7"/>
        <a:stretch>
          <a:fillRect/>
        </a:stretch>
      </xdr:blipFill>
      <xdr:spPr>
        <a:xfrm>
          <a:off x="3829930" y="9119382"/>
          <a:ext cx="995378" cy="433003"/>
        </a:xfrm>
        <a:prstGeom prst="rect">
          <a:avLst/>
        </a:prstGeom>
      </xdr:spPr>
    </xdr:pic>
    <xdr:clientData/>
  </xdr:twoCellAnchor>
  <xdr:twoCellAnchor editAs="oneCell">
    <xdr:from>
      <xdr:col>2</xdr:col>
      <xdr:colOff>262466</xdr:colOff>
      <xdr:row>552</xdr:row>
      <xdr:rowOff>59267</xdr:rowOff>
    </xdr:from>
    <xdr:to>
      <xdr:col>6</xdr:col>
      <xdr:colOff>104497</xdr:colOff>
      <xdr:row>555</xdr:row>
      <xdr:rowOff>126978</xdr:rowOff>
    </xdr:to>
    <xdr:pic>
      <xdr:nvPicPr>
        <xdr:cNvPr id="5" name="Рисунок 3">
          <a:extLst>
            <a:ext uri="{FF2B5EF4-FFF2-40B4-BE49-F238E27FC236}">
              <a16:creationId xmlns:a16="http://schemas.microsoft.com/office/drawing/2014/main" id="{6DE6390B-90C8-4E82-9896-885F88C49238}"/>
            </a:ext>
          </a:extLst>
        </xdr:cNvPr>
        <xdr:cNvPicPr>
          <a:picLocks noChangeAspect="1"/>
        </xdr:cNvPicPr>
      </xdr:nvPicPr>
      <xdr:blipFill>
        <a:blip xmlns:r="http://schemas.openxmlformats.org/officeDocument/2006/relationships" r:embed="rId8"/>
        <a:stretch>
          <a:fillRect/>
        </a:stretch>
      </xdr:blipFill>
      <xdr:spPr>
        <a:xfrm>
          <a:off x="2328333" y="123621800"/>
          <a:ext cx="3804431" cy="753511"/>
        </a:xfrm>
        <a:prstGeom prst="rect">
          <a:avLst/>
        </a:prstGeom>
      </xdr:spPr>
    </xdr:pic>
    <xdr:clientData/>
  </xdr:twoCellAnchor>
  <xdr:twoCellAnchor editAs="oneCell">
    <xdr:from>
      <xdr:col>5</xdr:col>
      <xdr:colOff>596900</xdr:colOff>
      <xdr:row>571</xdr:row>
      <xdr:rowOff>114300</xdr:rowOff>
    </xdr:from>
    <xdr:to>
      <xdr:col>8</xdr:col>
      <xdr:colOff>387736</xdr:colOff>
      <xdr:row>573</xdr:row>
      <xdr:rowOff>16561</xdr:rowOff>
    </xdr:to>
    <xdr:pic>
      <xdr:nvPicPr>
        <xdr:cNvPr id="6" name="Рисунок 4">
          <a:extLst>
            <a:ext uri="{FF2B5EF4-FFF2-40B4-BE49-F238E27FC236}">
              <a16:creationId xmlns:a16="http://schemas.microsoft.com/office/drawing/2014/main" id="{DBC1A219-F65C-4EB8-871D-2CDE4C66FC49}"/>
            </a:ext>
          </a:extLst>
        </xdr:cNvPr>
        <xdr:cNvPicPr>
          <a:picLocks noChangeAspect="1"/>
        </xdr:cNvPicPr>
      </xdr:nvPicPr>
      <xdr:blipFill>
        <a:blip xmlns:r="http://schemas.openxmlformats.org/officeDocument/2006/relationships" r:embed="rId9"/>
        <a:stretch>
          <a:fillRect/>
        </a:stretch>
      </xdr:blipFill>
      <xdr:spPr>
        <a:xfrm>
          <a:off x="3782060" y="18219420"/>
          <a:ext cx="2762636" cy="359461"/>
        </a:xfrm>
        <a:prstGeom prst="rect">
          <a:avLst/>
        </a:prstGeom>
      </xdr:spPr>
    </xdr:pic>
    <xdr:clientData/>
  </xdr:twoCellAnchor>
  <xdr:twoCellAnchor editAs="oneCell">
    <xdr:from>
      <xdr:col>2</xdr:col>
      <xdr:colOff>613835</xdr:colOff>
      <xdr:row>263</xdr:row>
      <xdr:rowOff>10583</xdr:rowOff>
    </xdr:from>
    <xdr:to>
      <xdr:col>8</xdr:col>
      <xdr:colOff>274869</xdr:colOff>
      <xdr:row>269</xdr:row>
      <xdr:rowOff>64769</xdr:rowOff>
    </xdr:to>
    <xdr:pic>
      <xdr:nvPicPr>
        <xdr:cNvPr id="4" name="Рисунок 3">
          <a:extLst>
            <a:ext uri="{FF2B5EF4-FFF2-40B4-BE49-F238E27FC236}">
              <a16:creationId xmlns:a16="http://schemas.microsoft.com/office/drawing/2014/main" id="{968AC50D-6ADC-47F8-B4CA-D25A7F04CF2E}"/>
            </a:ext>
          </a:extLst>
        </xdr:cNvPr>
        <xdr:cNvPicPr>
          <a:picLocks noChangeAspect="1"/>
        </xdr:cNvPicPr>
      </xdr:nvPicPr>
      <xdr:blipFill>
        <a:blip xmlns:r="http://schemas.openxmlformats.org/officeDocument/2006/relationships" r:embed="rId10"/>
        <a:stretch>
          <a:fillRect/>
        </a:stretch>
      </xdr:blipFill>
      <xdr:spPr>
        <a:xfrm>
          <a:off x="2624668" y="59690000"/>
          <a:ext cx="5439534" cy="1514686"/>
        </a:xfrm>
        <a:prstGeom prst="rect">
          <a:avLst/>
        </a:prstGeom>
      </xdr:spPr>
    </xdr:pic>
    <xdr:clientData/>
  </xdr:twoCellAnchor>
  <xdr:twoCellAnchor editAs="oneCell">
    <xdr:from>
      <xdr:col>4</xdr:col>
      <xdr:colOff>444500</xdr:colOff>
      <xdr:row>271</xdr:row>
      <xdr:rowOff>21167</xdr:rowOff>
    </xdr:from>
    <xdr:to>
      <xdr:col>5</xdr:col>
      <xdr:colOff>367366</xdr:colOff>
      <xdr:row>273</xdr:row>
      <xdr:rowOff>86861</xdr:rowOff>
    </xdr:to>
    <xdr:pic>
      <xdr:nvPicPr>
        <xdr:cNvPr id="7" name="Рисунок 6">
          <a:extLst>
            <a:ext uri="{FF2B5EF4-FFF2-40B4-BE49-F238E27FC236}">
              <a16:creationId xmlns:a16="http://schemas.microsoft.com/office/drawing/2014/main" id="{3ECEDB38-8D43-4ACC-A913-587AC149D443}"/>
            </a:ext>
          </a:extLst>
        </xdr:cNvPr>
        <xdr:cNvPicPr>
          <a:picLocks noChangeAspect="1"/>
        </xdr:cNvPicPr>
      </xdr:nvPicPr>
      <xdr:blipFill>
        <a:blip xmlns:r="http://schemas.openxmlformats.org/officeDocument/2006/relationships" r:embed="rId11"/>
        <a:stretch>
          <a:fillRect/>
        </a:stretch>
      </xdr:blipFill>
      <xdr:spPr>
        <a:xfrm>
          <a:off x="4381500" y="61647917"/>
          <a:ext cx="885949" cy="552527"/>
        </a:xfrm>
        <a:prstGeom prst="rect">
          <a:avLst/>
        </a:prstGeom>
      </xdr:spPr>
    </xdr:pic>
    <xdr:clientData/>
  </xdr:twoCellAnchor>
  <xdr:twoCellAnchor editAs="oneCell">
    <xdr:from>
      <xdr:col>3</xdr:col>
      <xdr:colOff>95250</xdr:colOff>
      <xdr:row>281</xdr:row>
      <xdr:rowOff>137582</xdr:rowOff>
    </xdr:from>
    <xdr:to>
      <xdr:col>6</xdr:col>
      <xdr:colOff>902216</xdr:colOff>
      <xdr:row>285</xdr:row>
      <xdr:rowOff>135602</xdr:rowOff>
    </xdr:to>
    <xdr:pic>
      <xdr:nvPicPr>
        <xdr:cNvPr id="8" name="Рисунок 7">
          <a:extLst>
            <a:ext uri="{FF2B5EF4-FFF2-40B4-BE49-F238E27FC236}">
              <a16:creationId xmlns:a16="http://schemas.microsoft.com/office/drawing/2014/main" id="{13708073-1665-46DD-AFEC-5FC92FCCBC07}"/>
            </a:ext>
          </a:extLst>
        </xdr:cNvPr>
        <xdr:cNvPicPr>
          <a:picLocks noChangeAspect="1"/>
        </xdr:cNvPicPr>
      </xdr:nvPicPr>
      <xdr:blipFill>
        <a:blip xmlns:r="http://schemas.openxmlformats.org/officeDocument/2006/relationships" r:embed="rId12"/>
        <a:stretch>
          <a:fillRect/>
        </a:stretch>
      </xdr:blipFill>
      <xdr:spPr>
        <a:xfrm>
          <a:off x="3069167" y="64198499"/>
          <a:ext cx="3696216" cy="971686"/>
        </a:xfrm>
        <a:prstGeom prst="rect">
          <a:avLst/>
        </a:prstGeom>
      </xdr:spPr>
    </xdr:pic>
    <xdr:clientData/>
  </xdr:twoCellAnchor>
  <xdr:twoCellAnchor editAs="oneCell">
    <xdr:from>
      <xdr:col>2</xdr:col>
      <xdr:colOff>613833</xdr:colOff>
      <xdr:row>293</xdr:row>
      <xdr:rowOff>21167</xdr:rowOff>
    </xdr:from>
    <xdr:to>
      <xdr:col>7</xdr:col>
      <xdr:colOff>580633</xdr:colOff>
      <xdr:row>295</xdr:row>
      <xdr:rowOff>10650</xdr:rowOff>
    </xdr:to>
    <xdr:pic>
      <xdr:nvPicPr>
        <xdr:cNvPr id="12" name="Рисунок 11">
          <a:extLst>
            <a:ext uri="{FF2B5EF4-FFF2-40B4-BE49-F238E27FC236}">
              <a16:creationId xmlns:a16="http://schemas.microsoft.com/office/drawing/2014/main" id="{1832B975-C0C7-41F3-9A39-73D210D064FE}"/>
            </a:ext>
          </a:extLst>
        </xdr:cNvPr>
        <xdr:cNvPicPr>
          <a:picLocks noChangeAspect="1"/>
        </xdr:cNvPicPr>
      </xdr:nvPicPr>
      <xdr:blipFill>
        <a:blip xmlns:r="http://schemas.openxmlformats.org/officeDocument/2006/relationships" r:embed="rId13"/>
        <a:stretch>
          <a:fillRect/>
        </a:stretch>
      </xdr:blipFill>
      <xdr:spPr>
        <a:xfrm>
          <a:off x="2624666" y="67003084"/>
          <a:ext cx="4782217" cy="476316"/>
        </a:xfrm>
        <a:prstGeom prst="rect">
          <a:avLst/>
        </a:prstGeom>
      </xdr:spPr>
    </xdr:pic>
    <xdr:clientData/>
  </xdr:twoCellAnchor>
  <xdr:twoCellAnchor editAs="oneCell">
    <xdr:from>
      <xdr:col>7</xdr:col>
      <xdr:colOff>920750</xdr:colOff>
      <xdr:row>306</xdr:row>
      <xdr:rowOff>63500</xdr:rowOff>
    </xdr:from>
    <xdr:to>
      <xdr:col>12</xdr:col>
      <xdr:colOff>134970</xdr:colOff>
      <xdr:row>310</xdr:row>
      <xdr:rowOff>71045</xdr:rowOff>
    </xdr:to>
    <xdr:pic>
      <xdr:nvPicPr>
        <xdr:cNvPr id="13" name="Рисунок 12">
          <a:extLst>
            <a:ext uri="{FF2B5EF4-FFF2-40B4-BE49-F238E27FC236}">
              <a16:creationId xmlns:a16="http://schemas.microsoft.com/office/drawing/2014/main" id="{BE484940-B4AD-412B-8785-0E5F2B34A8BA}"/>
            </a:ext>
          </a:extLst>
        </xdr:cNvPr>
        <xdr:cNvPicPr>
          <a:picLocks noChangeAspect="1"/>
        </xdr:cNvPicPr>
      </xdr:nvPicPr>
      <xdr:blipFill>
        <a:blip xmlns:r="http://schemas.openxmlformats.org/officeDocument/2006/relationships" r:embed="rId14"/>
        <a:stretch>
          <a:fillRect/>
        </a:stretch>
      </xdr:blipFill>
      <xdr:spPr>
        <a:xfrm>
          <a:off x="7747000" y="70209833"/>
          <a:ext cx="4029637" cy="981212"/>
        </a:xfrm>
        <a:prstGeom prst="rect">
          <a:avLst/>
        </a:prstGeom>
      </xdr:spPr>
    </xdr:pic>
    <xdr:clientData/>
  </xdr:twoCellAnchor>
  <xdr:twoCellAnchor editAs="oneCell">
    <xdr:from>
      <xdr:col>7</xdr:col>
      <xdr:colOff>10583</xdr:colOff>
      <xdr:row>314</xdr:row>
      <xdr:rowOff>42333</xdr:rowOff>
    </xdr:from>
    <xdr:to>
      <xdr:col>12</xdr:col>
      <xdr:colOff>539437</xdr:colOff>
      <xdr:row>321</xdr:row>
      <xdr:rowOff>186525</xdr:rowOff>
    </xdr:to>
    <xdr:pic>
      <xdr:nvPicPr>
        <xdr:cNvPr id="14" name="Рисунок 13">
          <a:extLst>
            <a:ext uri="{FF2B5EF4-FFF2-40B4-BE49-F238E27FC236}">
              <a16:creationId xmlns:a16="http://schemas.microsoft.com/office/drawing/2014/main" id="{14996AA2-B0C2-4269-97C1-D62D2E5EF8FD}"/>
            </a:ext>
          </a:extLst>
        </xdr:cNvPr>
        <xdr:cNvPicPr>
          <a:picLocks noChangeAspect="1"/>
        </xdr:cNvPicPr>
      </xdr:nvPicPr>
      <xdr:blipFill>
        <a:blip xmlns:r="http://schemas.openxmlformats.org/officeDocument/2006/relationships" r:embed="rId15"/>
        <a:stretch>
          <a:fillRect/>
        </a:stretch>
      </xdr:blipFill>
      <xdr:spPr>
        <a:xfrm>
          <a:off x="6836833" y="72136000"/>
          <a:ext cx="5344271" cy="1848108"/>
        </a:xfrm>
        <a:prstGeom prst="rect">
          <a:avLst/>
        </a:prstGeom>
      </xdr:spPr>
    </xdr:pic>
    <xdr:clientData/>
  </xdr:twoCellAnchor>
  <xdr:twoCellAnchor editAs="oneCell">
    <xdr:from>
      <xdr:col>5</xdr:col>
      <xdr:colOff>306918</xdr:colOff>
      <xdr:row>325</xdr:row>
      <xdr:rowOff>116417</xdr:rowOff>
    </xdr:from>
    <xdr:to>
      <xdr:col>10</xdr:col>
      <xdr:colOff>835772</xdr:colOff>
      <xdr:row>333</xdr:row>
      <xdr:rowOff>17192</xdr:rowOff>
    </xdr:to>
    <xdr:pic>
      <xdr:nvPicPr>
        <xdr:cNvPr id="15" name="Рисунок 14">
          <a:extLst>
            <a:ext uri="{FF2B5EF4-FFF2-40B4-BE49-F238E27FC236}">
              <a16:creationId xmlns:a16="http://schemas.microsoft.com/office/drawing/2014/main" id="{FD89D1E8-38E3-4EB3-A83B-F9154A1BA329}"/>
            </a:ext>
          </a:extLst>
        </xdr:cNvPr>
        <xdr:cNvPicPr>
          <a:picLocks noChangeAspect="1"/>
        </xdr:cNvPicPr>
      </xdr:nvPicPr>
      <xdr:blipFill>
        <a:blip xmlns:r="http://schemas.openxmlformats.org/officeDocument/2006/relationships" r:embed="rId15"/>
        <a:stretch>
          <a:fillRect/>
        </a:stretch>
      </xdr:blipFill>
      <xdr:spPr>
        <a:xfrm>
          <a:off x="5207001" y="74887667"/>
          <a:ext cx="5344271" cy="1848108"/>
        </a:xfrm>
        <a:prstGeom prst="rect">
          <a:avLst/>
        </a:prstGeom>
      </xdr:spPr>
    </xdr:pic>
    <xdr:clientData/>
  </xdr:twoCellAnchor>
  <xdr:twoCellAnchor editAs="oneCell">
    <xdr:from>
      <xdr:col>2</xdr:col>
      <xdr:colOff>846667</xdr:colOff>
      <xdr:row>352</xdr:row>
      <xdr:rowOff>201083</xdr:rowOff>
    </xdr:from>
    <xdr:to>
      <xdr:col>7</xdr:col>
      <xdr:colOff>270467</xdr:colOff>
      <xdr:row>356</xdr:row>
      <xdr:rowOff>218154</xdr:rowOff>
    </xdr:to>
    <xdr:pic>
      <xdr:nvPicPr>
        <xdr:cNvPr id="16" name="Рисунок 15">
          <a:extLst>
            <a:ext uri="{FF2B5EF4-FFF2-40B4-BE49-F238E27FC236}">
              <a16:creationId xmlns:a16="http://schemas.microsoft.com/office/drawing/2014/main" id="{3F38DBB2-48B4-4343-90EC-C009D1A83A2C}"/>
            </a:ext>
          </a:extLst>
        </xdr:cNvPr>
        <xdr:cNvPicPr>
          <a:picLocks noChangeAspect="1"/>
        </xdr:cNvPicPr>
      </xdr:nvPicPr>
      <xdr:blipFill>
        <a:blip xmlns:r="http://schemas.openxmlformats.org/officeDocument/2006/relationships" r:embed="rId16"/>
        <a:stretch>
          <a:fillRect/>
        </a:stretch>
      </xdr:blipFill>
      <xdr:spPr>
        <a:xfrm>
          <a:off x="2857500" y="81544583"/>
          <a:ext cx="4239217" cy="990738"/>
        </a:xfrm>
        <a:prstGeom prst="rect">
          <a:avLst/>
        </a:prstGeom>
      </xdr:spPr>
    </xdr:pic>
    <xdr:clientData/>
  </xdr:twoCellAnchor>
  <xdr:twoCellAnchor editAs="oneCell">
    <xdr:from>
      <xdr:col>2</xdr:col>
      <xdr:colOff>857251</xdr:colOff>
      <xdr:row>360</xdr:row>
      <xdr:rowOff>211667</xdr:rowOff>
    </xdr:from>
    <xdr:to>
      <xdr:col>8</xdr:col>
      <xdr:colOff>70548</xdr:colOff>
      <xdr:row>368</xdr:row>
      <xdr:rowOff>64809</xdr:rowOff>
    </xdr:to>
    <xdr:pic>
      <xdr:nvPicPr>
        <xdr:cNvPr id="17" name="Рисунок 16">
          <a:extLst>
            <a:ext uri="{FF2B5EF4-FFF2-40B4-BE49-F238E27FC236}">
              <a16:creationId xmlns:a16="http://schemas.microsoft.com/office/drawing/2014/main" id="{B184BB0D-268B-49FF-934E-9F4560E28424}"/>
            </a:ext>
          </a:extLst>
        </xdr:cNvPr>
        <xdr:cNvPicPr>
          <a:picLocks noChangeAspect="1"/>
        </xdr:cNvPicPr>
      </xdr:nvPicPr>
      <xdr:blipFill>
        <a:blip xmlns:r="http://schemas.openxmlformats.org/officeDocument/2006/relationships" r:embed="rId17"/>
        <a:stretch>
          <a:fillRect/>
        </a:stretch>
      </xdr:blipFill>
      <xdr:spPr>
        <a:xfrm>
          <a:off x="2868084" y="83502500"/>
          <a:ext cx="4991797" cy="1800476"/>
        </a:xfrm>
        <a:prstGeom prst="rect">
          <a:avLst/>
        </a:prstGeom>
      </xdr:spPr>
    </xdr:pic>
    <xdr:clientData/>
  </xdr:twoCellAnchor>
  <xdr:twoCellAnchor editAs="oneCell">
    <xdr:from>
      <xdr:col>2</xdr:col>
      <xdr:colOff>529167</xdr:colOff>
      <xdr:row>373</xdr:row>
      <xdr:rowOff>137584</xdr:rowOff>
    </xdr:from>
    <xdr:to>
      <xdr:col>7</xdr:col>
      <xdr:colOff>705547</xdr:colOff>
      <xdr:row>380</xdr:row>
      <xdr:rowOff>234143</xdr:rowOff>
    </xdr:to>
    <xdr:pic>
      <xdr:nvPicPr>
        <xdr:cNvPr id="18" name="Рисунок 17">
          <a:extLst>
            <a:ext uri="{FF2B5EF4-FFF2-40B4-BE49-F238E27FC236}">
              <a16:creationId xmlns:a16="http://schemas.microsoft.com/office/drawing/2014/main" id="{5C8B7BB1-28CC-4B86-8784-26FE26D54FEC}"/>
            </a:ext>
          </a:extLst>
        </xdr:cNvPr>
        <xdr:cNvPicPr>
          <a:picLocks noChangeAspect="1"/>
        </xdr:cNvPicPr>
      </xdr:nvPicPr>
      <xdr:blipFill>
        <a:blip xmlns:r="http://schemas.openxmlformats.org/officeDocument/2006/relationships" r:embed="rId17"/>
        <a:stretch>
          <a:fillRect/>
        </a:stretch>
      </xdr:blipFill>
      <xdr:spPr>
        <a:xfrm>
          <a:off x="2540000" y="86592834"/>
          <a:ext cx="4991797" cy="1800476"/>
        </a:xfrm>
        <a:prstGeom prst="rect">
          <a:avLst/>
        </a:prstGeom>
      </xdr:spPr>
    </xdr:pic>
    <xdr:clientData/>
  </xdr:twoCellAnchor>
  <xdr:twoCellAnchor editAs="oneCell">
    <xdr:from>
      <xdr:col>2</xdr:col>
      <xdr:colOff>762001</xdr:colOff>
      <xdr:row>383</xdr:row>
      <xdr:rowOff>190500</xdr:rowOff>
    </xdr:from>
    <xdr:to>
      <xdr:col>7</xdr:col>
      <xdr:colOff>938381</xdr:colOff>
      <xdr:row>391</xdr:row>
      <xdr:rowOff>43643</xdr:rowOff>
    </xdr:to>
    <xdr:pic>
      <xdr:nvPicPr>
        <xdr:cNvPr id="19" name="Рисунок 18">
          <a:extLst>
            <a:ext uri="{FF2B5EF4-FFF2-40B4-BE49-F238E27FC236}">
              <a16:creationId xmlns:a16="http://schemas.microsoft.com/office/drawing/2014/main" id="{C665CB58-B46B-4636-8B17-64047241BEC7}"/>
            </a:ext>
          </a:extLst>
        </xdr:cNvPr>
        <xdr:cNvPicPr>
          <a:picLocks noChangeAspect="1"/>
        </xdr:cNvPicPr>
      </xdr:nvPicPr>
      <xdr:blipFill>
        <a:blip xmlns:r="http://schemas.openxmlformats.org/officeDocument/2006/relationships" r:embed="rId17"/>
        <a:stretch>
          <a:fillRect/>
        </a:stretch>
      </xdr:blipFill>
      <xdr:spPr>
        <a:xfrm>
          <a:off x="2772834" y="89079917"/>
          <a:ext cx="4991797" cy="1800476"/>
        </a:xfrm>
        <a:prstGeom prst="rect">
          <a:avLst/>
        </a:prstGeom>
      </xdr:spPr>
    </xdr:pic>
    <xdr:clientData/>
  </xdr:twoCellAnchor>
  <xdr:twoCellAnchor editAs="oneCell">
    <xdr:from>
      <xdr:col>8</xdr:col>
      <xdr:colOff>158750</xdr:colOff>
      <xdr:row>405</xdr:row>
      <xdr:rowOff>169333</xdr:rowOff>
    </xdr:from>
    <xdr:to>
      <xdr:col>13</xdr:col>
      <xdr:colOff>954341</xdr:colOff>
      <xdr:row>415</xdr:row>
      <xdr:rowOff>88169</xdr:rowOff>
    </xdr:to>
    <xdr:pic>
      <xdr:nvPicPr>
        <xdr:cNvPr id="21" name="Рисунок 20">
          <a:extLst>
            <a:ext uri="{FF2B5EF4-FFF2-40B4-BE49-F238E27FC236}">
              <a16:creationId xmlns:a16="http://schemas.microsoft.com/office/drawing/2014/main" id="{70B295F7-4555-433E-B605-4178C35B0EF1}"/>
            </a:ext>
          </a:extLst>
        </xdr:cNvPr>
        <xdr:cNvPicPr>
          <a:picLocks noChangeAspect="1"/>
        </xdr:cNvPicPr>
      </xdr:nvPicPr>
      <xdr:blipFill>
        <a:blip xmlns:r="http://schemas.openxmlformats.org/officeDocument/2006/relationships" r:embed="rId18"/>
        <a:stretch>
          <a:fillRect/>
        </a:stretch>
      </xdr:blipFill>
      <xdr:spPr>
        <a:xfrm>
          <a:off x="7948083" y="94413916"/>
          <a:ext cx="5611008" cy="2353003"/>
        </a:xfrm>
        <a:prstGeom prst="rect">
          <a:avLst/>
        </a:prstGeom>
      </xdr:spPr>
    </xdr:pic>
    <xdr:clientData/>
  </xdr:twoCellAnchor>
  <xdr:twoCellAnchor editAs="oneCell">
    <xdr:from>
      <xdr:col>8</xdr:col>
      <xdr:colOff>243417</xdr:colOff>
      <xdr:row>416</xdr:row>
      <xdr:rowOff>169333</xdr:rowOff>
    </xdr:from>
    <xdr:to>
      <xdr:col>15</xdr:col>
      <xdr:colOff>417948</xdr:colOff>
      <xdr:row>436</xdr:row>
      <xdr:rowOff>45112</xdr:rowOff>
    </xdr:to>
    <xdr:pic>
      <xdr:nvPicPr>
        <xdr:cNvPr id="24" name="Рисунок 23">
          <a:extLst>
            <a:ext uri="{FF2B5EF4-FFF2-40B4-BE49-F238E27FC236}">
              <a16:creationId xmlns:a16="http://schemas.microsoft.com/office/drawing/2014/main" id="{8E2C1906-7C2F-42D9-B708-92D7ECCEF491}"/>
            </a:ext>
          </a:extLst>
        </xdr:cNvPr>
        <xdr:cNvPicPr>
          <a:picLocks noChangeAspect="1"/>
        </xdr:cNvPicPr>
      </xdr:nvPicPr>
      <xdr:blipFill>
        <a:blip xmlns:r="http://schemas.openxmlformats.org/officeDocument/2006/relationships" r:embed="rId19"/>
        <a:stretch>
          <a:fillRect/>
        </a:stretch>
      </xdr:blipFill>
      <xdr:spPr>
        <a:xfrm>
          <a:off x="8032750" y="97091500"/>
          <a:ext cx="6916115" cy="47441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1</xdr:row>
      <xdr:rowOff>0</xdr:rowOff>
    </xdr:from>
    <xdr:ext cx="1600200" cy="457200"/>
    <xdr:pic>
      <xdr:nvPicPr>
        <xdr:cNvPr id="2" name="image30.png" title="Изображение">
          <a:extLst>
            <a:ext uri="{FF2B5EF4-FFF2-40B4-BE49-F238E27FC236}">
              <a16:creationId xmlns:a16="http://schemas.microsoft.com/office/drawing/2014/main" id="{BFD323D7-2B4E-4A9A-B826-40A6D8951901}"/>
            </a:ext>
          </a:extLst>
        </xdr:cNvPr>
        <xdr:cNvPicPr preferRelativeResize="0"/>
      </xdr:nvPicPr>
      <xdr:blipFill>
        <a:blip xmlns:r="http://schemas.openxmlformats.org/officeDocument/2006/relationships" r:embed="rId1" cstate="print"/>
        <a:stretch>
          <a:fillRect/>
        </a:stretch>
      </xdr:blipFill>
      <xdr:spPr>
        <a:xfrm>
          <a:off x="0" y="220980"/>
          <a:ext cx="1600200" cy="457200"/>
        </a:xfrm>
        <a:prstGeom prst="rect">
          <a:avLst/>
        </a:prstGeom>
        <a:noFill/>
      </xdr:spPr>
    </xdr:pic>
    <xdr:clientData fLocksWithSheet="0"/>
  </xdr:oneCellAnchor>
  <xdr:oneCellAnchor>
    <xdr:from>
      <xdr:col>0</xdr:col>
      <xdr:colOff>0</xdr:colOff>
      <xdr:row>87</xdr:row>
      <xdr:rowOff>7620</xdr:rowOff>
    </xdr:from>
    <xdr:ext cx="7839075" cy="733425"/>
    <xdr:pic>
      <xdr:nvPicPr>
        <xdr:cNvPr id="3" name="image31.png" title="Изображение">
          <a:extLst>
            <a:ext uri="{FF2B5EF4-FFF2-40B4-BE49-F238E27FC236}">
              <a16:creationId xmlns:a16="http://schemas.microsoft.com/office/drawing/2014/main" id="{9C4D5022-403B-4AE7-A1EC-1390831920D7}"/>
            </a:ext>
          </a:extLst>
        </xdr:cNvPr>
        <xdr:cNvPicPr preferRelativeResize="0"/>
      </xdr:nvPicPr>
      <xdr:blipFill>
        <a:blip xmlns:r="http://schemas.openxmlformats.org/officeDocument/2006/relationships" r:embed="rId2" cstate="print"/>
        <a:stretch>
          <a:fillRect/>
        </a:stretch>
      </xdr:blipFill>
      <xdr:spPr>
        <a:xfrm>
          <a:off x="0" y="17038320"/>
          <a:ext cx="7839075" cy="733425"/>
        </a:xfrm>
        <a:prstGeom prst="rect">
          <a:avLst/>
        </a:prstGeom>
        <a:noFill/>
      </xdr:spPr>
    </xdr:pic>
    <xdr:clientData fLocksWithSheet="0"/>
  </xdr:oneCellAnchor>
  <xdr:oneCellAnchor>
    <xdr:from>
      <xdr:col>0</xdr:col>
      <xdr:colOff>0</xdr:colOff>
      <xdr:row>121</xdr:row>
      <xdr:rowOff>19050</xdr:rowOff>
    </xdr:from>
    <xdr:ext cx="1685925" cy="533400"/>
    <xdr:pic>
      <xdr:nvPicPr>
        <xdr:cNvPr id="4" name="image15.png" title="Изображение">
          <a:extLst>
            <a:ext uri="{FF2B5EF4-FFF2-40B4-BE49-F238E27FC236}">
              <a16:creationId xmlns:a16="http://schemas.microsoft.com/office/drawing/2014/main" id="{2ADF87BC-1AB5-468F-BEC0-6FFB0397A764}"/>
            </a:ext>
          </a:extLst>
        </xdr:cNvPr>
        <xdr:cNvPicPr preferRelativeResize="0"/>
      </xdr:nvPicPr>
      <xdr:blipFill>
        <a:blip xmlns:r="http://schemas.openxmlformats.org/officeDocument/2006/relationships" r:embed="rId3" cstate="print"/>
        <a:stretch>
          <a:fillRect/>
        </a:stretch>
      </xdr:blipFill>
      <xdr:spPr>
        <a:xfrm>
          <a:off x="0" y="19229070"/>
          <a:ext cx="1685925" cy="533400"/>
        </a:xfrm>
        <a:prstGeom prst="rect">
          <a:avLst/>
        </a:prstGeom>
        <a:noFill/>
      </xdr:spPr>
    </xdr:pic>
    <xdr:clientData fLocksWithSheet="0"/>
  </xdr:oneCellAnchor>
  <xdr:oneCellAnchor>
    <xdr:from>
      <xdr:col>0</xdr:col>
      <xdr:colOff>0</xdr:colOff>
      <xdr:row>144</xdr:row>
      <xdr:rowOff>0</xdr:rowOff>
    </xdr:from>
    <xdr:ext cx="2114550" cy="514350"/>
    <xdr:pic>
      <xdr:nvPicPr>
        <xdr:cNvPr id="5" name="image23.png" title="Изображение">
          <a:extLst>
            <a:ext uri="{FF2B5EF4-FFF2-40B4-BE49-F238E27FC236}">
              <a16:creationId xmlns:a16="http://schemas.microsoft.com/office/drawing/2014/main" id="{D98EA6B6-BCA5-4E95-AEE8-8320362714B2}"/>
            </a:ext>
          </a:extLst>
        </xdr:cNvPr>
        <xdr:cNvPicPr preferRelativeResize="0"/>
      </xdr:nvPicPr>
      <xdr:blipFill>
        <a:blip xmlns:r="http://schemas.openxmlformats.org/officeDocument/2006/relationships" r:embed="rId4" cstate="print"/>
        <a:stretch>
          <a:fillRect/>
        </a:stretch>
      </xdr:blipFill>
      <xdr:spPr>
        <a:xfrm>
          <a:off x="0" y="23766780"/>
          <a:ext cx="2114550" cy="514350"/>
        </a:xfrm>
        <a:prstGeom prst="rect">
          <a:avLst/>
        </a:prstGeom>
        <a:noFill/>
      </xdr:spPr>
    </xdr:pic>
    <xdr:clientData fLocksWithSheet="0"/>
  </xdr:oneCellAnchor>
  <xdr:oneCellAnchor>
    <xdr:from>
      <xdr:col>0</xdr:col>
      <xdr:colOff>0</xdr:colOff>
      <xdr:row>150</xdr:row>
      <xdr:rowOff>0</xdr:rowOff>
    </xdr:from>
    <xdr:ext cx="2276475" cy="561975"/>
    <xdr:pic>
      <xdr:nvPicPr>
        <xdr:cNvPr id="6" name="image26.png" title="Изображение">
          <a:extLst>
            <a:ext uri="{FF2B5EF4-FFF2-40B4-BE49-F238E27FC236}">
              <a16:creationId xmlns:a16="http://schemas.microsoft.com/office/drawing/2014/main" id="{75EC3DA5-B566-4201-BE02-FA43616DD2EC}"/>
            </a:ext>
          </a:extLst>
        </xdr:cNvPr>
        <xdr:cNvPicPr preferRelativeResize="0"/>
      </xdr:nvPicPr>
      <xdr:blipFill>
        <a:blip xmlns:r="http://schemas.openxmlformats.org/officeDocument/2006/relationships" r:embed="rId5" cstate="print"/>
        <a:stretch>
          <a:fillRect/>
        </a:stretch>
      </xdr:blipFill>
      <xdr:spPr>
        <a:xfrm>
          <a:off x="0" y="24955500"/>
          <a:ext cx="2276475" cy="561975"/>
        </a:xfrm>
        <a:prstGeom prst="rect">
          <a:avLst/>
        </a:prstGeom>
        <a:noFill/>
      </xdr:spPr>
    </xdr:pic>
    <xdr:clientData fLocksWithSheet="0"/>
  </xdr:oneCellAnchor>
  <xdr:oneCellAnchor>
    <xdr:from>
      <xdr:col>0</xdr:col>
      <xdr:colOff>0</xdr:colOff>
      <xdr:row>158</xdr:row>
      <xdr:rowOff>0</xdr:rowOff>
    </xdr:from>
    <xdr:ext cx="2076450" cy="523875"/>
    <xdr:pic>
      <xdr:nvPicPr>
        <xdr:cNvPr id="7" name="image35.png" title="Изображение">
          <a:extLst>
            <a:ext uri="{FF2B5EF4-FFF2-40B4-BE49-F238E27FC236}">
              <a16:creationId xmlns:a16="http://schemas.microsoft.com/office/drawing/2014/main" id="{BB1EBC8C-1277-4411-813F-BFBE24387B45}"/>
            </a:ext>
          </a:extLst>
        </xdr:cNvPr>
        <xdr:cNvPicPr preferRelativeResize="0"/>
      </xdr:nvPicPr>
      <xdr:blipFill>
        <a:blip xmlns:r="http://schemas.openxmlformats.org/officeDocument/2006/relationships" r:embed="rId6" cstate="print"/>
        <a:stretch>
          <a:fillRect/>
        </a:stretch>
      </xdr:blipFill>
      <xdr:spPr>
        <a:xfrm>
          <a:off x="0" y="26540460"/>
          <a:ext cx="2076450" cy="523875"/>
        </a:xfrm>
        <a:prstGeom prst="rect">
          <a:avLst/>
        </a:prstGeom>
        <a:noFill/>
      </xdr:spPr>
    </xdr:pic>
    <xdr:clientData fLocksWithSheet="0"/>
  </xdr:oneCellAnchor>
  <xdr:oneCellAnchor>
    <xdr:from>
      <xdr:col>0</xdr:col>
      <xdr:colOff>0</xdr:colOff>
      <xdr:row>290</xdr:row>
      <xdr:rowOff>0</xdr:rowOff>
    </xdr:from>
    <xdr:ext cx="4781550" cy="409575"/>
    <xdr:pic>
      <xdr:nvPicPr>
        <xdr:cNvPr id="8" name="image27.png" title="Изображение">
          <a:extLst>
            <a:ext uri="{FF2B5EF4-FFF2-40B4-BE49-F238E27FC236}">
              <a16:creationId xmlns:a16="http://schemas.microsoft.com/office/drawing/2014/main" id="{CAD348C2-41FC-4F3C-9681-072941DC4F7A}"/>
            </a:ext>
          </a:extLst>
        </xdr:cNvPr>
        <xdr:cNvPicPr preferRelativeResize="0"/>
      </xdr:nvPicPr>
      <xdr:blipFill>
        <a:blip xmlns:r="http://schemas.openxmlformats.org/officeDocument/2006/relationships" r:embed="rId7" cstate="print"/>
        <a:stretch>
          <a:fillRect/>
        </a:stretch>
      </xdr:blipFill>
      <xdr:spPr>
        <a:xfrm>
          <a:off x="0" y="51305460"/>
          <a:ext cx="4781550" cy="409575"/>
        </a:xfrm>
        <a:prstGeom prst="rect">
          <a:avLst/>
        </a:prstGeom>
        <a:noFill/>
      </xdr:spPr>
    </xdr:pic>
    <xdr:clientData fLocksWithSheet="0"/>
  </xdr:oneCellAnchor>
  <xdr:oneCellAnchor>
    <xdr:from>
      <xdr:col>5</xdr:col>
      <xdr:colOff>266700</xdr:colOff>
      <xdr:row>371</xdr:row>
      <xdr:rowOff>161925</xdr:rowOff>
    </xdr:from>
    <xdr:ext cx="2047875" cy="238125"/>
    <xdr:pic>
      <xdr:nvPicPr>
        <xdr:cNvPr id="9" name="image16.png" title="Изображение">
          <a:extLst>
            <a:ext uri="{FF2B5EF4-FFF2-40B4-BE49-F238E27FC236}">
              <a16:creationId xmlns:a16="http://schemas.microsoft.com/office/drawing/2014/main" id="{31846F78-4ED7-4575-9619-A2F499ECEF8A}"/>
            </a:ext>
          </a:extLst>
        </xdr:cNvPr>
        <xdr:cNvPicPr preferRelativeResize="0"/>
      </xdr:nvPicPr>
      <xdr:blipFill>
        <a:blip xmlns:r="http://schemas.openxmlformats.org/officeDocument/2006/relationships" r:embed="rId8" cstate="print"/>
        <a:stretch>
          <a:fillRect/>
        </a:stretch>
      </xdr:blipFill>
      <xdr:spPr>
        <a:xfrm>
          <a:off x="3627120" y="67515105"/>
          <a:ext cx="2047875" cy="238125"/>
        </a:xfrm>
        <a:prstGeom prst="rect">
          <a:avLst/>
        </a:prstGeom>
        <a:noFill/>
      </xdr:spPr>
    </xdr:pic>
    <xdr:clientData fLocksWithSheet="0"/>
  </xdr:oneCellAnchor>
  <xdr:oneCellAnchor>
    <xdr:from>
      <xdr:col>5</xdr:col>
      <xdr:colOff>276225</xdr:colOff>
      <xdr:row>372</xdr:row>
      <xdr:rowOff>200025</xdr:rowOff>
    </xdr:from>
    <xdr:ext cx="2028825" cy="552450"/>
    <xdr:pic>
      <xdr:nvPicPr>
        <xdr:cNvPr id="10" name="image12.png" title="Изображение">
          <a:extLst>
            <a:ext uri="{FF2B5EF4-FFF2-40B4-BE49-F238E27FC236}">
              <a16:creationId xmlns:a16="http://schemas.microsoft.com/office/drawing/2014/main" id="{375E04C8-0E1F-4E66-84D2-DC5ED88EE27E}"/>
            </a:ext>
          </a:extLst>
        </xdr:cNvPr>
        <xdr:cNvPicPr preferRelativeResize="0"/>
      </xdr:nvPicPr>
      <xdr:blipFill>
        <a:blip xmlns:r="http://schemas.openxmlformats.org/officeDocument/2006/relationships" r:embed="rId9" cstate="print"/>
        <a:stretch>
          <a:fillRect/>
        </a:stretch>
      </xdr:blipFill>
      <xdr:spPr>
        <a:xfrm>
          <a:off x="3636645" y="67751325"/>
          <a:ext cx="2028825" cy="552450"/>
        </a:xfrm>
        <a:prstGeom prst="rect">
          <a:avLst/>
        </a:prstGeom>
        <a:noFill/>
      </xdr:spPr>
    </xdr:pic>
    <xdr:clientData fLocksWithSheet="0"/>
  </xdr:oneCellAnchor>
  <xdr:oneCellAnchor>
    <xdr:from>
      <xdr:col>5</xdr:col>
      <xdr:colOff>323850</xdr:colOff>
      <xdr:row>375</xdr:row>
      <xdr:rowOff>152400</xdr:rowOff>
    </xdr:from>
    <xdr:ext cx="3695700" cy="914400"/>
    <xdr:pic>
      <xdr:nvPicPr>
        <xdr:cNvPr id="11" name="image11.jpg" title="Изображение">
          <a:extLst>
            <a:ext uri="{FF2B5EF4-FFF2-40B4-BE49-F238E27FC236}">
              <a16:creationId xmlns:a16="http://schemas.microsoft.com/office/drawing/2014/main" id="{0F4FCC65-8773-40C0-A72B-2249EC2F08C3}"/>
            </a:ext>
          </a:extLst>
        </xdr:cNvPr>
        <xdr:cNvPicPr preferRelativeResize="0"/>
      </xdr:nvPicPr>
      <xdr:blipFill>
        <a:blip xmlns:r="http://schemas.openxmlformats.org/officeDocument/2006/relationships" r:embed="rId10" cstate="print"/>
        <a:stretch>
          <a:fillRect/>
        </a:stretch>
      </xdr:blipFill>
      <xdr:spPr>
        <a:xfrm>
          <a:off x="3684270" y="68298060"/>
          <a:ext cx="3695700" cy="914400"/>
        </a:xfrm>
        <a:prstGeom prst="rect">
          <a:avLst/>
        </a:prstGeom>
        <a:noFill/>
      </xdr:spPr>
    </xdr:pic>
    <xdr:clientData fLocksWithSheet="0"/>
  </xdr:oneCellAnchor>
  <xdr:twoCellAnchor editAs="oneCell">
    <xdr:from>
      <xdr:col>7</xdr:col>
      <xdr:colOff>440709</xdr:colOff>
      <xdr:row>297</xdr:row>
      <xdr:rowOff>156381</xdr:rowOff>
    </xdr:from>
    <xdr:to>
      <xdr:col>9</xdr:col>
      <xdr:colOff>265701</xdr:colOff>
      <xdr:row>300</xdr:row>
      <xdr:rowOff>73714</xdr:rowOff>
    </xdr:to>
    <xdr:pic>
      <xdr:nvPicPr>
        <xdr:cNvPr id="12" name="Рисунок 11">
          <a:extLst>
            <a:ext uri="{FF2B5EF4-FFF2-40B4-BE49-F238E27FC236}">
              <a16:creationId xmlns:a16="http://schemas.microsoft.com/office/drawing/2014/main" id="{1CDBD2EF-DA6D-4170-9EC2-5B76715150AB}"/>
            </a:ext>
          </a:extLst>
        </xdr:cNvPr>
        <xdr:cNvPicPr>
          <a:picLocks noChangeAspect="1"/>
        </xdr:cNvPicPr>
      </xdr:nvPicPr>
      <xdr:blipFill>
        <a:blip xmlns:r="http://schemas.openxmlformats.org/officeDocument/2006/relationships" r:embed="rId11"/>
        <a:stretch>
          <a:fillRect/>
        </a:stretch>
      </xdr:blipFill>
      <xdr:spPr>
        <a:xfrm>
          <a:off x="4890448" y="59069217"/>
          <a:ext cx="990738" cy="514422"/>
        </a:xfrm>
        <a:prstGeom prst="rect">
          <a:avLst/>
        </a:prstGeom>
      </xdr:spPr>
    </xdr:pic>
    <xdr:clientData/>
  </xdr:twoCellAnchor>
  <xdr:twoCellAnchor editAs="oneCell">
    <xdr:from>
      <xdr:col>7</xdr:col>
      <xdr:colOff>497575</xdr:colOff>
      <xdr:row>301</xdr:row>
      <xdr:rowOff>0</xdr:rowOff>
    </xdr:from>
    <xdr:to>
      <xdr:col>9</xdr:col>
      <xdr:colOff>351146</xdr:colOff>
      <xdr:row>303</xdr:row>
      <xdr:rowOff>97309</xdr:rowOff>
    </xdr:to>
    <xdr:pic>
      <xdr:nvPicPr>
        <xdr:cNvPr id="13" name="Рисунок 12">
          <a:extLst>
            <a:ext uri="{FF2B5EF4-FFF2-40B4-BE49-F238E27FC236}">
              <a16:creationId xmlns:a16="http://schemas.microsoft.com/office/drawing/2014/main" id="{6C45724D-1EB5-43E5-9350-D17F9A9E4483}"/>
            </a:ext>
          </a:extLst>
        </xdr:cNvPr>
        <xdr:cNvPicPr>
          <a:picLocks noChangeAspect="1"/>
        </xdr:cNvPicPr>
      </xdr:nvPicPr>
      <xdr:blipFill>
        <a:blip xmlns:r="http://schemas.openxmlformats.org/officeDocument/2006/relationships" r:embed="rId12"/>
        <a:stretch>
          <a:fillRect/>
        </a:stretch>
      </xdr:blipFill>
      <xdr:spPr>
        <a:xfrm>
          <a:off x="4947314" y="59708955"/>
          <a:ext cx="1019317" cy="495369"/>
        </a:xfrm>
        <a:prstGeom prst="rect">
          <a:avLst/>
        </a:prstGeom>
      </xdr:spPr>
    </xdr:pic>
    <xdr:clientData/>
  </xdr:twoCellAnchor>
  <xdr:twoCellAnchor editAs="oneCell">
    <xdr:from>
      <xdr:col>11</xdr:col>
      <xdr:colOff>476251</xdr:colOff>
      <xdr:row>324</xdr:row>
      <xdr:rowOff>108856</xdr:rowOff>
    </xdr:from>
    <xdr:to>
      <xdr:col>18</xdr:col>
      <xdr:colOff>533981</xdr:colOff>
      <xdr:row>327</xdr:row>
      <xdr:rowOff>49061</xdr:rowOff>
    </xdr:to>
    <xdr:pic>
      <xdr:nvPicPr>
        <xdr:cNvPr id="14" name="Рисунок 13">
          <a:extLst>
            <a:ext uri="{FF2B5EF4-FFF2-40B4-BE49-F238E27FC236}">
              <a16:creationId xmlns:a16="http://schemas.microsoft.com/office/drawing/2014/main" id="{B1708EEA-2450-4E9D-B3D7-325EA7C59802}"/>
            </a:ext>
          </a:extLst>
        </xdr:cNvPr>
        <xdr:cNvPicPr>
          <a:picLocks noChangeAspect="1"/>
        </xdr:cNvPicPr>
      </xdr:nvPicPr>
      <xdr:blipFill>
        <a:blip xmlns:r="http://schemas.openxmlformats.org/officeDocument/2006/relationships" r:embed="rId13"/>
        <a:stretch>
          <a:fillRect/>
        </a:stretch>
      </xdr:blipFill>
      <xdr:spPr>
        <a:xfrm>
          <a:off x="7279822" y="66035463"/>
          <a:ext cx="4153480" cy="552527"/>
        </a:xfrm>
        <a:prstGeom prst="rect">
          <a:avLst/>
        </a:prstGeom>
      </xdr:spPr>
    </xdr:pic>
    <xdr:clientData/>
  </xdr:twoCellAnchor>
  <xdr:twoCellAnchor editAs="oneCell">
    <xdr:from>
      <xdr:col>12</xdr:col>
      <xdr:colOff>0</xdr:colOff>
      <xdr:row>329</xdr:row>
      <xdr:rowOff>0</xdr:rowOff>
    </xdr:from>
    <xdr:to>
      <xdr:col>16</xdr:col>
      <xdr:colOff>403155</xdr:colOff>
      <xdr:row>331</xdr:row>
      <xdr:rowOff>77629</xdr:rowOff>
    </xdr:to>
    <xdr:pic>
      <xdr:nvPicPr>
        <xdr:cNvPr id="15" name="Рисунок 14">
          <a:extLst>
            <a:ext uri="{FF2B5EF4-FFF2-40B4-BE49-F238E27FC236}">
              <a16:creationId xmlns:a16="http://schemas.microsoft.com/office/drawing/2014/main" id="{F49E38DE-CD05-4272-ABF6-B57B42AEBB45}"/>
            </a:ext>
          </a:extLst>
        </xdr:cNvPr>
        <xdr:cNvPicPr>
          <a:picLocks noChangeAspect="1"/>
        </xdr:cNvPicPr>
      </xdr:nvPicPr>
      <xdr:blipFill>
        <a:blip xmlns:r="http://schemas.openxmlformats.org/officeDocument/2006/relationships" r:embed="rId14"/>
        <a:stretch>
          <a:fillRect/>
        </a:stretch>
      </xdr:blipFill>
      <xdr:spPr>
        <a:xfrm>
          <a:off x="7388679" y="66947143"/>
          <a:ext cx="2743583" cy="485843"/>
        </a:xfrm>
        <a:prstGeom prst="rect">
          <a:avLst/>
        </a:prstGeom>
      </xdr:spPr>
    </xdr:pic>
    <xdr:clientData/>
  </xdr:twoCellAnchor>
  <xdr:twoCellAnchor editAs="oneCell">
    <xdr:from>
      <xdr:col>12</xdr:col>
      <xdr:colOff>122465</xdr:colOff>
      <xdr:row>332</xdr:row>
      <xdr:rowOff>27214</xdr:rowOff>
    </xdr:from>
    <xdr:to>
      <xdr:col>16</xdr:col>
      <xdr:colOff>135040</xdr:colOff>
      <xdr:row>334</xdr:row>
      <xdr:rowOff>162000</xdr:rowOff>
    </xdr:to>
    <xdr:pic>
      <xdr:nvPicPr>
        <xdr:cNvPr id="16" name="Рисунок 15">
          <a:extLst>
            <a:ext uri="{FF2B5EF4-FFF2-40B4-BE49-F238E27FC236}">
              <a16:creationId xmlns:a16="http://schemas.microsoft.com/office/drawing/2014/main" id="{DFCA4764-12DE-4C63-A5F5-F0AE9954C250}"/>
            </a:ext>
          </a:extLst>
        </xdr:cNvPr>
        <xdr:cNvPicPr>
          <a:picLocks noChangeAspect="1"/>
        </xdr:cNvPicPr>
      </xdr:nvPicPr>
      <xdr:blipFill>
        <a:blip xmlns:r="http://schemas.openxmlformats.org/officeDocument/2006/relationships" r:embed="rId15"/>
        <a:stretch>
          <a:fillRect/>
        </a:stretch>
      </xdr:blipFill>
      <xdr:spPr>
        <a:xfrm>
          <a:off x="7511144" y="67586678"/>
          <a:ext cx="2353003" cy="543001"/>
        </a:xfrm>
        <a:prstGeom prst="rect">
          <a:avLst/>
        </a:prstGeom>
      </xdr:spPr>
    </xdr:pic>
    <xdr:clientData/>
  </xdr:twoCellAnchor>
  <xdr:twoCellAnchor editAs="oneCell">
    <xdr:from>
      <xdr:col>12</xdr:col>
      <xdr:colOff>40823</xdr:colOff>
      <xdr:row>335</xdr:row>
      <xdr:rowOff>68035</xdr:rowOff>
    </xdr:from>
    <xdr:to>
      <xdr:col>17</xdr:col>
      <xdr:colOff>554293</xdr:colOff>
      <xdr:row>337</xdr:row>
      <xdr:rowOff>88506</xdr:rowOff>
    </xdr:to>
    <xdr:pic>
      <xdr:nvPicPr>
        <xdr:cNvPr id="17" name="Рисунок 16">
          <a:extLst>
            <a:ext uri="{FF2B5EF4-FFF2-40B4-BE49-F238E27FC236}">
              <a16:creationId xmlns:a16="http://schemas.microsoft.com/office/drawing/2014/main" id="{6FEDC6ED-8AF2-4229-B86B-A2CC8B6CB102}"/>
            </a:ext>
          </a:extLst>
        </xdr:cNvPr>
        <xdr:cNvPicPr>
          <a:picLocks noChangeAspect="1"/>
        </xdr:cNvPicPr>
      </xdr:nvPicPr>
      <xdr:blipFill>
        <a:blip xmlns:r="http://schemas.openxmlformats.org/officeDocument/2006/relationships" r:embed="rId16"/>
        <a:stretch>
          <a:fillRect/>
        </a:stretch>
      </xdr:blipFill>
      <xdr:spPr>
        <a:xfrm>
          <a:off x="7429502" y="68239821"/>
          <a:ext cx="3439005" cy="428685"/>
        </a:xfrm>
        <a:prstGeom prst="rect">
          <a:avLst/>
        </a:prstGeom>
      </xdr:spPr>
    </xdr:pic>
    <xdr:clientData/>
  </xdr:twoCellAnchor>
  <xdr:twoCellAnchor editAs="oneCell">
    <xdr:from>
      <xdr:col>11</xdr:col>
      <xdr:colOff>13608</xdr:colOff>
      <xdr:row>360</xdr:row>
      <xdr:rowOff>13607</xdr:rowOff>
    </xdr:from>
    <xdr:to>
      <xdr:col>13</xdr:col>
      <xdr:colOff>472395</xdr:colOff>
      <xdr:row>362</xdr:row>
      <xdr:rowOff>91235</xdr:rowOff>
    </xdr:to>
    <xdr:pic>
      <xdr:nvPicPr>
        <xdr:cNvPr id="18" name="Рисунок 17">
          <a:extLst>
            <a:ext uri="{FF2B5EF4-FFF2-40B4-BE49-F238E27FC236}">
              <a16:creationId xmlns:a16="http://schemas.microsoft.com/office/drawing/2014/main" id="{F50D8913-5246-44DA-B6F0-437C6317C3DD}"/>
            </a:ext>
          </a:extLst>
        </xdr:cNvPr>
        <xdr:cNvPicPr>
          <a:picLocks noChangeAspect="1"/>
        </xdr:cNvPicPr>
      </xdr:nvPicPr>
      <xdr:blipFill>
        <a:blip xmlns:r="http://schemas.openxmlformats.org/officeDocument/2006/relationships" r:embed="rId17"/>
        <a:stretch>
          <a:fillRect/>
        </a:stretch>
      </xdr:blipFill>
      <xdr:spPr>
        <a:xfrm>
          <a:off x="6817179" y="73288071"/>
          <a:ext cx="1629002" cy="485843"/>
        </a:xfrm>
        <a:prstGeom prst="rect">
          <a:avLst/>
        </a:prstGeom>
      </xdr:spPr>
    </xdr:pic>
    <xdr:clientData/>
  </xdr:twoCellAnchor>
  <xdr:twoCellAnchor editAs="oneCell">
    <xdr:from>
      <xdr:col>7</xdr:col>
      <xdr:colOff>81643</xdr:colOff>
      <xdr:row>364</xdr:row>
      <xdr:rowOff>40822</xdr:rowOff>
    </xdr:from>
    <xdr:to>
      <xdr:col>12</xdr:col>
      <xdr:colOff>242638</xdr:colOff>
      <xdr:row>367</xdr:row>
      <xdr:rowOff>66765</xdr:rowOff>
    </xdr:to>
    <xdr:pic>
      <xdr:nvPicPr>
        <xdr:cNvPr id="19" name="Рисунок 18">
          <a:extLst>
            <a:ext uri="{FF2B5EF4-FFF2-40B4-BE49-F238E27FC236}">
              <a16:creationId xmlns:a16="http://schemas.microsoft.com/office/drawing/2014/main" id="{CF7B891B-6E71-4328-B4D2-29C556E515E8}"/>
            </a:ext>
          </a:extLst>
        </xdr:cNvPr>
        <xdr:cNvPicPr>
          <a:picLocks noChangeAspect="1"/>
        </xdr:cNvPicPr>
      </xdr:nvPicPr>
      <xdr:blipFill>
        <a:blip xmlns:r="http://schemas.openxmlformats.org/officeDocument/2006/relationships" r:embed="rId18"/>
        <a:stretch>
          <a:fillRect/>
        </a:stretch>
      </xdr:blipFill>
      <xdr:spPr>
        <a:xfrm>
          <a:off x="4544786" y="74131715"/>
          <a:ext cx="3086531" cy="638264"/>
        </a:xfrm>
        <a:prstGeom prst="rect">
          <a:avLst/>
        </a:prstGeom>
      </xdr:spPr>
    </xdr:pic>
    <xdr:clientData/>
  </xdr:twoCellAnchor>
  <xdr:twoCellAnchor editAs="oneCell">
    <xdr:from>
      <xdr:col>10</xdr:col>
      <xdr:colOff>476250</xdr:colOff>
      <xdr:row>342</xdr:row>
      <xdr:rowOff>136071</xdr:rowOff>
    </xdr:from>
    <xdr:to>
      <xdr:col>20</xdr:col>
      <xdr:colOff>331449</xdr:colOff>
      <xdr:row>352</xdr:row>
      <xdr:rowOff>162213</xdr:rowOff>
    </xdr:to>
    <xdr:pic>
      <xdr:nvPicPr>
        <xdr:cNvPr id="20" name="Рисунок 19">
          <a:extLst>
            <a:ext uri="{FF2B5EF4-FFF2-40B4-BE49-F238E27FC236}">
              <a16:creationId xmlns:a16="http://schemas.microsoft.com/office/drawing/2014/main" id="{9299BBF2-2B2A-49FE-9061-79FE4C68CE4C}"/>
            </a:ext>
          </a:extLst>
        </xdr:cNvPr>
        <xdr:cNvPicPr>
          <a:picLocks noChangeAspect="1"/>
        </xdr:cNvPicPr>
      </xdr:nvPicPr>
      <xdr:blipFill>
        <a:blip xmlns:r="http://schemas.openxmlformats.org/officeDocument/2006/relationships" r:embed="rId19"/>
        <a:stretch>
          <a:fillRect/>
        </a:stretch>
      </xdr:blipFill>
      <xdr:spPr>
        <a:xfrm>
          <a:off x="6694714" y="69736607"/>
          <a:ext cx="5706271" cy="2067213"/>
        </a:xfrm>
        <a:prstGeom prst="rect">
          <a:avLst/>
        </a:prstGeom>
      </xdr:spPr>
    </xdr:pic>
    <xdr:clientData/>
  </xdr:twoCellAnchor>
  <xdr:twoCellAnchor editAs="oneCell">
    <xdr:from>
      <xdr:col>13</xdr:col>
      <xdr:colOff>0</xdr:colOff>
      <xdr:row>386</xdr:row>
      <xdr:rowOff>0</xdr:rowOff>
    </xdr:from>
    <xdr:to>
      <xdr:col>15</xdr:col>
      <xdr:colOff>373051</xdr:colOff>
      <xdr:row>388</xdr:row>
      <xdr:rowOff>49050</xdr:rowOff>
    </xdr:to>
    <xdr:pic>
      <xdr:nvPicPr>
        <xdr:cNvPr id="21" name="Рисунок 20">
          <a:extLst>
            <a:ext uri="{FF2B5EF4-FFF2-40B4-BE49-F238E27FC236}">
              <a16:creationId xmlns:a16="http://schemas.microsoft.com/office/drawing/2014/main" id="{A33C5ABE-2ED4-4526-A789-3F49696E2CE7}"/>
            </a:ext>
          </a:extLst>
        </xdr:cNvPr>
        <xdr:cNvPicPr>
          <a:picLocks noChangeAspect="1"/>
        </xdr:cNvPicPr>
      </xdr:nvPicPr>
      <xdr:blipFill>
        <a:blip xmlns:r="http://schemas.openxmlformats.org/officeDocument/2006/relationships" r:embed="rId20"/>
        <a:stretch>
          <a:fillRect/>
        </a:stretch>
      </xdr:blipFill>
      <xdr:spPr>
        <a:xfrm>
          <a:off x="7973786" y="78581250"/>
          <a:ext cx="1543265" cy="457264"/>
        </a:xfrm>
        <a:prstGeom prst="rect">
          <a:avLst/>
        </a:prstGeom>
      </xdr:spPr>
    </xdr:pic>
    <xdr:clientData/>
  </xdr:twoCellAnchor>
  <xdr:twoCellAnchor editAs="oneCell">
    <xdr:from>
      <xdr:col>13</xdr:col>
      <xdr:colOff>40822</xdr:colOff>
      <xdr:row>388</xdr:row>
      <xdr:rowOff>163286</xdr:rowOff>
    </xdr:from>
    <xdr:to>
      <xdr:col>18</xdr:col>
      <xdr:colOff>506660</xdr:colOff>
      <xdr:row>390</xdr:row>
      <xdr:rowOff>193282</xdr:rowOff>
    </xdr:to>
    <xdr:pic>
      <xdr:nvPicPr>
        <xdr:cNvPr id="22" name="Рисунок 21">
          <a:extLst>
            <a:ext uri="{FF2B5EF4-FFF2-40B4-BE49-F238E27FC236}">
              <a16:creationId xmlns:a16="http://schemas.microsoft.com/office/drawing/2014/main" id="{31A4E7D5-29B5-43C6-9552-19F8AE703D14}"/>
            </a:ext>
          </a:extLst>
        </xdr:cNvPr>
        <xdr:cNvPicPr>
          <a:picLocks noChangeAspect="1"/>
        </xdr:cNvPicPr>
      </xdr:nvPicPr>
      <xdr:blipFill>
        <a:blip xmlns:r="http://schemas.openxmlformats.org/officeDocument/2006/relationships" r:embed="rId21"/>
        <a:stretch>
          <a:fillRect/>
        </a:stretch>
      </xdr:blipFill>
      <xdr:spPr>
        <a:xfrm>
          <a:off x="8014608" y="79152750"/>
          <a:ext cx="3391373" cy="438211"/>
        </a:xfrm>
        <a:prstGeom prst="rect">
          <a:avLst/>
        </a:prstGeom>
      </xdr:spPr>
    </xdr:pic>
    <xdr:clientData/>
  </xdr:twoCellAnchor>
  <xdr:twoCellAnchor editAs="oneCell">
    <xdr:from>
      <xdr:col>12</xdr:col>
      <xdr:colOff>571500</xdr:colOff>
      <xdr:row>391</xdr:row>
      <xdr:rowOff>95250</xdr:rowOff>
    </xdr:from>
    <xdr:to>
      <xdr:col>18</xdr:col>
      <xdr:colOff>366494</xdr:colOff>
      <xdr:row>393</xdr:row>
      <xdr:rowOff>106194</xdr:rowOff>
    </xdr:to>
    <xdr:pic>
      <xdr:nvPicPr>
        <xdr:cNvPr id="23" name="Рисунок 22">
          <a:extLst>
            <a:ext uri="{FF2B5EF4-FFF2-40B4-BE49-F238E27FC236}">
              <a16:creationId xmlns:a16="http://schemas.microsoft.com/office/drawing/2014/main" id="{9962DA28-6C4A-43EE-B555-73B907235A4E}"/>
            </a:ext>
          </a:extLst>
        </xdr:cNvPr>
        <xdr:cNvPicPr>
          <a:picLocks noChangeAspect="1"/>
        </xdr:cNvPicPr>
      </xdr:nvPicPr>
      <xdr:blipFill>
        <a:blip xmlns:r="http://schemas.openxmlformats.org/officeDocument/2006/relationships" r:embed="rId22"/>
        <a:stretch>
          <a:fillRect/>
        </a:stretch>
      </xdr:blipFill>
      <xdr:spPr>
        <a:xfrm>
          <a:off x="7960179" y="79697036"/>
          <a:ext cx="3305636" cy="419158"/>
        </a:xfrm>
        <a:prstGeom prst="rect">
          <a:avLst/>
        </a:prstGeom>
      </xdr:spPr>
    </xdr:pic>
    <xdr:clientData/>
  </xdr:twoCellAnchor>
  <xdr:twoCellAnchor editAs="oneCell">
    <xdr:from>
      <xdr:col>15</xdr:col>
      <xdr:colOff>462643</xdr:colOff>
      <xdr:row>383</xdr:row>
      <xdr:rowOff>190500</xdr:rowOff>
    </xdr:from>
    <xdr:to>
      <xdr:col>22</xdr:col>
      <xdr:colOff>396530</xdr:colOff>
      <xdr:row>387</xdr:row>
      <xdr:rowOff>40915</xdr:rowOff>
    </xdr:to>
    <xdr:pic>
      <xdr:nvPicPr>
        <xdr:cNvPr id="24" name="Рисунок 23">
          <a:extLst>
            <a:ext uri="{FF2B5EF4-FFF2-40B4-BE49-F238E27FC236}">
              <a16:creationId xmlns:a16="http://schemas.microsoft.com/office/drawing/2014/main" id="{26C10752-C4B4-41C2-BAE4-0CC2ED37E0A5}"/>
            </a:ext>
          </a:extLst>
        </xdr:cNvPr>
        <xdr:cNvPicPr>
          <a:picLocks noChangeAspect="1"/>
        </xdr:cNvPicPr>
      </xdr:nvPicPr>
      <xdr:blipFill>
        <a:blip xmlns:r="http://schemas.openxmlformats.org/officeDocument/2006/relationships" r:embed="rId23"/>
        <a:stretch>
          <a:fillRect/>
        </a:stretch>
      </xdr:blipFill>
      <xdr:spPr>
        <a:xfrm>
          <a:off x="9606643" y="78159429"/>
          <a:ext cx="4029637" cy="666843"/>
        </a:xfrm>
        <a:prstGeom prst="rect">
          <a:avLst/>
        </a:prstGeom>
      </xdr:spPr>
    </xdr:pic>
    <xdr:clientData/>
  </xdr:twoCellAnchor>
  <xdr:twoCellAnchor editAs="oneCell">
    <xdr:from>
      <xdr:col>10</xdr:col>
      <xdr:colOff>489857</xdr:colOff>
      <xdr:row>398</xdr:row>
      <xdr:rowOff>108857</xdr:rowOff>
    </xdr:from>
    <xdr:to>
      <xdr:col>17</xdr:col>
      <xdr:colOff>423744</xdr:colOff>
      <xdr:row>407</xdr:row>
      <xdr:rowOff>167633</xdr:rowOff>
    </xdr:to>
    <xdr:pic>
      <xdr:nvPicPr>
        <xdr:cNvPr id="25" name="Рисунок 24">
          <a:extLst>
            <a:ext uri="{FF2B5EF4-FFF2-40B4-BE49-F238E27FC236}">
              <a16:creationId xmlns:a16="http://schemas.microsoft.com/office/drawing/2014/main" id="{979537AA-B950-4C85-98B0-61E9DE1EECA3}"/>
            </a:ext>
          </a:extLst>
        </xdr:cNvPr>
        <xdr:cNvPicPr>
          <a:picLocks noChangeAspect="1"/>
        </xdr:cNvPicPr>
      </xdr:nvPicPr>
      <xdr:blipFill>
        <a:blip xmlns:r="http://schemas.openxmlformats.org/officeDocument/2006/relationships" r:embed="rId24"/>
        <a:stretch>
          <a:fillRect/>
        </a:stretch>
      </xdr:blipFill>
      <xdr:spPr>
        <a:xfrm>
          <a:off x="6708321" y="81139393"/>
          <a:ext cx="4029637" cy="1895740"/>
        </a:xfrm>
        <a:prstGeom prst="rect">
          <a:avLst/>
        </a:prstGeom>
      </xdr:spPr>
    </xdr:pic>
    <xdr:clientData/>
  </xdr:twoCellAnchor>
  <xdr:twoCellAnchor editAs="oneCell">
    <xdr:from>
      <xdr:col>12</xdr:col>
      <xdr:colOff>0</xdr:colOff>
      <xdr:row>422</xdr:row>
      <xdr:rowOff>0</xdr:rowOff>
    </xdr:from>
    <xdr:to>
      <xdr:col>17</xdr:col>
      <xdr:colOff>322943</xdr:colOff>
      <xdr:row>423</xdr:row>
      <xdr:rowOff>195999</xdr:rowOff>
    </xdr:to>
    <xdr:pic>
      <xdr:nvPicPr>
        <xdr:cNvPr id="26" name="Рисунок 25">
          <a:extLst>
            <a:ext uri="{FF2B5EF4-FFF2-40B4-BE49-F238E27FC236}">
              <a16:creationId xmlns:a16="http://schemas.microsoft.com/office/drawing/2014/main" id="{4CAE44E3-CCEF-40FC-9A9A-81B717931F68}"/>
            </a:ext>
          </a:extLst>
        </xdr:cNvPr>
        <xdr:cNvPicPr>
          <a:picLocks noChangeAspect="1"/>
        </xdr:cNvPicPr>
      </xdr:nvPicPr>
      <xdr:blipFill>
        <a:blip xmlns:r="http://schemas.openxmlformats.org/officeDocument/2006/relationships" r:embed="rId25"/>
        <a:stretch>
          <a:fillRect/>
        </a:stretch>
      </xdr:blipFill>
      <xdr:spPr>
        <a:xfrm>
          <a:off x="7388679" y="85929107"/>
          <a:ext cx="3248478" cy="400106"/>
        </a:xfrm>
        <a:prstGeom prst="rect">
          <a:avLst/>
        </a:prstGeom>
      </xdr:spPr>
    </xdr:pic>
    <xdr:clientData/>
  </xdr:twoCellAnchor>
  <xdr:twoCellAnchor editAs="oneCell">
    <xdr:from>
      <xdr:col>12</xdr:col>
      <xdr:colOff>0</xdr:colOff>
      <xdr:row>423</xdr:row>
      <xdr:rowOff>190501</xdr:rowOff>
    </xdr:from>
    <xdr:to>
      <xdr:col>15</xdr:col>
      <xdr:colOff>302366</xdr:colOff>
      <xdr:row>426</xdr:row>
      <xdr:rowOff>178338</xdr:rowOff>
    </xdr:to>
    <xdr:pic>
      <xdr:nvPicPr>
        <xdr:cNvPr id="27" name="Рисунок 26">
          <a:extLst>
            <a:ext uri="{FF2B5EF4-FFF2-40B4-BE49-F238E27FC236}">
              <a16:creationId xmlns:a16="http://schemas.microsoft.com/office/drawing/2014/main" id="{CE320752-B60F-4332-B542-687A8D16D789}"/>
            </a:ext>
          </a:extLst>
        </xdr:cNvPr>
        <xdr:cNvPicPr>
          <a:picLocks noChangeAspect="1"/>
        </xdr:cNvPicPr>
      </xdr:nvPicPr>
      <xdr:blipFill>
        <a:blip xmlns:r="http://schemas.openxmlformats.org/officeDocument/2006/relationships" r:embed="rId26"/>
        <a:stretch>
          <a:fillRect/>
        </a:stretch>
      </xdr:blipFill>
      <xdr:spPr>
        <a:xfrm>
          <a:off x="7388679" y="86323715"/>
          <a:ext cx="2057687" cy="600159"/>
        </a:xfrm>
        <a:prstGeom prst="rect">
          <a:avLst/>
        </a:prstGeom>
      </xdr:spPr>
    </xdr:pic>
    <xdr:clientData/>
  </xdr:twoCellAnchor>
  <xdr:twoCellAnchor editAs="oneCell">
    <xdr:from>
      <xdr:col>12</xdr:col>
      <xdr:colOff>108857</xdr:colOff>
      <xdr:row>427</xdr:row>
      <xdr:rowOff>81642</xdr:rowOff>
    </xdr:from>
    <xdr:to>
      <xdr:col>14</xdr:col>
      <xdr:colOff>300908</xdr:colOff>
      <xdr:row>429</xdr:row>
      <xdr:rowOff>16376</xdr:rowOff>
    </xdr:to>
    <xdr:pic>
      <xdr:nvPicPr>
        <xdr:cNvPr id="28" name="Рисунок 27">
          <a:extLst>
            <a:ext uri="{FF2B5EF4-FFF2-40B4-BE49-F238E27FC236}">
              <a16:creationId xmlns:a16="http://schemas.microsoft.com/office/drawing/2014/main" id="{C7D15F01-8E1B-4F80-8FCF-70E1C9B50E16}"/>
            </a:ext>
          </a:extLst>
        </xdr:cNvPr>
        <xdr:cNvPicPr>
          <a:picLocks noChangeAspect="1"/>
        </xdr:cNvPicPr>
      </xdr:nvPicPr>
      <xdr:blipFill>
        <a:blip xmlns:r="http://schemas.openxmlformats.org/officeDocument/2006/relationships" r:embed="rId27"/>
        <a:stretch>
          <a:fillRect/>
        </a:stretch>
      </xdr:blipFill>
      <xdr:spPr>
        <a:xfrm>
          <a:off x="7497536" y="87031285"/>
          <a:ext cx="1362265" cy="342948"/>
        </a:xfrm>
        <a:prstGeom prst="rect">
          <a:avLst/>
        </a:prstGeom>
      </xdr:spPr>
    </xdr:pic>
    <xdr:clientData/>
  </xdr:twoCellAnchor>
  <xdr:twoCellAnchor editAs="oneCell">
    <xdr:from>
      <xdr:col>5</xdr:col>
      <xdr:colOff>217714</xdr:colOff>
      <xdr:row>462</xdr:row>
      <xdr:rowOff>13607</xdr:rowOff>
    </xdr:from>
    <xdr:to>
      <xdr:col>8</xdr:col>
      <xdr:colOff>567712</xdr:colOff>
      <xdr:row>463</xdr:row>
      <xdr:rowOff>190553</xdr:rowOff>
    </xdr:to>
    <xdr:pic>
      <xdr:nvPicPr>
        <xdr:cNvPr id="29" name="Рисунок 28">
          <a:extLst>
            <a:ext uri="{FF2B5EF4-FFF2-40B4-BE49-F238E27FC236}">
              <a16:creationId xmlns:a16="http://schemas.microsoft.com/office/drawing/2014/main" id="{9A917E0C-C2C2-4E8E-BF62-874237FA1EE9}"/>
            </a:ext>
          </a:extLst>
        </xdr:cNvPr>
        <xdr:cNvPicPr>
          <a:picLocks noChangeAspect="1"/>
        </xdr:cNvPicPr>
      </xdr:nvPicPr>
      <xdr:blipFill>
        <a:blip xmlns:r="http://schemas.openxmlformats.org/officeDocument/2006/relationships" r:embed="rId28"/>
        <a:stretch>
          <a:fillRect/>
        </a:stretch>
      </xdr:blipFill>
      <xdr:spPr>
        <a:xfrm>
          <a:off x="3510643" y="94107000"/>
          <a:ext cx="2105319" cy="381053"/>
        </a:xfrm>
        <a:prstGeom prst="rect">
          <a:avLst/>
        </a:prstGeom>
      </xdr:spPr>
    </xdr:pic>
    <xdr:clientData/>
  </xdr:twoCellAnchor>
  <xdr:twoCellAnchor editAs="oneCell">
    <xdr:from>
      <xdr:col>7</xdr:col>
      <xdr:colOff>54428</xdr:colOff>
      <xdr:row>481</xdr:row>
      <xdr:rowOff>176893</xdr:rowOff>
    </xdr:from>
    <xdr:to>
      <xdr:col>10</xdr:col>
      <xdr:colOff>404426</xdr:colOff>
      <xdr:row>483</xdr:row>
      <xdr:rowOff>149732</xdr:rowOff>
    </xdr:to>
    <xdr:pic>
      <xdr:nvPicPr>
        <xdr:cNvPr id="30" name="Рисунок 29">
          <a:extLst>
            <a:ext uri="{FF2B5EF4-FFF2-40B4-BE49-F238E27FC236}">
              <a16:creationId xmlns:a16="http://schemas.microsoft.com/office/drawing/2014/main" id="{AE4A3CD6-C462-43DB-9C4D-553479372FAB}"/>
            </a:ext>
          </a:extLst>
        </xdr:cNvPr>
        <xdr:cNvPicPr>
          <a:picLocks noChangeAspect="1"/>
        </xdr:cNvPicPr>
      </xdr:nvPicPr>
      <xdr:blipFill>
        <a:blip xmlns:r="http://schemas.openxmlformats.org/officeDocument/2006/relationships" r:embed="rId28"/>
        <a:stretch>
          <a:fillRect/>
        </a:stretch>
      </xdr:blipFill>
      <xdr:spPr>
        <a:xfrm>
          <a:off x="4517571" y="98148322"/>
          <a:ext cx="2105319" cy="381053"/>
        </a:xfrm>
        <a:prstGeom prst="rect">
          <a:avLst/>
        </a:prstGeom>
      </xdr:spPr>
    </xdr:pic>
    <xdr:clientData/>
  </xdr:twoCellAnchor>
  <xdr:twoCellAnchor editAs="oneCell">
    <xdr:from>
      <xdr:col>8</xdr:col>
      <xdr:colOff>0</xdr:colOff>
      <xdr:row>499</xdr:row>
      <xdr:rowOff>0</xdr:rowOff>
    </xdr:from>
    <xdr:to>
      <xdr:col>11</xdr:col>
      <xdr:colOff>349998</xdr:colOff>
      <xdr:row>500</xdr:row>
      <xdr:rowOff>176946</xdr:rowOff>
    </xdr:to>
    <xdr:pic>
      <xdr:nvPicPr>
        <xdr:cNvPr id="31" name="Рисунок 30">
          <a:extLst>
            <a:ext uri="{FF2B5EF4-FFF2-40B4-BE49-F238E27FC236}">
              <a16:creationId xmlns:a16="http://schemas.microsoft.com/office/drawing/2014/main" id="{8707971A-64A7-4BF6-8A38-6A78E63CF799}"/>
            </a:ext>
          </a:extLst>
        </xdr:cNvPr>
        <xdr:cNvPicPr>
          <a:picLocks noChangeAspect="1"/>
        </xdr:cNvPicPr>
      </xdr:nvPicPr>
      <xdr:blipFill>
        <a:blip xmlns:r="http://schemas.openxmlformats.org/officeDocument/2006/relationships" r:embed="rId28"/>
        <a:stretch>
          <a:fillRect/>
        </a:stretch>
      </xdr:blipFill>
      <xdr:spPr>
        <a:xfrm>
          <a:off x="5048250" y="101645357"/>
          <a:ext cx="2105319" cy="381053"/>
        </a:xfrm>
        <a:prstGeom prst="rect">
          <a:avLst/>
        </a:prstGeom>
      </xdr:spPr>
    </xdr:pic>
    <xdr:clientData/>
  </xdr:twoCellAnchor>
  <xdr:twoCellAnchor editAs="oneCell">
    <xdr:from>
      <xdr:col>8</xdr:col>
      <xdr:colOff>462643</xdr:colOff>
      <xdr:row>502</xdr:row>
      <xdr:rowOff>163285</xdr:rowOff>
    </xdr:from>
    <xdr:to>
      <xdr:col>11</xdr:col>
      <xdr:colOff>231535</xdr:colOff>
      <xdr:row>505</xdr:row>
      <xdr:rowOff>55859</xdr:rowOff>
    </xdr:to>
    <xdr:pic>
      <xdr:nvPicPr>
        <xdr:cNvPr id="32" name="Рисунок 31">
          <a:extLst>
            <a:ext uri="{FF2B5EF4-FFF2-40B4-BE49-F238E27FC236}">
              <a16:creationId xmlns:a16="http://schemas.microsoft.com/office/drawing/2014/main" id="{48EC1F1A-587E-41A7-ABA8-98756064EFB4}"/>
            </a:ext>
          </a:extLst>
        </xdr:cNvPr>
        <xdr:cNvPicPr>
          <a:picLocks noChangeAspect="1"/>
        </xdr:cNvPicPr>
      </xdr:nvPicPr>
      <xdr:blipFill>
        <a:blip xmlns:r="http://schemas.openxmlformats.org/officeDocument/2006/relationships" r:embed="rId29"/>
        <a:stretch>
          <a:fillRect/>
        </a:stretch>
      </xdr:blipFill>
      <xdr:spPr>
        <a:xfrm>
          <a:off x="5510893" y="102420964"/>
          <a:ext cx="1524213" cy="504895"/>
        </a:xfrm>
        <a:prstGeom prst="rect">
          <a:avLst/>
        </a:prstGeom>
      </xdr:spPr>
    </xdr:pic>
    <xdr:clientData/>
  </xdr:twoCellAnchor>
  <xdr:twoCellAnchor editAs="oneCell">
    <xdr:from>
      <xdr:col>9</xdr:col>
      <xdr:colOff>244929</xdr:colOff>
      <xdr:row>601</xdr:row>
      <xdr:rowOff>27214</xdr:rowOff>
    </xdr:from>
    <xdr:to>
      <xdr:col>17</xdr:col>
      <xdr:colOff>479658</xdr:colOff>
      <xdr:row>609</xdr:row>
      <xdr:rowOff>99570</xdr:rowOff>
    </xdr:to>
    <xdr:pic>
      <xdr:nvPicPr>
        <xdr:cNvPr id="33" name="Рисунок 32">
          <a:extLst>
            <a:ext uri="{FF2B5EF4-FFF2-40B4-BE49-F238E27FC236}">
              <a16:creationId xmlns:a16="http://schemas.microsoft.com/office/drawing/2014/main" id="{D6D639B0-B99F-43EC-9F31-DA42752E6C51}"/>
            </a:ext>
          </a:extLst>
        </xdr:cNvPr>
        <xdr:cNvPicPr>
          <a:picLocks noChangeAspect="1"/>
        </xdr:cNvPicPr>
      </xdr:nvPicPr>
      <xdr:blipFill>
        <a:blip xmlns:r="http://schemas.openxmlformats.org/officeDocument/2006/relationships" r:embed="rId30"/>
        <a:stretch>
          <a:fillRect/>
        </a:stretch>
      </xdr:blipFill>
      <xdr:spPr>
        <a:xfrm>
          <a:off x="5878286" y="122491500"/>
          <a:ext cx="4915586" cy="1705213"/>
        </a:xfrm>
        <a:prstGeom prst="rect">
          <a:avLst/>
        </a:prstGeom>
      </xdr:spPr>
    </xdr:pic>
    <xdr:clientData/>
  </xdr:twoCellAnchor>
  <xdr:twoCellAnchor editAs="oneCell">
    <xdr:from>
      <xdr:col>8</xdr:col>
      <xdr:colOff>176893</xdr:colOff>
      <xdr:row>585</xdr:row>
      <xdr:rowOff>95251</xdr:rowOff>
    </xdr:from>
    <xdr:to>
      <xdr:col>11</xdr:col>
      <xdr:colOff>279206</xdr:colOff>
      <xdr:row>587</xdr:row>
      <xdr:rowOff>29984</xdr:rowOff>
    </xdr:to>
    <xdr:pic>
      <xdr:nvPicPr>
        <xdr:cNvPr id="34" name="Рисунок 33">
          <a:extLst>
            <a:ext uri="{FF2B5EF4-FFF2-40B4-BE49-F238E27FC236}">
              <a16:creationId xmlns:a16="http://schemas.microsoft.com/office/drawing/2014/main" id="{F87E6119-1908-4683-BF54-92CFC6AE103A}"/>
            </a:ext>
          </a:extLst>
        </xdr:cNvPr>
        <xdr:cNvPicPr>
          <a:picLocks noChangeAspect="1"/>
        </xdr:cNvPicPr>
      </xdr:nvPicPr>
      <xdr:blipFill>
        <a:blip xmlns:r="http://schemas.openxmlformats.org/officeDocument/2006/relationships" r:embed="rId31"/>
        <a:stretch>
          <a:fillRect/>
        </a:stretch>
      </xdr:blipFill>
      <xdr:spPr>
        <a:xfrm>
          <a:off x="5225143" y="119293822"/>
          <a:ext cx="1857634" cy="342948"/>
        </a:xfrm>
        <a:prstGeom prst="rect">
          <a:avLst/>
        </a:prstGeom>
      </xdr:spPr>
    </xdr:pic>
    <xdr:clientData/>
  </xdr:twoCellAnchor>
  <xdr:twoCellAnchor editAs="oneCell">
    <xdr:from>
      <xdr:col>8</xdr:col>
      <xdr:colOff>258536</xdr:colOff>
      <xdr:row>641</xdr:row>
      <xdr:rowOff>190501</xdr:rowOff>
    </xdr:from>
    <xdr:to>
      <xdr:col>12</xdr:col>
      <xdr:colOff>52005</xdr:colOff>
      <xdr:row>645</xdr:row>
      <xdr:rowOff>2810</xdr:rowOff>
    </xdr:to>
    <xdr:pic>
      <xdr:nvPicPr>
        <xdr:cNvPr id="35" name="Рисунок 34">
          <a:extLst>
            <a:ext uri="{FF2B5EF4-FFF2-40B4-BE49-F238E27FC236}">
              <a16:creationId xmlns:a16="http://schemas.microsoft.com/office/drawing/2014/main" id="{C968C17A-659B-40BB-A8D5-CAA0E09838E9}"/>
            </a:ext>
          </a:extLst>
        </xdr:cNvPr>
        <xdr:cNvPicPr>
          <a:picLocks noChangeAspect="1"/>
        </xdr:cNvPicPr>
      </xdr:nvPicPr>
      <xdr:blipFill>
        <a:blip xmlns:r="http://schemas.openxmlformats.org/officeDocument/2006/relationships" r:embed="rId32"/>
        <a:stretch>
          <a:fillRect/>
        </a:stretch>
      </xdr:blipFill>
      <xdr:spPr>
        <a:xfrm>
          <a:off x="5306786" y="130819072"/>
          <a:ext cx="2133898" cy="628738"/>
        </a:xfrm>
        <a:prstGeom prst="rect">
          <a:avLst/>
        </a:prstGeom>
      </xdr:spPr>
    </xdr:pic>
    <xdr:clientData/>
  </xdr:twoCellAnchor>
  <xdr:twoCellAnchor editAs="oneCell">
    <xdr:from>
      <xdr:col>7</xdr:col>
      <xdr:colOff>299357</xdr:colOff>
      <xdr:row>631</xdr:row>
      <xdr:rowOff>68036</xdr:rowOff>
    </xdr:from>
    <xdr:to>
      <xdr:col>11</xdr:col>
      <xdr:colOff>92827</xdr:colOff>
      <xdr:row>634</xdr:row>
      <xdr:rowOff>84453</xdr:rowOff>
    </xdr:to>
    <xdr:pic>
      <xdr:nvPicPr>
        <xdr:cNvPr id="36" name="Рисунок 35">
          <a:extLst>
            <a:ext uri="{FF2B5EF4-FFF2-40B4-BE49-F238E27FC236}">
              <a16:creationId xmlns:a16="http://schemas.microsoft.com/office/drawing/2014/main" id="{A5C7E2A0-4348-4FD5-9AF3-C903528BFD37}"/>
            </a:ext>
          </a:extLst>
        </xdr:cNvPr>
        <xdr:cNvPicPr>
          <a:picLocks noChangeAspect="1"/>
        </xdr:cNvPicPr>
      </xdr:nvPicPr>
      <xdr:blipFill>
        <a:blip xmlns:r="http://schemas.openxmlformats.org/officeDocument/2006/relationships" r:embed="rId32"/>
        <a:stretch>
          <a:fillRect/>
        </a:stretch>
      </xdr:blipFill>
      <xdr:spPr>
        <a:xfrm>
          <a:off x="4762500" y="128655536"/>
          <a:ext cx="2133898" cy="6287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696</xdr:row>
      <xdr:rowOff>68580</xdr:rowOff>
    </xdr:from>
    <xdr:to>
      <xdr:col>9</xdr:col>
      <xdr:colOff>201930</xdr:colOff>
      <xdr:row>713</xdr:row>
      <xdr:rowOff>1905</xdr:rowOff>
    </xdr:to>
    <xdr:graphicFrame macro="">
      <xdr:nvGraphicFramePr>
        <xdr:cNvPr id="8" name="Диаграмма 1">
          <a:extLst>
            <a:ext uri="{FF2B5EF4-FFF2-40B4-BE49-F238E27FC236}">
              <a16:creationId xmlns:a16="http://schemas.microsoft.com/office/drawing/2014/main" id="{810FF8A1-6EB2-4AFA-8BFB-A5E3E8F06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594360</xdr:colOff>
      <xdr:row>714</xdr:row>
      <xdr:rowOff>114300</xdr:rowOff>
    </xdr:from>
    <xdr:to>
      <xdr:col>21</xdr:col>
      <xdr:colOff>289560</xdr:colOff>
      <xdr:row>727</xdr:row>
      <xdr:rowOff>167640</xdr:rowOff>
    </xdr:to>
    <xdr:graphicFrame macro="">
      <xdr:nvGraphicFramePr>
        <xdr:cNvPr id="6" name="Диаграмма 2">
          <a:extLst>
            <a:ext uri="{FF2B5EF4-FFF2-40B4-BE49-F238E27FC236}">
              <a16:creationId xmlns:a16="http://schemas.microsoft.com/office/drawing/2014/main" id="{340CD68D-4E21-42FC-A1FB-99745EE8F59F}"/>
            </a:ext>
            <a:ext uri="{147F2762-F138-4A5C-976F-8EAC2B608ADB}">
              <a16:predDERef xmlns:a16="http://schemas.microsoft.com/office/drawing/2014/main" pred="{810FF8A1-6EB2-4AFA-8BFB-A5E3E8F06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xdr:colOff>
      <xdr:row>727</xdr:row>
      <xdr:rowOff>190500</xdr:rowOff>
    </xdr:from>
    <xdr:to>
      <xdr:col>21</xdr:col>
      <xdr:colOff>312420</xdr:colOff>
      <xdr:row>741</xdr:row>
      <xdr:rowOff>53340</xdr:rowOff>
    </xdr:to>
    <xdr:graphicFrame macro="">
      <xdr:nvGraphicFramePr>
        <xdr:cNvPr id="7" name="Диаграмма 3">
          <a:extLst>
            <a:ext uri="{FF2B5EF4-FFF2-40B4-BE49-F238E27FC236}">
              <a16:creationId xmlns:a16="http://schemas.microsoft.com/office/drawing/2014/main" id="{23A7FD4B-C18A-4C9E-94EC-72A8A6E770A7}"/>
            </a:ext>
            <a:ext uri="{147F2762-F138-4A5C-976F-8EAC2B608ADB}">
              <a16:predDERef xmlns:a16="http://schemas.microsoft.com/office/drawing/2014/main" pred="{340CD68D-4E21-42FC-A1FB-99745EE8F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944880</xdr:colOff>
      <xdr:row>878</xdr:row>
      <xdr:rowOff>15240</xdr:rowOff>
    </xdr:from>
    <xdr:to>
      <xdr:col>10</xdr:col>
      <xdr:colOff>507396</xdr:colOff>
      <xdr:row>891</xdr:row>
      <xdr:rowOff>164226</xdr:rowOff>
    </xdr:to>
    <xdr:pic>
      <xdr:nvPicPr>
        <xdr:cNvPr id="5" name="Рисунок 4">
          <a:extLst>
            <a:ext uri="{FF2B5EF4-FFF2-40B4-BE49-F238E27FC236}">
              <a16:creationId xmlns:a16="http://schemas.microsoft.com/office/drawing/2014/main" id="{466C05EC-243C-43EF-80A2-E28EAF6159BD}"/>
            </a:ext>
          </a:extLst>
        </xdr:cNvPr>
        <xdr:cNvPicPr>
          <a:picLocks noChangeAspect="1"/>
        </xdr:cNvPicPr>
      </xdr:nvPicPr>
      <xdr:blipFill>
        <a:blip xmlns:r="http://schemas.openxmlformats.org/officeDocument/2006/relationships" r:embed="rId4"/>
        <a:stretch>
          <a:fillRect/>
        </a:stretch>
      </xdr:blipFill>
      <xdr:spPr>
        <a:xfrm>
          <a:off x="2164080" y="151005540"/>
          <a:ext cx="4789836" cy="2724546"/>
        </a:xfrm>
        <a:prstGeom prst="rect">
          <a:avLst/>
        </a:prstGeom>
      </xdr:spPr>
    </xdr:pic>
    <xdr:clientData/>
  </xdr:twoCellAnchor>
  <xdr:twoCellAnchor editAs="oneCell">
    <xdr:from>
      <xdr:col>10</xdr:col>
      <xdr:colOff>127000</xdr:colOff>
      <xdr:row>1</xdr:row>
      <xdr:rowOff>177800</xdr:rowOff>
    </xdr:from>
    <xdr:to>
      <xdr:col>18</xdr:col>
      <xdr:colOff>172123</xdr:colOff>
      <xdr:row>6</xdr:row>
      <xdr:rowOff>181117</xdr:rowOff>
    </xdr:to>
    <xdr:pic>
      <xdr:nvPicPr>
        <xdr:cNvPr id="2" name="Рисунок 1">
          <a:extLst>
            <a:ext uri="{FF2B5EF4-FFF2-40B4-BE49-F238E27FC236}">
              <a16:creationId xmlns:a16="http://schemas.microsoft.com/office/drawing/2014/main" id="{B2622A67-847F-400B-B7D2-AFF8ECADA137}"/>
            </a:ext>
          </a:extLst>
        </xdr:cNvPr>
        <xdr:cNvPicPr>
          <a:picLocks noChangeAspect="1"/>
        </xdr:cNvPicPr>
      </xdr:nvPicPr>
      <xdr:blipFill>
        <a:blip xmlns:r="http://schemas.openxmlformats.org/officeDocument/2006/relationships" r:embed="rId5"/>
        <a:stretch>
          <a:fillRect/>
        </a:stretch>
      </xdr:blipFill>
      <xdr:spPr>
        <a:xfrm>
          <a:off x="6731000" y="381000"/>
          <a:ext cx="4820323" cy="1019317"/>
        </a:xfrm>
        <a:prstGeom prst="rect">
          <a:avLst/>
        </a:prstGeom>
      </xdr:spPr>
    </xdr:pic>
    <xdr:clientData/>
  </xdr:twoCellAnchor>
  <xdr:twoCellAnchor editAs="oneCell">
    <xdr:from>
      <xdr:col>10</xdr:col>
      <xdr:colOff>393700</xdr:colOff>
      <xdr:row>7</xdr:row>
      <xdr:rowOff>177800</xdr:rowOff>
    </xdr:from>
    <xdr:to>
      <xdr:col>17</xdr:col>
      <xdr:colOff>349827</xdr:colOff>
      <xdr:row>18</xdr:row>
      <xdr:rowOff>171761</xdr:rowOff>
    </xdr:to>
    <xdr:pic>
      <xdr:nvPicPr>
        <xdr:cNvPr id="3" name="Рисунок 2">
          <a:extLst>
            <a:ext uri="{FF2B5EF4-FFF2-40B4-BE49-F238E27FC236}">
              <a16:creationId xmlns:a16="http://schemas.microsoft.com/office/drawing/2014/main" id="{8DFB4A55-0CF0-4708-BFB0-074E36F1447B}"/>
            </a:ext>
          </a:extLst>
        </xdr:cNvPr>
        <xdr:cNvPicPr>
          <a:picLocks noChangeAspect="1"/>
        </xdr:cNvPicPr>
      </xdr:nvPicPr>
      <xdr:blipFill>
        <a:blip xmlns:r="http://schemas.openxmlformats.org/officeDocument/2006/relationships" r:embed="rId6"/>
        <a:stretch>
          <a:fillRect/>
        </a:stretch>
      </xdr:blipFill>
      <xdr:spPr>
        <a:xfrm>
          <a:off x="6997700" y="1600200"/>
          <a:ext cx="4134427" cy="2229161"/>
        </a:xfrm>
        <a:prstGeom prst="rect">
          <a:avLst/>
        </a:prstGeom>
      </xdr:spPr>
    </xdr:pic>
    <xdr:clientData/>
  </xdr:twoCellAnchor>
  <xdr:twoCellAnchor editAs="oneCell">
    <xdr:from>
      <xdr:col>11</xdr:col>
      <xdr:colOff>469900</xdr:colOff>
      <xdr:row>20</xdr:row>
      <xdr:rowOff>0</xdr:rowOff>
    </xdr:from>
    <xdr:to>
      <xdr:col>16</xdr:col>
      <xdr:colOff>114667</xdr:colOff>
      <xdr:row>26</xdr:row>
      <xdr:rowOff>171644</xdr:rowOff>
    </xdr:to>
    <xdr:pic>
      <xdr:nvPicPr>
        <xdr:cNvPr id="4" name="Рисунок 3">
          <a:extLst>
            <a:ext uri="{FF2B5EF4-FFF2-40B4-BE49-F238E27FC236}">
              <a16:creationId xmlns:a16="http://schemas.microsoft.com/office/drawing/2014/main" id="{C52003BF-0A5E-457A-A90A-B16C9279B009}"/>
            </a:ext>
          </a:extLst>
        </xdr:cNvPr>
        <xdr:cNvPicPr>
          <a:picLocks noChangeAspect="1"/>
        </xdr:cNvPicPr>
      </xdr:nvPicPr>
      <xdr:blipFill>
        <a:blip xmlns:r="http://schemas.openxmlformats.org/officeDocument/2006/relationships" r:embed="rId7"/>
        <a:stretch>
          <a:fillRect/>
        </a:stretch>
      </xdr:blipFill>
      <xdr:spPr>
        <a:xfrm>
          <a:off x="7670800" y="4064000"/>
          <a:ext cx="2629267" cy="1390844"/>
        </a:xfrm>
        <a:prstGeom prst="rect">
          <a:avLst/>
        </a:prstGeom>
      </xdr:spPr>
    </xdr:pic>
    <xdr:clientData/>
  </xdr:twoCellAnchor>
  <xdr:twoCellAnchor editAs="oneCell">
    <xdr:from>
      <xdr:col>12</xdr:col>
      <xdr:colOff>0</xdr:colOff>
      <xdr:row>28</xdr:row>
      <xdr:rowOff>190500</xdr:rowOff>
    </xdr:from>
    <xdr:to>
      <xdr:col>15</xdr:col>
      <xdr:colOff>533724</xdr:colOff>
      <xdr:row>32</xdr:row>
      <xdr:rowOff>6438</xdr:rowOff>
    </xdr:to>
    <xdr:pic>
      <xdr:nvPicPr>
        <xdr:cNvPr id="9" name="Рисунок 8">
          <a:extLst>
            <a:ext uri="{FF2B5EF4-FFF2-40B4-BE49-F238E27FC236}">
              <a16:creationId xmlns:a16="http://schemas.microsoft.com/office/drawing/2014/main" id="{E357B8D0-181C-46E1-94B7-0C4381C44F67}"/>
            </a:ext>
          </a:extLst>
        </xdr:cNvPr>
        <xdr:cNvPicPr>
          <a:picLocks noChangeAspect="1"/>
        </xdr:cNvPicPr>
      </xdr:nvPicPr>
      <xdr:blipFill>
        <a:blip xmlns:r="http://schemas.openxmlformats.org/officeDocument/2006/relationships" r:embed="rId8"/>
        <a:stretch>
          <a:fillRect/>
        </a:stretch>
      </xdr:blipFill>
      <xdr:spPr>
        <a:xfrm>
          <a:off x="7797800" y="5880100"/>
          <a:ext cx="2324424" cy="628738"/>
        </a:xfrm>
        <a:prstGeom prst="rect">
          <a:avLst/>
        </a:prstGeom>
      </xdr:spPr>
    </xdr:pic>
    <xdr:clientData/>
  </xdr:twoCellAnchor>
  <xdr:twoCellAnchor editAs="oneCell">
    <xdr:from>
      <xdr:col>11</xdr:col>
      <xdr:colOff>342900</xdr:colOff>
      <xdr:row>33</xdr:row>
      <xdr:rowOff>0</xdr:rowOff>
    </xdr:from>
    <xdr:to>
      <xdr:col>17</xdr:col>
      <xdr:colOff>248137</xdr:colOff>
      <xdr:row>36</xdr:row>
      <xdr:rowOff>200138</xdr:rowOff>
    </xdr:to>
    <xdr:pic>
      <xdr:nvPicPr>
        <xdr:cNvPr id="10" name="Рисунок 9">
          <a:extLst>
            <a:ext uri="{FF2B5EF4-FFF2-40B4-BE49-F238E27FC236}">
              <a16:creationId xmlns:a16="http://schemas.microsoft.com/office/drawing/2014/main" id="{B754F5A8-36C3-4972-BA92-62ED0208718E}"/>
            </a:ext>
          </a:extLst>
        </xdr:cNvPr>
        <xdr:cNvPicPr>
          <a:picLocks noChangeAspect="1"/>
        </xdr:cNvPicPr>
      </xdr:nvPicPr>
      <xdr:blipFill>
        <a:blip xmlns:r="http://schemas.openxmlformats.org/officeDocument/2006/relationships" r:embed="rId9"/>
        <a:stretch>
          <a:fillRect/>
        </a:stretch>
      </xdr:blipFill>
      <xdr:spPr>
        <a:xfrm>
          <a:off x="7543800" y="6705600"/>
          <a:ext cx="3486637" cy="809738"/>
        </a:xfrm>
        <a:prstGeom prst="rect">
          <a:avLst/>
        </a:prstGeom>
      </xdr:spPr>
    </xdr:pic>
    <xdr:clientData/>
  </xdr:twoCellAnchor>
  <xdr:twoCellAnchor editAs="oneCell">
    <xdr:from>
      <xdr:col>12</xdr:col>
      <xdr:colOff>76200</xdr:colOff>
      <xdr:row>38</xdr:row>
      <xdr:rowOff>101600</xdr:rowOff>
    </xdr:from>
    <xdr:to>
      <xdr:col>16</xdr:col>
      <xdr:colOff>232130</xdr:colOff>
      <xdr:row>41</xdr:row>
      <xdr:rowOff>111211</xdr:rowOff>
    </xdr:to>
    <xdr:pic>
      <xdr:nvPicPr>
        <xdr:cNvPr id="11" name="Рисунок 10">
          <a:extLst>
            <a:ext uri="{FF2B5EF4-FFF2-40B4-BE49-F238E27FC236}">
              <a16:creationId xmlns:a16="http://schemas.microsoft.com/office/drawing/2014/main" id="{1EC52F2F-6357-4F41-9237-217F6400078D}"/>
            </a:ext>
          </a:extLst>
        </xdr:cNvPr>
        <xdr:cNvPicPr>
          <a:picLocks noChangeAspect="1"/>
        </xdr:cNvPicPr>
      </xdr:nvPicPr>
      <xdr:blipFill>
        <a:blip xmlns:r="http://schemas.openxmlformats.org/officeDocument/2006/relationships" r:embed="rId10"/>
        <a:stretch>
          <a:fillRect/>
        </a:stretch>
      </xdr:blipFill>
      <xdr:spPr>
        <a:xfrm>
          <a:off x="7874000" y="7823200"/>
          <a:ext cx="2543530" cy="619211"/>
        </a:xfrm>
        <a:prstGeom prst="rect">
          <a:avLst/>
        </a:prstGeom>
      </xdr:spPr>
    </xdr:pic>
    <xdr:clientData/>
  </xdr:twoCellAnchor>
  <xdr:twoCellAnchor editAs="oneCell">
    <xdr:from>
      <xdr:col>12</xdr:col>
      <xdr:colOff>0</xdr:colOff>
      <xdr:row>54</xdr:row>
      <xdr:rowOff>0</xdr:rowOff>
    </xdr:from>
    <xdr:to>
      <xdr:col>20</xdr:col>
      <xdr:colOff>569071</xdr:colOff>
      <xdr:row>70</xdr:row>
      <xdr:rowOff>63963</xdr:rowOff>
    </xdr:to>
    <xdr:pic>
      <xdr:nvPicPr>
        <xdr:cNvPr id="12" name="Рисунок 11">
          <a:extLst>
            <a:ext uri="{FF2B5EF4-FFF2-40B4-BE49-F238E27FC236}">
              <a16:creationId xmlns:a16="http://schemas.microsoft.com/office/drawing/2014/main" id="{124B6ECE-5F35-4485-94D9-B7A705D2871F}"/>
            </a:ext>
          </a:extLst>
        </xdr:cNvPr>
        <xdr:cNvPicPr>
          <a:picLocks noChangeAspect="1"/>
        </xdr:cNvPicPr>
      </xdr:nvPicPr>
      <xdr:blipFill>
        <a:blip xmlns:r="http://schemas.openxmlformats.org/officeDocument/2006/relationships" r:embed="rId11"/>
        <a:stretch>
          <a:fillRect/>
        </a:stretch>
      </xdr:blipFill>
      <xdr:spPr>
        <a:xfrm>
          <a:off x="7797800" y="10972800"/>
          <a:ext cx="5344271" cy="3315163"/>
        </a:xfrm>
        <a:prstGeom prst="rect">
          <a:avLst/>
        </a:prstGeom>
      </xdr:spPr>
    </xdr:pic>
    <xdr:clientData/>
  </xdr:twoCellAnchor>
  <xdr:twoCellAnchor editAs="oneCell">
    <xdr:from>
      <xdr:col>12</xdr:col>
      <xdr:colOff>0</xdr:colOff>
      <xdr:row>75</xdr:row>
      <xdr:rowOff>0</xdr:rowOff>
    </xdr:from>
    <xdr:to>
      <xdr:col>19</xdr:col>
      <xdr:colOff>432443</xdr:colOff>
      <xdr:row>88</xdr:row>
      <xdr:rowOff>178194</xdr:rowOff>
    </xdr:to>
    <xdr:pic>
      <xdr:nvPicPr>
        <xdr:cNvPr id="13" name="Рисунок 12">
          <a:extLst>
            <a:ext uri="{FF2B5EF4-FFF2-40B4-BE49-F238E27FC236}">
              <a16:creationId xmlns:a16="http://schemas.microsoft.com/office/drawing/2014/main" id="{09D95C3D-46D8-48C4-9D27-9A0DBFE141C9}"/>
            </a:ext>
          </a:extLst>
        </xdr:cNvPr>
        <xdr:cNvPicPr>
          <a:picLocks noChangeAspect="1"/>
        </xdr:cNvPicPr>
      </xdr:nvPicPr>
      <xdr:blipFill>
        <a:blip xmlns:r="http://schemas.openxmlformats.org/officeDocument/2006/relationships" r:embed="rId12"/>
        <a:stretch>
          <a:fillRect/>
        </a:stretch>
      </xdr:blipFill>
      <xdr:spPr>
        <a:xfrm>
          <a:off x="7797800" y="15240000"/>
          <a:ext cx="4610743" cy="281979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iana/Downloads/&#1056;&#1077;&#1096;&#1077;&#1085;&#1080;&#1077;%20&#1060;&#1052;-6%20&#1055;&#1048;20-5%2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ana/Downloads/&#1060;&#1080;&#1085;&#1084;&#1072;&#109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iana/Downloads/FM-9_Borisov_PI2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Лист1"/>
    </sheetNames>
    <sheetDataSet>
      <sheetData sheetId="0">
        <row r="40">
          <cell r="B40">
            <v>0.1</v>
          </cell>
          <cell r="C40">
            <v>0.12</v>
          </cell>
        </row>
        <row r="41">
          <cell r="B41">
            <v>0.16</v>
          </cell>
          <cell r="C41">
            <v>0.18</v>
          </cell>
        </row>
        <row r="42">
          <cell r="B42">
            <v>0.14000000000000001</v>
          </cell>
          <cell r="C42">
            <v>0.14000000000000001</v>
          </cell>
        </row>
        <row r="43">
          <cell r="B43">
            <v>0.17</v>
          </cell>
          <cell r="C43">
            <v>0.15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ростые и сложные проценты. Тип"/>
      <sheetName val="Дисконтирование. Учетная ставка"/>
      <sheetName val="Основные характеристики потоков"/>
      <sheetName val="Кратные ренты"/>
      <sheetName val="Портфельный анализ"/>
      <sheetName val="Облигации"/>
      <sheetName val="Портфель Марковица"/>
      <sheetName val="Лист2"/>
    </sheetNames>
    <sheetDataSet>
      <sheetData sheetId="0"/>
      <sheetData sheetId="1"/>
      <sheetData sheetId="2"/>
      <sheetData sheetId="3"/>
      <sheetData sheetId="4"/>
      <sheetData sheetId="5"/>
      <sheetData sheetId="6">
        <row r="291">
          <cell r="B291">
            <v>4</v>
          </cell>
          <cell r="C291">
            <v>-3</v>
          </cell>
          <cell r="D291">
            <v>2</v>
          </cell>
        </row>
        <row r="292">
          <cell r="B292">
            <v>-3</v>
          </cell>
          <cell r="C292">
            <v>5</v>
          </cell>
          <cell r="D292">
            <v>0</v>
          </cell>
        </row>
        <row r="293">
          <cell r="B293">
            <v>2</v>
          </cell>
          <cell r="C293">
            <v>0</v>
          </cell>
          <cell r="D293">
            <v>2</v>
          </cell>
        </row>
      </sheetData>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Лист2"/>
    </sheetNames>
    <sheetDataSet>
      <sheetData sheetId="0">
        <row r="118">
          <cell r="H118">
            <v>95</v>
          </cell>
        </row>
        <row r="119">
          <cell r="H119">
            <v>105</v>
          </cell>
        </row>
        <row r="120">
          <cell r="H120">
            <v>115</v>
          </cell>
        </row>
        <row r="121">
          <cell r="I121" t="str">
            <v>ПростаяПродажа</v>
          </cell>
          <cell r="J121" t="str">
            <v>ПростаяКороткаяПродажа</v>
          </cell>
          <cell r="K121" t="str">
            <v>ПродажаОпционаПутСОсуществлениемКороткойПродажи</v>
          </cell>
        </row>
        <row r="122">
          <cell r="I122">
            <v>-6</v>
          </cell>
          <cell r="J122">
            <v>16.424999999999997</v>
          </cell>
          <cell r="K122">
            <v>10.424999999999997</v>
          </cell>
        </row>
        <row r="123">
          <cell r="I123">
            <v>4</v>
          </cell>
          <cell r="J123">
            <v>6.4249999999999972</v>
          </cell>
          <cell r="K123">
            <v>10.424999999999997</v>
          </cell>
        </row>
        <row r="124">
          <cell r="I124">
            <v>4</v>
          </cell>
          <cell r="J124">
            <v>-3.5750000000000028</v>
          </cell>
          <cell r="K124">
            <v>0.42499999999999716</v>
          </cell>
        </row>
        <row r="147">
          <cell r="M147" t="str">
            <v>ПростаяПокупкаАкции</v>
          </cell>
          <cell r="N147" t="str">
            <v>Опцион</v>
          </cell>
        </row>
        <row r="148">
          <cell r="L148">
            <v>500</v>
          </cell>
          <cell r="M148">
            <v>-15</v>
          </cell>
          <cell r="N148">
            <v>33.5</v>
          </cell>
        </row>
        <row r="149">
          <cell r="L149">
            <v>600</v>
          </cell>
          <cell r="M149">
            <v>85</v>
          </cell>
          <cell r="N149">
            <v>33.5</v>
          </cell>
        </row>
        <row r="150">
          <cell r="L150">
            <v>700</v>
          </cell>
          <cell r="M150">
            <v>185</v>
          </cell>
          <cell r="N150">
            <v>133.5</v>
          </cell>
        </row>
        <row r="154">
          <cell r="M154" t="str">
            <v>ПростаяПокупкаАкции</v>
          </cell>
          <cell r="N154" t="str">
            <v>Опцион</v>
          </cell>
        </row>
        <row r="155">
          <cell r="L155">
            <v>560</v>
          </cell>
          <cell r="M155">
            <v>45</v>
          </cell>
          <cell r="N155">
            <v>-6.5</v>
          </cell>
        </row>
        <row r="156">
          <cell r="L156">
            <v>566.5</v>
          </cell>
          <cell r="M156">
            <v>51.5</v>
          </cell>
          <cell r="N156">
            <v>0</v>
          </cell>
        </row>
        <row r="157">
          <cell r="L157">
            <v>573</v>
          </cell>
          <cell r="M157">
            <v>58</v>
          </cell>
          <cell r="N157">
            <v>6.5</v>
          </cell>
        </row>
      </sheetData>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hyperlink" Target="mailto:mu%5ET@X=mu0" TargetMode="External"/><Relationship Id="rId2" Type="http://schemas.openxmlformats.org/officeDocument/2006/relationships/hyperlink" Target="about:blank" TargetMode="External"/><Relationship Id="rId1" Type="http://schemas.openxmlformats.org/officeDocument/2006/relationships/hyperlink" Target="about:blank"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6F5B7-AD44-4582-AC98-3079114CDB89}">
  <dimension ref="A1:R1353"/>
  <sheetViews>
    <sheetView topLeftCell="A78" zoomScale="83" zoomScaleNormal="85" workbookViewId="0">
      <selection activeCell="C95" sqref="C95"/>
    </sheetView>
  </sheetViews>
  <sheetFormatPr defaultColWidth="14.42578125" defaultRowHeight="15" customHeight="1"/>
  <cols>
    <col min="1" max="1" width="50.7109375" customWidth="1"/>
    <col min="2" max="2" width="13.5703125" customWidth="1"/>
    <col min="3" max="3" width="16.140625" customWidth="1"/>
    <col min="4" max="4" width="12" customWidth="1"/>
    <col min="5" max="5" width="13.5703125" customWidth="1"/>
    <col min="6" max="7" width="13.140625" customWidth="1"/>
    <col min="8" max="9" width="12" customWidth="1"/>
    <col min="10" max="26" width="8.7109375" customWidth="1"/>
  </cols>
  <sheetData>
    <row r="1" spans="1:11" s="322" customFormat="1" ht="14.25" customHeight="1">
      <c r="B1" s="323" t="s">
        <v>0</v>
      </c>
      <c r="C1" s="324"/>
      <c r="D1" s="324"/>
      <c r="E1" s="324"/>
      <c r="F1" s="324"/>
      <c r="G1" s="324"/>
      <c r="H1" s="324"/>
      <c r="I1" s="324"/>
      <c r="J1" s="324"/>
      <c r="K1" s="324"/>
    </row>
    <row r="2" spans="1:11" ht="14.25" customHeight="1">
      <c r="A2" s="23"/>
      <c r="B2" s="22"/>
      <c r="C2" s="22"/>
      <c r="D2" s="22"/>
      <c r="E2" s="22"/>
      <c r="F2" s="22"/>
      <c r="G2" s="22"/>
      <c r="H2" s="22"/>
      <c r="I2" s="22"/>
      <c r="J2" s="22"/>
      <c r="K2" s="22"/>
    </row>
    <row r="3" spans="1:11" ht="14.25" customHeight="1">
      <c r="A3" s="24" t="s">
        <v>1</v>
      </c>
      <c r="B3" s="22"/>
      <c r="C3" s="22"/>
      <c r="D3" s="22"/>
      <c r="E3" s="22"/>
      <c r="F3" s="22"/>
      <c r="G3" s="22"/>
      <c r="H3" s="22"/>
      <c r="I3" s="22"/>
      <c r="J3" s="22"/>
      <c r="K3" s="22"/>
    </row>
    <row r="4" spans="1:11" ht="14.25" customHeight="1">
      <c r="A4" s="23"/>
      <c r="B4" s="22"/>
      <c r="C4" s="22"/>
      <c r="D4" s="22"/>
      <c r="E4" s="22"/>
      <c r="F4" s="22"/>
      <c r="G4" s="22"/>
      <c r="H4" s="22"/>
      <c r="I4" s="22"/>
      <c r="J4" s="22"/>
      <c r="K4" s="22"/>
    </row>
    <row r="5" spans="1:11" ht="14.25" customHeight="1">
      <c r="A5" s="24" t="s">
        <v>2</v>
      </c>
      <c r="B5" s="22"/>
      <c r="C5" s="22"/>
      <c r="D5" s="22"/>
      <c r="E5" s="22"/>
      <c r="F5" s="22"/>
      <c r="G5" s="22"/>
      <c r="H5" s="22"/>
      <c r="I5" s="22"/>
      <c r="J5" s="22"/>
      <c r="K5" s="22"/>
    </row>
    <row r="6" spans="1:11" ht="14.25" customHeight="1">
      <c r="A6" s="23"/>
      <c r="B6" s="22"/>
      <c r="C6" s="22"/>
      <c r="D6" s="22"/>
      <c r="E6" s="22"/>
      <c r="F6" s="22"/>
      <c r="G6" s="22"/>
      <c r="H6" s="22"/>
      <c r="I6" s="22"/>
      <c r="J6" s="22"/>
      <c r="K6" s="22"/>
    </row>
    <row r="7" spans="1:11" ht="14.25" customHeight="1">
      <c r="A7" s="24" t="s">
        <v>3</v>
      </c>
      <c r="B7" s="22"/>
      <c r="C7" s="22"/>
      <c r="D7" s="22"/>
      <c r="E7" s="22"/>
      <c r="F7" s="22"/>
      <c r="G7" s="22"/>
      <c r="H7" s="22"/>
      <c r="I7" s="22"/>
      <c r="J7" s="22"/>
      <c r="K7" s="22"/>
    </row>
    <row r="8" spans="1:11" ht="14.25" customHeight="1">
      <c r="A8" s="23"/>
      <c r="B8" s="22"/>
      <c r="C8" s="22"/>
      <c r="D8" s="22"/>
      <c r="E8" s="22"/>
      <c r="F8" s="22"/>
      <c r="G8" s="22"/>
      <c r="H8" s="22"/>
      <c r="I8" s="22"/>
      <c r="J8" s="22"/>
      <c r="K8" s="22"/>
    </row>
    <row r="9" spans="1:11" ht="14.25" customHeight="1">
      <c r="A9" s="24" t="s">
        <v>4</v>
      </c>
      <c r="B9" s="22"/>
      <c r="C9" s="22"/>
      <c r="D9" s="22"/>
      <c r="E9" s="22"/>
      <c r="F9" s="22"/>
      <c r="G9" s="22"/>
      <c r="H9" s="22"/>
      <c r="I9" s="22"/>
      <c r="J9" s="22"/>
      <c r="K9" s="22"/>
    </row>
    <row r="10" spans="1:11" ht="14.25" customHeight="1">
      <c r="A10" s="23"/>
      <c r="B10" s="22"/>
      <c r="C10" s="22"/>
      <c r="D10" s="22"/>
      <c r="E10" s="22"/>
      <c r="F10" s="22"/>
      <c r="G10" s="22"/>
      <c r="H10" s="22"/>
      <c r="I10" s="22"/>
      <c r="J10" s="22"/>
      <c r="K10" s="22"/>
    </row>
    <row r="11" spans="1:11" ht="14.25" customHeight="1">
      <c r="A11" s="24" t="s">
        <v>5</v>
      </c>
      <c r="B11" s="22"/>
      <c r="C11" s="22"/>
      <c r="D11" s="22"/>
      <c r="E11" s="22"/>
      <c r="F11" s="22"/>
      <c r="G11" s="22"/>
      <c r="H11" s="22"/>
      <c r="I11" s="22"/>
      <c r="J11" s="22"/>
      <c r="K11" s="22"/>
    </row>
    <row r="12" spans="1:11" ht="14.25" customHeight="1">
      <c r="A12" s="23"/>
      <c r="B12" s="22"/>
      <c r="C12" s="22"/>
      <c r="D12" s="22"/>
      <c r="E12" s="22"/>
      <c r="F12" s="22"/>
      <c r="G12" s="22"/>
      <c r="H12" s="22"/>
      <c r="I12" s="22"/>
      <c r="J12" s="22"/>
      <c r="K12" s="22"/>
    </row>
    <row r="13" spans="1:11" ht="14.25" customHeight="1">
      <c r="A13" s="24" t="s">
        <v>6</v>
      </c>
      <c r="B13" s="22"/>
      <c r="C13" s="22"/>
      <c r="D13" s="22"/>
      <c r="E13" s="22"/>
      <c r="F13" s="22"/>
      <c r="G13" s="22"/>
      <c r="H13" s="22"/>
      <c r="I13" s="22"/>
      <c r="J13" s="22"/>
      <c r="K13" s="22"/>
    </row>
    <row r="14" spans="1:11" ht="14.25" customHeight="1">
      <c r="A14" s="23"/>
      <c r="B14" s="22"/>
      <c r="C14" s="22"/>
      <c r="D14" s="22"/>
      <c r="E14" s="22"/>
      <c r="F14" s="22"/>
      <c r="G14" s="22"/>
      <c r="H14" s="22"/>
      <c r="I14" s="22"/>
      <c r="J14" s="22"/>
      <c r="K14" s="22"/>
    </row>
    <row r="15" spans="1:11" ht="14.25" customHeight="1">
      <c r="A15" s="24" t="s">
        <v>7</v>
      </c>
      <c r="B15" s="22"/>
      <c r="C15" s="22"/>
      <c r="D15" s="22"/>
      <c r="E15" s="22"/>
      <c r="F15" s="22"/>
      <c r="G15" s="22"/>
      <c r="H15" s="22"/>
      <c r="I15" s="22"/>
      <c r="J15" s="22"/>
      <c r="K15" s="22"/>
    </row>
    <row r="16" spans="1:11" ht="14.25" customHeight="1">
      <c r="A16" s="23"/>
      <c r="B16" s="22"/>
      <c r="C16" s="22"/>
      <c r="D16" s="22"/>
      <c r="E16" s="22"/>
      <c r="F16" s="22"/>
      <c r="G16" s="22"/>
      <c r="H16" s="22"/>
      <c r="I16" s="22"/>
      <c r="J16" s="22"/>
      <c r="K16" s="22"/>
    </row>
    <row r="17" spans="1:11" ht="14.25" customHeight="1">
      <c r="A17" s="24" t="s">
        <v>8</v>
      </c>
      <c r="B17" s="22"/>
      <c r="C17" s="22"/>
      <c r="D17" s="22"/>
      <c r="E17" s="22"/>
      <c r="F17" s="22"/>
      <c r="G17" s="22"/>
      <c r="H17" s="22"/>
      <c r="I17" s="22"/>
      <c r="J17" s="22"/>
      <c r="K17" s="22"/>
    </row>
    <row r="18" spans="1:11" ht="14.25" customHeight="1">
      <c r="A18" s="23"/>
      <c r="B18" s="22"/>
      <c r="C18" s="22"/>
      <c r="D18" s="22"/>
      <c r="E18" s="22"/>
      <c r="F18" s="22"/>
      <c r="G18" s="22"/>
      <c r="H18" s="22"/>
      <c r="I18" s="22"/>
      <c r="J18" s="22"/>
      <c r="K18" s="22"/>
    </row>
    <row r="19" spans="1:11" ht="14.25" customHeight="1">
      <c r="A19" s="24" t="s">
        <v>9</v>
      </c>
      <c r="B19" s="22"/>
      <c r="C19" s="22"/>
      <c r="D19" s="22"/>
      <c r="E19" s="22"/>
      <c r="F19" s="22"/>
      <c r="G19" s="22"/>
      <c r="H19" s="22"/>
      <c r="I19" s="22"/>
      <c r="J19" s="22"/>
      <c r="K19" s="22"/>
    </row>
    <row r="20" spans="1:11" ht="14.25" customHeight="1">
      <c r="A20" s="23"/>
      <c r="B20" s="22"/>
      <c r="C20" s="22"/>
      <c r="D20" s="22"/>
      <c r="E20" s="22"/>
      <c r="F20" s="22"/>
      <c r="G20" s="22"/>
      <c r="H20" s="22"/>
      <c r="I20" s="22"/>
      <c r="J20" s="22"/>
      <c r="K20" s="22"/>
    </row>
    <row r="21" spans="1:11" ht="14.25" customHeight="1">
      <c r="A21" s="24" t="s">
        <v>10</v>
      </c>
      <c r="B21" s="22"/>
      <c r="C21" s="22"/>
      <c r="D21" s="22"/>
      <c r="E21" s="22"/>
      <c r="F21" s="22"/>
      <c r="G21" s="22"/>
      <c r="H21" s="22"/>
      <c r="I21" s="22"/>
      <c r="J21" s="22"/>
      <c r="K21" s="22"/>
    </row>
    <row r="22" spans="1:11" ht="14.25" customHeight="1">
      <c r="A22" s="23"/>
      <c r="B22" s="22"/>
      <c r="C22" s="22"/>
      <c r="D22" s="22"/>
      <c r="E22" s="22"/>
      <c r="F22" s="22"/>
      <c r="G22" s="22"/>
      <c r="H22" s="22"/>
      <c r="I22" s="22"/>
      <c r="J22" s="22"/>
      <c r="K22" s="22"/>
    </row>
    <row r="23" spans="1:11" ht="14.25" customHeight="1">
      <c r="A23" s="24" t="s">
        <v>11</v>
      </c>
      <c r="B23" s="22"/>
      <c r="C23" s="22"/>
      <c r="D23" s="22"/>
      <c r="E23" s="22"/>
      <c r="F23" s="22"/>
      <c r="G23" s="22"/>
      <c r="H23" s="22"/>
      <c r="I23" s="22"/>
      <c r="J23" s="22"/>
      <c r="K23" s="22"/>
    </row>
    <row r="24" spans="1:11" ht="14.25" customHeight="1">
      <c r="A24" s="24"/>
      <c r="B24" s="22"/>
      <c r="C24" s="22"/>
      <c r="D24" s="22"/>
      <c r="E24" s="22"/>
      <c r="F24" s="22"/>
      <c r="G24" s="22"/>
      <c r="H24" s="22"/>
      <c r="I24" s="22"/>
      <c r="J24" s="22"/>
      <c r="K24" s="22"/>
    </row>
    <row r="25" spans="1:11" ht="14.25" customHeight="1">
      <c r="A25" s="24" t="s">
        <v>12</v>
      </c>
      <c r="B25" s="22"/>
      <c r="C25" s="22"/>
      <c r="D25" s="22"/>
      <c r="E25" s="22"/>
      <c r="F25" s="22"/>
      <c r="G25" s="22"/>
      <c r="H25" s="22"/>
      <c r="I25" s="22"/>
      <c r="J25" s="22"/>
      <c r="K25" s="22"/>
    </row>
    <row r="26" spans="1:11" ht="14.25" customHeight="1">
      <c r="A26" s="23"/>
      <c r="B26" s="22"/>
      <c r="C26" s="22"/>
      <c r="D26" s="22"/>
      <c r="E26" s="22"/>
      <c r="F26" s="22"/>
      <c r="G26" s="22"/>
      <c r="H26" s="22"/>
      <c r="I26" s="22"/>
      <c r="J26" s="22"/>
      <c r="K26" s="22"/>
    </row>
    <row r="27" spans="1:11" ht="14.25" customHeight="1">
      <c r="A27" s="24" t="s">
        <v>13</v>
      </c>
      <c r="B27" s="22"/>
      <c r="C27" s="22"/>
      <c r="D27" s="22"/>
      <c r="E27" s="22"/>
      <c r="F27" s="22"/>
      <c r="G27" s="22"/>
      <c r="H27" s="22"/>
      <c r="I27" s="22"/>
      <c r="J27" s="22"/>
      <c r="K27" s="22"/>
    </row>
    <row r="28" spans="1:11" ht="14.25" customHeight="1">
      <c r="A28" s="23"/>
      <c r="B28" s="22"/>
      <c r="C28" s="22"/>
      <c r="D28" s="22"/>
      <c r="E28" s="22"/>
      <c r="F28" s="22"/>
      <c r="G28" s="22"/>
      <c r="H28" s="22"/>
      <c r="I28" s="22"/>
      <c r="J28" s="22"/>
      <c r="K28" s="22"/>
    </row>
    <row r="29" spans="1:11" ht="14.25" customHeight="1">
      <c r="A29" s="24" t="s">
        <v>14</v>
      </c>
      <c r="B29" s="22"/>
      <c r="C29" s="22"/>
      <c r="D29" s="22"/>
      <c r="E29" s="22"/>
      <c r="F29" s="22"/>
      <c r="G29" s="22"/>
      <c r="H29" s="22"/>
      <c r="I29" s="22"/>
      <c r="J29" s="22"/>
      <c r="K29" s="22"/>
    </row>
    <row r="30" spans="1:11" ht="14.25" customHeight="1">
      <c r="A30" s="23"/>
      <c r="B30" s="22"/>
      <c r="C30" s="22"/>
      <c r="D30" s="22"/>
      <c r="E30" s="22"/>
      <c r="F30" s="22"/>
      <c r="G30" s="22"/>
      <c r="H30" s="22"/>
      <c r="I30" s="22"/>
      <c r="J30" s="22"/>
      <c r="K30" s="22"/>
    </row>
    <row r="31" spans="1:11" ht="14.25" customHeight="1">
      <c r="A31" s="24" t="s">
        <v>15</v>
      </c>
      <c r="B31" s="22"/>
      <c r="C31" s="22"/>
      <c r="D31" s="22"/>
      <c r="E31" s="22"/>
      <c r="F31" s="22"/>
      <c r="G31" s="22"/>
      <c r="H31" s="22"/>
      <c r="I31" s="22"/>
      <c r="J31" s="22"/>
      <c r="K31" s="22"/>
    </row>
    <row r="32" spans="1:11" ht="14.25" customHeight="1">
      <c r="A32" s="23"/>
      <c r="B32" s="22"/>
      <c r="C32" s="22"/>
      <c r="D32" s="22"/>
      <c r="E32" s="22"/>
      <c r="F32" s="22"/>
      <c r="G32" s="22"/>
      <c r="H32" s="22"/>
      <c r="I32" s="22"/>
      <c r="J32" s="22"/>
      <c r="K32" s="22"/>
    </row>
    <row r="33" spans="1:11" ht="14.25" customHeight="1">
      <c r="A33" s="24" t="s">
        <v>16</v>
      </c>
      <c r="B33" s="22"/>
      <c r="C33" s="22"/>
      <c r="D33" s="22"/>
      <c r="E33" s="22"/>
      <c r="F33" s="22"/>
      <c r="G33" s="22"/>
      <c r="H33" s="22"/>
      <c r="I33" s="22"/>
      <c r="J33" s="22"/>
      <c r="K33" s="22"/>
    </row>
    <row r="34" spans="1:11" ht="14.25" customHeight="1">
      <c r="A34" s="23"/>
      <c r="B34" s="22"/>
      <c r="C34" s="22"/>
      <c r="D34" s="22"/>
      <c r="E34" s="22"/>
      <c r="F34" s="22"/>
      <c r="G34" s="22"/>
      <c r="H34" s="22"/>
      <c r="I34" s="22"/>
      <c r="J34" s="22"/>
      <c r="K34" s="22"/>
    </row>
    <row r="35" spans="1:11" ht="14.25" customHeight="1">
      <c r="A35" s="24" t="s">
        <v>17</v>
      </c>
      <c r="B35" s="22"/>
      <c r="C35" s="22"/>
      <c r="D35" s="22"/>
      <c r="E35" s="22"/>
      <c r="F35" s="22"/>
      <c r="G35" s="22"/>
      <c r="H35" s="22"/>
      <c r="I35" s="22"/>
      <c r="J35" s="22"/>
      <c r="K35" s="22"/>
    </row>
    <row r="36" spans="1:11" ht="14.25" customHeight="1">
      <c r="A36" s="22"/>
      <c r="B36" s="22"/>
      <c r="C36" s="22"/>
      <c r="D36" s="22"/>
      <c r="E36" s="22"/>
      <c r="F36" s="22"/>
      <c r="G36" s="22"/>
      <c r="H36" s="22"/>
      <c r="I36" s="22"/>
      <c r="J36" s="22"/>
      <c r="K36" s="22"/>
    </row>
    <row r="37" spans="1:11" s="322" customFormat="1" ht="14.25" customHeight="1">
      <c r="B37" s="323" t="s">
        <v>18</v>
      </c>
      <c r="C37" s="324"/>
      <c r="D37" s="324"/>
      <c r="E37" s="324"/>
      <c r="F37" s="324"/>
      <c r="G37" s="324"/>
      <c r="H37" s="324"/>
      <c r="I37" s="324"/>
      <c r="J37" s="324"/>
      <c r="K37" s="324"/>
    </row>
    <row r="38" spans="1:11" ht="14.25" customHeight="1">
      <c r="A38" s="25"/>
      <c r="B38" s="22"/>
      <c r="C38" s="22"/>
      <c r="D38" s="22"/>
      <c r="E38" s="22"/>
      <c r="F38" s="22"/>
      <c r="G38" s="22"/>
      <c r="H38" s="22"/>
      <c r="I38" s="22"/>
      <c r="J38" s="22"/>
      <c r="K38" s="22"/>
    </row>
    <row r="39" spans="1:11" ht="14.25" customHeight="1">
      <c r="A39" s="24" t="s">
        <v>19</v>
      </c>
      <c r="B39" s="22"/>
      <c r="C39" s="22"/>
      <c r="D39" s="22"/>
      <c r="E39" s="22"/>
      <c r="F39" s="22"/>
      <c r="G39" s="22"/>
      <c r="H39" s="22"/>
      <c r="I39" s="22"/>
      <c r="J39" s="22"/>
      <c r="K39" s="22"/>
    </row>
    <row r="40" spans="1:11" ht="14.25" customHeight="1">
      <c r="A40" s="23"/>
      <c r="B40" s="22"/>
      <c r="C40" s="22"/>
      <c r="D40" s="22"/>
      <c r="E40" s="22"/>
      <c r="F40" s="22"/>
      <c r="G40" s="22"/>
      <c r="H40" s="22"/>
      <c r="I40" s="22"/>
      <c r="J40" s="22"/>
      <c r="K40" s="22"/>
    </row>
    <row r="41" spans="1:11" ht="14.25" customHeight="1">
      <c r="A41" s="24" t="s">
        <v>20</v>
      </c>
      <c r="B41" s="22"/>
      <c r="C41" s="22"/>
      <c r="D41" s="22"/>
      <c r="E41" s="22"/>
      <c r="F41" s="22"/>
      <c r="G41" s="22"/>
      <c r="H41" s="22"/>
      <c r="I41" s="22"/>
      <c r="J41" s="22"/>
      <c r="K41" s="22"/>
    </row>
    <row r="42" spans="1:11" ht="14.25" customHeight="1">
      <c r="A42" s="23"/>
      <c r="B42" s="22"/>
      <c r="C42" s="22"/>
      <c r="D42" s="22"/>
      <c r="E42" s="22"/>
      <c r="F42" s="22"/>
      <c r="G42" s="22"/>
      <c r="H42" s="22"/>
      <c r="I42" s="22"/>
      <c r="J42" s="22"/>
      <c r="K42" s="22"/>
    </row>
    <row r="43" spans="1:11" ht="14.25" customHeight="1">
      <c r="A43" s="24" t="s">
        <v>21</v>
      </c>
      <c r="B43" s="22"/>
      <c r="C43" s="22"/>
      <c r="D43" s="22"/>
      <c r="E43" s="22"/>
      <c r="F43" s="22"/>
      <c r="G43" s="22"/>
      <c r="H43" s="22"/>
      <c r="I43" s="22"/>
      <c r="J43" s="22"/>
      <c r="K43" s="22"/>
    </row>
    <row r="44" spans="1:11" ht="14.25" customHeight="1">
      <c r="A44" s="23"/>
      <c r="B44" s="22"/>
      <c r="C44" s="22"/>
      <c r="D44" s="22"/>
      <c r="E44" s="22"/>
      <c r="F44" s="22"/>
      <c r="G44" s="22"/>
      <c r="H44" s="22"/>
      <c r="I44" s="22"/>
      <c r="J44" s="22"/>
      <c r="K44" s="22"/>
    </row>
    <row r="45" spans="1:11" ht="14.25" customHeight="1">
      <c r="A45" s="24" t="s">
        <v>22</v>
      </c>
      <c r="B45" s="22"/>
      <c r="C45" s="22"/>
      <c r="D45" s="22"/>
      <c r="E45" s="22"/>
      <c r="F45" s="22"/>
      <c r="G45" s="22"/>
      <c r="H45" s="22"/>
      <c r="I45" s="22"/>
      <c r="J45" s="22"/>
      <c r="K45" s="22"/>
    </row>
    <row r="46" spans="1:11" ht="14.25" customHeight="1">
      <c r="A46" s="23"/>
      <c r="B46" s="22"/>
      <c r="C46" s="22"/>
      <c r="D46" s="22"/>
      <c r="E46" s="22"/>
      <c r="F46" s="22"/>
      <c r="G46" s="22"/>
      <c r="H46" s="22"/>
      <c r="I46" s="22"/>
      <c r="J46" s="22"/>
      <c r="K46" s="22"/>
    </row>
    <row r="47" spans="1:11" ht="14.25" customHeight="1">
      <c r="A47" s="24" t="s">
        <v>23</v>
      </c>
      <c r="B47" s="22"/>
      <c r="C47" s="22"/>
      <c r="D47" s="22"/>
      <c r="E47" s="22"/>
      <c r="F47" s="22"/>
      <c r="G47" s="22"/>
      <c r="H47" s="22"/>
      <c r="I47" s="22"/>
      <c r="J47" s="22"/>
      <c r="K47" s="22"/>
    </row>
    <row r="48" spans="1:11" ht="14.25" customHeight="1">
      <c r="A48" s="23"/>
      <c r="B48" s="22"/>
      <c r="C48" s="22"/>
      <c r="D48" s="22"/>
      <c r="E48" s="22"/>
      <c r="F48" s="22"/>
      <c r="G48" s="22"/>
      <c r="H48" s="22"/>
      <c r="I48" s="22"/>
      <c r="J48" s="22"/>
      <c r="K48" s="22"/>
    </row>
    <row r="49" spans="1:11" ht="14.25" customHeight="1">
      <c r="A49" s="24" t="s">
        <v>24</v>
      </c>
      <c r="B49" s="22"/>
      <c r="C49" s="22"/>
      <c r="D49" s="22"/>
      <c r="E49" s="22"/>
      <c r="F49" s="22"/>
      <c r="G49" s="22"/>
      <c r="H49" s="22"/>
      <c r="I49" s="22"/>
      <c r="J49" s="22"/>
      <c r="K49" s="22"/>
    </row>
    <row r="50" spans="1:11" ht="14.25" customHeight="1">
      <c r="A50" s="24"/>
      <c r="B50" s="22"/>
      <c r="C50" s="22"/>
      <c r="D50" s="22"/>
      <c r="E50" s="22"/>
      <c r="F50" s="22"/>
      <c r="G50" s="22"/>
      <c r="H50" s="22"/>
      <c r="I50" s="22"/>
      <c r="J50" s="22"/>
      <c r="K50" s="22"/>
    </row>
    <row r="51" spans="1:11" ht="14.25" customHeight="1">
      <c r="A51" s="24" t="s">
        <v>25</v>
      </c>
      <c r="B51" s="22"/>
      <c r="C51" s="22"/>
      <c r="D51" s="22"/>
      <c r="E51" s="22"/>
      <c r="F51" s="22"/>
      <c r="G51" s="22"/>
      <c r="H51" s="22"/>
      <c r="I51" s="22"/>
      <c r="J51" s="22"/>
      <c r="K51" s="22"/>
    </row>
    <row r="52" spans="1:11" ht="14.25" customHeight="1">
      <c r="A52" s="23"/>
      <c r="B52" s="22"/>
      <c r="C52" s="22"/>
      <c r="D52" s="22"/>
      <c r="E52" s="22"/>
      <c r="F52" s="22"/>
      <c r="G52" s="22"/>
      <c r="H52" s="22"/>
      <c r="I52" s="22"/>
      <c r="J52" s="22"/>
      <c r="K52" s="22"/>
    </row>
    <row r="53" spans="1:11" ht="14.25" customHeight="1">
      <c r="A53" s="24" t="s">
        <v>26</v>
      </c>
      <c r="B53" s="22"/>
      <c r="C53" s="22"/>
      <c r="D53" s="22"/>
      <c r="E53" s="22"/>
      <c r="F53" s="22"/>
      <c r="G53" s="22"/>
      <c r="H53" s="22"/>
      <c r="I53" s="22"/>
      <c r="J53" s="22"/>
      <c r="K53" s="22"/>
    </row>
    <row r="54" spans="1:11" ht="14.25" customHeight="1">
      <c r="A54" s="23"/>
      <c r="B54" s="22"/>
      <c r="C54" s="22"/>
      <c r="D54" s="22"/>
      <c r="E54" s="22"/>
      <c r="F54" s="22"/>
      <c r="G54" s="22"/>
      <c r="H54" s="22"/>
      <c r="I54" s="22"/>
      <c r="J54" s="22"/>
      <c r="K54" s="22"/>
    </row>
    <row r="55" spans="1:11" ht="14.25" customHeight="1">
      <c r="A55" s="24" t="s">
        <v>27</v>
      </c>
      <c r="B55" s="22"/>
      <c r="C55" s="22"/>
      <c r="D55" s="22"/>
      <c r="E55" s="22"/>
      <c r="F55" s="22"/>
      <c r="G55" s="22"/>
      <c r="H55" s="22"/>
      <c r="I55" s="22"/>
      <c r="J55" s="22"/>
      <c r="K55" s="22"/>
    </row>
    <row r="56" spans="1:11" ht="14.25" customHeight="1">
      <c r="A56" s="23"/>
      <c r="B56" s="22"/>
      <c r="C56" s="22"/>
      <c r="D56" s="22"/>
      <c r="E56" s="22"/>
      <c r="F56" s="22"/>
      <c r="G56" s="22"/>
      <c r="H56" s="22"/>
      <c r="I56" s="22"/>
      <c r="J56" s="22"/>
      <c r="K56" s="22"/>
    </row>
    <row r="57" spans="1:11" ht="14.25" customHeight="1">
      <c r="A57" s="24" t="s">
        <v>28</v>
      </c>
      <c r="B57" s="22"/>
      <c r="C57" s="22"/>
      <c r="D57" s="22"/>
      <c r="E57" s="22"/>
      <c r="F57" s="22"/>
      <c r="G57" s="22"/>
      <c r="H57" s="22"/>
      <c r="I57" s="22"/>
      <c r="J57" s="22"/>
      <c r="K57" s="22"/>
    </row>
    <row r="58" spans="1:11" ht="14.25" customHeight="1">
      <c r="A58" s="23"/>
      <c r="B58" s="22"/>
      <c r="C58" s="22"/>
      <c r="D58" s="22"/>
      <c r="E58" s="22"/>
      <c r="F58" s="22"/>
      <c r="G58" s="22"/>
      <c r="H58" s="22"/>
      <c r="I58" s="22"/>
      <c r="J58" s="22"/>
      <c r="K58" s="22"/>
    </row>
    <row r="59" spans="1:11" ht="14.25" customHeight="1">
      <c r="A59" s="24" t="s">
        <v>29</v>
      </c>
      <c r="B59" s="22"/>
      <c r="C59" s="22"/>
      <c r="D59" s="22"/>
      <c r="E59" s="22"/>
      <c r="F59" s="22"/>
      <c r="G59" s="22"/>
      <c r="H59" s="22"/>
      <c r="I59" s="22"/>
      <c r="J59" s="22"/>
      <c r="K59" s="22"/>
    </row>
    <row r="60" spans="1:11" ht="14.25" customHeight="1">
      <c r="A60" s="23"/>
      <c r="B60" s="22"/>
      <c r="C60" s="22"/>
      <c r="D60" s="22"/>
      <c r="E60" s="22"/>
      <c r="F60" s="22"/>
      <c r="G60" s="22"/>
      <c r="H60" s="22"/>
      <c r="I60" s="22"/>
      <c r="J60" s="22"/>
      <c r="K60" s="22"/>
    </row>
    <row r="61" spans="1:11" ht="14.25" customHeight="1">
      <c r="A61" s="24" t="s">
        <v>30</v>
      </c>
      <c r="B61" s="22"/>
      <c r="C61" s="22"/>
      <c r="D61" s="22"/>
      <c r="E61" s="22"/>
      <c r="F61" s="22"/>
      <c r="G61" s="22"/>
      <c r="H61" s="22"/>
      <c r="I61" s="22"/>
      <c r="J61" s="22"/>
      <c r="K61" s="22"/>
    </row>
    <row r="62" spans="1:11" ht="14.25" customHeight="1">
      <c r="A62" s="23"/>
      <c r="B62" s="22"/>
      <c r="C62" s="22"/>
      <c r="D62" s="22"/>
      <c r="E62" s="22"/>
      <c r="F62" s="22"/>
      <c r="G62" s="22"/>
      <c r="H62" s="22"/>
      <c r="I62" s="22"/>
      <c r="J62" s="22"/>
      <c r="K62" s="22"/>
    </row>
    <row r="63" spans="1:11" ht="14.25" customHeight="1">
      <c r="A63" s="24" t="s">
        <v>31</v>
      </c>
      <c r="B63" s="22"/>
      <c r="C63" s="22"/>
      <c r="D63" s="22"/>
      <c r="E63" s="22"/>
      <c r="F63" s="22"/>
      <c r="G63" s="22"/>
      <c r="H63" s="22"/>
      <c r="I63" s="22"/>
      <c r="J63" s="22"/>
      <c r="K63" s="22"/>
    </row>
    <row r="64" spans="1:11" ht="14.25" customHeight="1">
      <c r="A64" s="23"/>
      <c r="B64" s="22"/>
      <c r="C64" s="22"/>
      <c r="D64" s="22"/>
      <c r="E64" s="22"/>
      <c r="F64" s="22"/>
      <c r="G64" s="22"/>
      <c r="H64" s="22"/>
      <c r="I64" s="22"/>
      <c r="J64" s="22"/>
      <c r="K64" s="22"/>
    </row>
    <row r="65" spans="1:11" ht="14.25" customHeight="1">
      <c r="A65" s="24" t="s">
        <v>32</v>
      </c>
      <c r="B65" s="22"/>
      <c r="C65" s="22"/>
      <c r="D65" s="22"/>
      <c r="E65" s="22"/>
      <c r="F65" s="22"/>
      <c r="G65" s="22"/>
      <c r="H65" s="22"/>
      <c r="I65" s="22"/>
      <c r="J65" s="22"/>
      <c r="K65" s="22"/>
    </row>
    <row r="66" spans="1:11" ht="14.25" customHeight="1">
      <c r="A66" s="22"/>
      <c r="B66" s="22"/>
      <c r="C66" s="22"/>
      <c r="D66" s="22"/>
      <c r="E66" s="22"/>
      <c r="F66" s="22"/>
      <c r="G66" s="22"/>
      <c r="H66" s="22"/>
      <c r="I66" s="22"/>
      <c r="J66" s="22"/>
      <c r="K66" s="22"/>
    </row>
    <row r="67" spans="1:11" s="322" customFormat="1" ht="14.25" customHeight="1">
      <c r="C67" s="324"/>
      <c r="D67" s="323" t="s">
        <v>33</v>
      </c>
      <c r="E67" s="324"/>
      <c r="F67" s="324"/>
      <c r="G67" s="324"/>
      <c r="H67" s="324"/>
      <c r="I67" s="324"/>
      <c r="J67" s="324"/>
      <c r="K67" s="324"/>
    </row>
    <row r="68" spans="1:11" ht="14.25" customHeight="1">
      <c r="A68" s="25"/>
      <c r="B68" s="22"/>
      <c r="C68" s="22"/>
      <c r="D68" s="22"/>
      <c r="E68" s="22"/>
      <c r="F68" s="22"/>
      <c r="G68" s="22"/>
      <c r="H68" s="22"/>
      <c r="I68" s="22"/>
      <c r="J68" s="22"/>
      <c r="K68" s="22"/>
    </row>
    <row r="69" spans="1:11" ht="14.25" customHeight="1">
      <c r="A69" s="24" t="s">
        <v>34</v>
      </c>
      <c r="B69" s="22"/>
      <c r="C69" s="22"/>
      <c r="D69" s="22"/>
      <c r="E69" s="22"/>
      <c r="F69" s="22"/>
      <c r="G69" s="22"/>
      <c r="H69" s="22"/>
      <c r="I69" s="22"/>
      <c r="J69" s="22"/>
      <c r="K69" s="22"/>
    </row>
    <row r="70" spans="1:11" ht="14.25" customHeight="1">
      <c r="A70" s="23"/>
      <c r="B70" s="22"/>
      <c r="C70" s="22"/>
      <c r="D70" s="22"/>
      <c r="E70" s="22"/>
      <c r="F70" s="22"/>
      <c r="G70" s="22"/>
      <c r="H70" s="22"/>
      <c r="I70" s="22"/>
      <c r="J70" s="22"/>
      <c r="K70" s="22"/>
    </row>
    <row r="71" spans="1:11" ht="14.25" customHeight="1">
      <c r="A71" s="24" t="s">
        <v>35</v>
      </c>
      <c r="B71" s="22"/>
      <c r="C71" s="22"/>
      <c r="D71" s="22"/>
      <c r="E71" s="22"/>
      <c r="F71" s="22"/>
      <c r="G71" s="22"/>
      <c r="H71" s="22"/>
      <c r="I71" s="22"/>
      <c r="J71" s="22"/>
      <c r="K71" s="22"/>
    </row>
    <row r="72" spans="1:11" ht="14.25" customHeight="1">
      <c r="A72" s="23"/>
      <c r="B72" s="22"/>
      <c r="C72" s="22"/>
      <c r="D72" s="22"/>
      <c r="E72" s="22"/>
      <c r="F72" s="22"/>
      <c r="G72" s="22"/>
      <c r="H72" s="22"/>
      <c r="I72" s="22"/>
      <c r="J72" s="22"/>
      <c r="K72" s="22"/>
    </row>
    <row r="73" spans="1:11" ht="14.25" customHeight="1">
      <c r="A73" s="24" t="s">
        <v>36</v>
      </c>
      <c r="B73" s="22"/>
      <c r="C73" s="22"/>
      <c r="D73" s="22"/>
      <c r="E73" s="22"/>
      <c r="F73" s="22"/>
      <c r="G73" s="22"/>
      <c r="H73" s="22"/>
      <c r="I73" s="22"/>
      <c r="J73" s="22"/>
      <c r="K73" s="22"/>
    </row>
    <row r="74" spans="1:11" ht="14.25" customHeight="1">
      <c r="A74" s="23"/>
      <c r="B74" s="22"/>
      <c r="C74" s="22"/>
      <c r="D74" s="22"/>
      <c r="E74" s="22"/>
      <c r="F74" s="22"/>
      <c r="G74" s="22"/>
      <c r="H74" s="22"/>
      <c r="I74" s="22"/>
      <c r="J74" s="22"/>
      <c r="K74" s="22"/>
    </row>
    <row r="75" spans="1:11" ht="14.25" customHeight="1">
      <c r="A75" s="24" t="s">
        <v>37</v>
      </c>
      <c r="B75" s="22"/>
      <c r="C75" s="22"/>
      <c r="D75" s="22"/>
      <c r="E75" s="22"/>
      <c r="F75" s="22"/>
      <c r="G75" s="22"/>
      <c r="H75" s="22"/>
      <c r="I75" s="22"/>
      <c r="J75" s="22"/>
      <c r="K75" s="22"/>
    </row>
    <row r="76" spans="1:11" ht="14.25" customHeight="1">
      <c r="A76" s="24"/>
      <c r="B76" s="22"/>
      <c r="C76" s="22"/>
      <c r="D76" s="22"/>
      <c r="E76" s="22"/>
      <c r="F76" s="22"/>
      <c r="G76" s="22"/>
      <c r="H76" s="22"/>
      <c r="I76" s="22"/>
      <c r="J76" s="22"/>
      <c r="K76" s="22"/>
    </row>
    <row r="77" spans="1:11" ht="14.25" customHeight="1">
      <c r="A77" s="24" t="s">
        <v>38</v>
      </c>
      <c r="B77" s="22"/>
      <c r="C77" s="22"/>
      <c r="D77" s="22"/>
      <c r="E77" s="22"/>
      <c r="F77" s="22"/>
      <c r="G77" s="22"/>
      <c r="H77" s="22"/>
      <c r="I77" s="22"/>
      <c r="J77" s="22"/>
      <c r="K77" s="22"/>
    </row>
    <row r="78" spans="1:11" ht="14.25" customHeight="1">
      <c r="A78" s="22"/>
      <c r="B78" s="22"/>
      <c r="C78" s="22"/>
      <c r="D78" s="22"/>
      <c r="E78" s="22"/>
      <c r="F78" s="22"/>
      <c r="G78" s="22"/>
      <c r="H78" s="22"/>
      <c r="I78" s="22"/>
      <c r="J78" s="22"/>
      <c r="K78" s="22"/>
    </row>
    <row r="79" spans="1:11" s="322" customFormat="1" ht="14.25" customHeight="1">
      <c r="C79" s="323" t="s">
        <v>39</v>
      </c>
      <c r="D79" s="324"/>
      <c r="E79" s="324"/>
      <c r="F79" s="324"/>
      <c r="G79" s="324"/>
      <c r="H79" s="324"/>
      <c r="I79" s="324"/>
      <c r="J79" s="324"/>
      <c r="K79" s="324"/>
    </row>
    <row r="80" spans="1:11" ht="14.25" customHeight="1">
      <c r="A80" s="25"/>
      <c r="B80" s="22"/>
      <c r="C80" s="22"/>
      <c r="D80" s="22"/>
      <c r="E80" s="22"/>
      <c r="F80" s="22"/>
      <c r="G80" s="22"/>
      <c r="H80" s="22"/>
      <c r="I80" s="22"/>
      <c r="J80" s="22"/>
      <c r="K80" s="22"/>
    </row>
    <row r="81" spans="1:11" ht="18" customHeight="1">
      <c r="A81" s="24" t="s">
        <v>40</v>
      </c>
      <c r="B81" s="22"/>
      <c r="C81" s="22"/>
      <c r="D81" s="22"/>
      <c r="E81" s="22"/>
      <c r="F81" s="22"/>
      <c r="G81" s="22"/>
      <c r="H81" s="22"/>
      <c r="I81" s="22"/>
      <c r="J81" s="22"/>
      <c r="K81" s="22"/>
    </row>
    <row r="82" spans="1:11" ht="18" customHeight="1">
      <c r="A82" s="24"/>
      <c r="B82" s="22"/>
      <c r="C82" s="22"/>
      <c r="D82" s="22"/>
      <c r="E82" s="22"/>
      <c r="F82" s="22"/>
      <c r="G82" s="22"/>
      <c r="H82" s="22"/>
      <c r="I82" s="22"/>
      <c r="J82" s="22"/>
      <c r="K82" s="22"/>
    </row>
    <row r="83" spans="1:11" ht="18" customHeight="1">
      <c r="A83" s="24" t="s">
        <v>41</v>
      </c>
      <c r="B83" s="34">
        <v>0.1</v>
      </c>
      <c r="C83" s="22"/>
      <c r="D83" s="22"/>
      <c r="E83" s="22"/>
      <c r="F83" s="22"/>
      <c r="G83" s="22"/>
      <c r="H83" s="22"/>
      <c r="I83" s="22"/>
      <c r="J83" s="22"/>
      <c r="K83" s="22"/>
    </row>
    <row r="84" spans="1:11" ht="18" customHeight="1">
      <c r="A84" s="24" t="s">
        <v>42</v>
      </c>
      <c r="B84" s="22">
        <v>4</v>
      </c>
      <c r="C84" s="22"/>
      <c r="D84" s="22"/>
      <c r="E84" s="22"/>
      <c r="F84" s="22"/>
      <c r="G84" s="22"/>
      <c r="H84" s="22"/>
      <c r="I84" s="22"/>
      <c r="J84" s="22"/>
      <c r="K84" s="22"/>
    </row>
    <row r="85" spans="1:11" ht="18" customHeight="1">
      <c r="A85" s="24"/>
      <c r="B85" s="22"/>
      <c r="C85" s="22"/>
      <c r="D85" s="22"/>
      <c r="E85" s="22"/>
      <c r="F85" s="22"/>
      <c r="G85" s="22"/>
      <c r="H85" s="22"/>
      <c r="I85" s="22"/>
      <c r="J85" s="22"/>
      <c r="K85" s="22"/>
    </row>
    <row r="86" spans="1:11" ht="18" customHeight="1">
      <c r="A86" s="24"/>
      <c r="B86" s="22"/>
      <c r="C86" s="22"/>
      <c r="D86" s="22"/>
      <c r="E86" s="22"/>
      <c r="F86" s="22"/>
      <c r="G86" s="22"/>
      <c r="H86" s="22"/>
      <c r="I86" s="22"/>
      <c r="J86" s="22"/>
      <c r="K86" s="22"/>
    </row>
    <row r="87" spans="1:11" ht="18" customHeight="1">
      <c r="A87" s="24"/>
      <c r="B87" s="22"/>
      <c r="C87" s="22"/>
      <c r="D87" s="22"/>
      <c r="E87" s="22"/>
      <c r="F87" s="22"/>
      <c r="G87" s="22"/>
      <c r="H87" s="22"/>
      <c r="I87" s="22"/>
      <c r="J87" s="22"/>
      <c r="K87" s="22"/>
    </row>
    <row r="88" spans="1:11" ht="18" customHeight="1">
      <c r="B88" s="22"/>
      <c r="C88" s="22"/>
      <c r="D88" s="22"/>
      <c r="E88" s="22"/>
      <c r="F88" s="22"/>
      <c r="G88" s="22"/>
      <c r="H88" s="22"/>
      <c r="I88" s="22"/>
      <c r="J88" s="22"/>
      <c r="K88" s="22"/>
    </row>
    <row r="89" spans="1:11" ht="18" customHeight="1">
      <c r="A89" s="24" t="s">
        <v>43</v>
      </c>
      <c r="B89" s="371">
        <f>(1+ B83/B84)^B84-1</f>
        <v>0.10381289062499977</v>
      </c>
      <c r="C89" s="22"/>
      <c r="D89" s="22"/>
      <c r="E89" s="22"/>
      <c r="F89" s="22"/>
      <c r="G89" s="22"/>
      <c r="H89" s="22"/>
      <c r="I89" s="22"/>
      <c r="J89" s="22"/>
      <c r="K89" s="22"/>
    </row>
    <row r="90" spans="1:11" ht="14.25" customHeight="1">
      <c r="A90" s="23"/>
      <c r="B90" s="22"/>
      <c r="C90" s="22"/>
      <c r="D90" s="22"/>
      <c r="E90" s="22"/>
      <c r="F90" s="22"/>
      <c r="G90" s="22"/>
      <c r="H90" s="22"/>
      <c r="I90" s="22"/>
      <c r="J90" s="22"/>
      <c r="K90" s="22"/>
    </row>
    <row r="91" spans="1:11" ht="14.25" customHeight="1">
      <c r="A91" s="24" t="s">
        <v>44</v>
      </c>
      <c r="B91" s="22"/>
      <c r="C91" s="22"/>
      <c r="D91" s="22"/>
      <c r="E91" s="22"/>
      <c r="F91" s="22"/>
      <c r="G91" s="22"/>
      <c r="H91" s="22"/>
      <c r="I91" s="22"/>
      <c r="J91" s="22"/>
      <c r="K91" s="22"/>
    </row>
    <row r="92" spans="1:11" ht="14.25" customHeight="1">
      <c r="A92" s="24"/>
      <c r="B92" s="22"/>
      <c r="C92" s="22"/>
      <c r="D92" s="22"/>
      <c r="E92" s="22"/>
      <c r="F92" s="22"/>
      <c r="G92" s="22"/>
      <c r="H92" s="22"/>
      <c r="I92" s="22"/>
      <c r="J92" s="22"/>
      <c r="K92" s="22"/>
    </row>
    <row r="93" spans="1:11" ht="14.25" customHeight="1">
      <c r="A93" t="s">
        <v>45</v>
      </c>
      <c r="B93" s="34">
        <v>0.09</v>
      </c>
      <c r="C93" s="22"/>
      <c r="D93" s="22"/>
      <c r="E93" s="22"/>
      <c r="F93" s="22"/>
      <c r="G93" s="22"/>
      <c r="H93" s="22"/>
      <c r="I93" s="22"/>
      <c r="J93" s="22"/>
      <c r="K93" s="22"/>
    </row>
    <row r="94" spans="1:11" ht="14.25" customHeight="1">
      <c r="A94" s="24"/>
      <c r="B94" s="22"/>
      <c r="C94" s="22"/>
      <c r="D94" s="22"/>
      <c r="E94" s="22"/>
      <c r="F94" s="22"/>
      <c r="G94" s="22"/>
      <c r="H94" s="22"/>
      <c r="I94" s="22"/>
      <c r="J94" s="22"/>
      <c r="K94" s="22"/>
    </row>
    <row r="95" spans="1:11" ht="14.25" customHeight="1">
      <c r="A95" s="24"/>
      <c r="B95" s="22"/>
      <c r="C95" s="22"/>
      <c r="D95" s="22"/>
      <c r="E95" s="22"/>
      <c r="F95" s="22"/>
      <c r="G95" s="22"/>
      <c r="H95" s="22"/>
      <c r="I95" s="22"/>
      <c r="J95" s="22"/>
      <c r="K95" s="22"/>
    </row>
    <row r="96" spans="1:11" ht="14.25" customHeight="1">
      <c r="A96" s="24"/>
      <c r="B96" s="22"/>
      <c r="C96" s="22"/>
      <c r="D96" s="22"/>
      <c r="E96" s="22"/>
      <c r="F96" s="22"/>
      <c r="G96" s="22"/>
      <c r="H96" s="22"/>
      <c r="I96" s="22"/>
      <c r="J96" s="22"/>
      <c r="K96" s="22"/>
    </row>
    <row r="97" spans="1:11" ht="14.25" customHeight="1">
      <c r="A97" s="24"/>
      <c r="B97" s="22"/>
      <c r="C97" s="22"/>
      <c r="D97" s="22"/>
      <c r="E97" s="22"/>
      <c r="F97" s="22"/>
      <c r="G97" s="22"/>
      <c r="H97" s="22"/>
      <c r="I97" s="22"/>
      <c r="J97" s="22"/>
      <c r="K97" s="22"/>
    </row>
    <row r="98" spans="1:11" ht="14.25" customHeight="1">
      <c r="A98" s="24" t="s">
        <v>43</v>
      </c>
      <c r="B98" s="372">
        <f>EXP(B93) - 1</f>
        <v>9.4174283705210415E-2</v>
      </c>
      <c r="C98" s="22"/>
      <c r="D98" s="22"/>
      <c r="E98" s="22"/>
      <c r="F98" s="22"/>
      <c r="G98" s="22"/>
      <c r="H98" s="22"/>
      <c r="I98" s="22"/>
      <c r="J98" s="22"/>
      <c r="K98" s="22"/>
    </row>
    <row r="99" spans="1:11" ht="14.25" customHeight="1">
      <c r="A99" s="23"/>
      <c r="B99" s="22"/>
      <c r="C99" s="22"/>
      <c r="D99" s="22"/>
      <c r="E99" s="22"/>
      <c r="F99" s="22"/>
      <c r="G99" s="22"/>
      <c r="H99" s="22"/>
      <c r="I99" s="22"/>
      <c r="J99" s="22"/>
      <c r="K99" s="22"/>
    </row>
    <row r="100" spans="1:11" ht="14.25" customHeight="1">
      <c r="A100" s="24" t="s">
        <v>46</v>
      </c>
      <c r="B100" s="22"/>
      <c r="C100" s="22"/>
      <c r="D100" s="22"/>
      <c r="E100" s="22"/>
      <c r="F100" s="22"/>
      <c r="G100" s="22"/>
      <c r="H100" s="22"/>
      <c r="I100" s="22"/>
      <c r="J100" s="22"/>
      <c r="K100" s="22"/>
    </row>
    <row r="101" spans="1:11" ht="14.25" customHeight="1">
      <c r="A101" s="24" t="s">
        <v>47</v>
      </c>
      <c r="B101" s="34">
        <v>0.11</v>
      </c>
      <c r="C101" s="22"/>
      <c r="D101" s="22"/>
      <c r="E101" s="22"/>
      <c r="F101" s="22"/>
      <c r="G101" s="22"/>
      <c r="H101" s="22"/>
      <c r="I101" s="22"/>
      <c r="J101" s="22"/>
      <c r="K101" s="22"/>
    </row>
    <row r="102" spans="1:11" ht="14.25" customHeight="1">
      <c r="A102" s="24" t="s">
        <v>48</v>
      </c>
      <c r="B102" s="22">
        <v>3</v>
      </c>
      <c r="C102" s="22"/>
      <c r="D102" s="22"/>
      <c r="E102" s="22"/>
      <c r="F102" s="22"/>
      <c r="G102" s="22"/>
      <c r="H102" s="22"/>
      <c r="I102" s="22"/>
      <c r="J102" s="22"/>
      <c r="K102" s="22"/>
    </row>
    <row r="103" spans="1:11" ht="14.25" customHeight="1">
      <c r="A103" s="24"/>
      <c r="B103" s="22"/>
      <c r="C103" s="22"/>
      <c r="D103" s="22"/>
      <c r="E103" s="22"/>
      <c r="F103" s="22"/>
      <c r="G103" s="22"/>
      <c r="H103" s="22"/>
      <c r="I103" s="22"/>
      <c r="J103" s="22"/>
      <c r="K103" s="22"/>
    </row>
    <row r="104" spans="1:11" ht="14.25" customHeight="1">
      <c r="A104" s="24"/>
      <c r="B104" s="22"/>
      <c r="C104" s="22"/>
      <c r="D104" s="22"/>
      <c r="E104" s="22"/>
      <c r="F104" s="22"/>
      <c r="G104" s="22"/>
      <c r="H104" s="22"/>
      <c r="I104" s="22"/>
      <c r="J104" s="22"/>
      <c r="K104" s="22"/>
    </row>
    <row r="105" spans="1:11" ht="14.25" customHeight="1">
      <c r="A105" s="24"/>
      <c r="B105" s="22"/>
      <c r="C105" s="22"/>
      <c r="D105" s="22"/>
      <c r="E105" s="22"/>
      <c r="F105" s="22"/>
      <c r="G105" s="22"/>
      <c r="H105" s="22"/>
      <c r="I105" s="22"/>
      <c r="J105" s="22"/>
      <c r="K105" s="22"/>
    </row>
    <row r="106" spans="1:11" ht="14.25" customHeight="1">
      <c r="A106" s="24"/>
      <c r="B106" s="22"/>
      <c r="C106" s="22"/>
      <c r="D106" s="22"/>
      <c r="E106" s="22"/>
      <c r="F106" s="22"/>
      <c r="G106" s="22"/>
      <c r="H106" s="22"/>
      <c r="I106" s="22"/>
      <c r="J106" s="22"/>
      <c r="K106" s="22"/>
    </row>
    <row r="107" spans="1:11" ht="14.25" customHeight="1">
      <c r="A107" s="24"/>
      <c r="B107" s="22"/>
      <c r="C107" s="22"/>
      <c r="D107" s="22"/>
      <c r="E107" s="22"/>
      <c r="F107" s="22"/>
      <c r="G107" s="22"/>
      <c r="H107" s="22"/>
      <c r="I107" s="22"/>
      <c r="J107" s="22"/>
      <c r="K107" s="22"/>
    </row>
    <row r="108" spans="1:11" ht="14.25" customHeight="1">
      <c r="A108" s="24"/>
      <c r="B108" s="22"/>
      <c r="C108" s="22"/>
      <c r="D108" s="22"/>
      <c r="E108" s="22"/>
      <c r="F108" s="22"/>
      <c r="G108" s="22"/>
      <c r="H108" s="22"/>
      <c r="I108" s="22"/>
      <c r="J108" s="22"/>
      <c r="K108" s="22"/>
    </row>
    <row r="109" spans="1:11" ht="14.25" customHeight="1">
      <c r="A109" s="24" t="s">
        <v>49</v>
      </c>
      <c r="B109" s="372">
        <f>(1+B101*B102)^(1/B102) - 1</f>
        <v>9.9724448886266748E-2</v>
      </c>
      <c r="C109" s="22"/>
      <c r="D109" s="22"/>
      <c r="E109" s="22"/>
      <c r="F109" s="22"/>
      <c r="G109" s="22"/>
      <c r="H109" s="22"/>
      <c r="I109" s="22"/>
      <c r="J109" s="22"/>
      <c r="K109" s="22"/>
    </row>
    <row r="110" spans="1:11" ht="14.25" customHeight="1">
      <c r="A110" s="23"/>
      <c r="B110" s="22"/>
      <c r="C110" s="22"/>
      <c r="D110" s="22"/>
      <c r="E110" s="22"/>
      <c r="F110" s="22"/>
      <c r="G110" s="22"/>
      <c r="H110" s="22"/>
      <c r="I110" s="22"/>
      <c r="J110" s="22"/>
      <c r="K110" s="22"/>
    </row>
    <row r="111" spans="1:11" ht="14.25" customHeight="1">
      <c r="A111" s="24" t="s">
        <v>50</v>
      </c>
      <c r="B111" s="22"/>
      <c r="C111" s="22"/>
      <c r="D111" s="22"/>
      <c r="E111" s="22"/>
      <c r="F111" s="22"/>
      <c r="G111" s="22"/>
      <c r="H111" s="22"/>
      <c r="I111" s="22"/>
      <c r="J111" s="22"/>
      <c r="K111" s="22"/>
    </row>
    <row r="112" spans="1:11" ht="14.25" customHeight="1">
      <c r="A112" s="24"/>
      <c r="B112" s="22"/>
      <c r="C112" s="22"/>
      <c r="D112" s="22"/>
      <c r="E112" s="22"/>
      <c r="F112" s="22"/>
      <c r="G112" s="22"/>
      <c r="H112" s="22"/>
      <c r="I112" s="22"/>
      <c r="J112" s="22"/>
      <c r="K112" s="22"/>
    </row>
    <row r="113" spans="1:11" ht="14.25" customHeight="1">
      <c r="A113" s="24" t="s">
        <v>49</v>
      </c>
      <c r="B113" s="34">
        <v>0.12</v>
      </c>
      <c r="C113" s="22"/>
      <c r="D113" s="22"/>
      <c r="E113" s="22"/>
      <c r="F113" s="22"/>
      <c r="G113" s="22"/>
      <c r="H113" s="22"/>
      <c r="I113" s="22"/>
      <c r="J113" s="22"/>
      <c r="K113" s="22"/>
    </row>
    <row r="114" spans="1:11" ht="14.25" customHeight="1">
      <c r="A114" s="24" t="s">
        <v>48</v>
      </c>
      <c r="B114" s="22">
        <v>7</v>
      </c>
      <c r="C114" s="22"/>
      <c r="D114" s="22"/>
      <c r="E114" s="22"/>
      <c r="F114" s="22"/>
      <c r="G114" s="22"/>
      <c r="H114" s="22"/>
      <c r="I114" s="22"/>
      <c r="J114" s="22"/>
      <c r="K114" s="22"/>
    </row>
    <row r="115" spans="1:11" ht="14.25" customHeight="1">
      <c r="A115" s="24" t="s">
        <v>42</v>
      </c>
      <c r="B115" s="22">
        <v>12</v>
      </c>
      <c r="C115" s="22"/>
      <c r="D115" s="22"/>
      <c r="E115" s="22"/>
      <c r="F115" s="22"/>
      <c r="G115" s="22"/>
      <c r="H115" s="22"/>
      <c r="I115" s="22"/>
      <c r="J115" s="22"/>
      <c r="K115" s="22"/>
    </row>
    <row r="116" spans="1:11" ht="14.25" customHeight="1">
      <c r="A116" s="24"/>
      <c r="B116" s="22"/>
      <c r="C116" s="22"/>
      <c r="D116" s="22"/>
      <c r="E116" s="22"/>
      <c r="F116" s="22"/>
      <c r="G116" s="22"/>
      <c r="H116" s="22"/>
      <c r="I116" s="22"/>
      <c r="J116" s="22"/>
      <c r="K116" s="22"/>
    </row>
    <row r="117" spans="1:11" ht="14.25" customHeight="1">
      <c r="A117" s="24"/>
      <c r="B117" s="22"/>
      <c r="C117" s="22"/>
      <c r="D117" s="22"/>
      <c r="E117" s="22"/>
      <c r="F117" s="22"/>
      <c r="G117" s="22"/>
      <c r="H117" s="22"/>
      <c r="I117" s="22"/>
      <c r="J117" s="22"/>
      <c r="K117" s="22"/>
    </row>
    <row r="118" spans="1:11" ht="14.25" customHeight="1">
      <c r="A118" s="24"/>
      <c r="B118" s="22"/>
      <c r="C118" s="22"/>
      <c r="D118" s="22"/>
      <c r="E118" s="22"/>
      <c r="F118" s="22"/>
      <c r="G118" s="22"/>
      <c r="H118" s="22"/>
      <c r="I118" s="22"/>
      <c r="J118" s="22"/>
      <c r="K118" s="22"/>
    </row>
    <row r="119" spans="1:11" ht="14.25" customHeight="1">
      <c r="A119" s="24"/>
      <c r="B119" s="394">
        <f>((1+B113/B115)^(B114*B115)-1)/B114</f>
        <v>0.18667467772005239</v>
      </c>
      <c r="C119" s="22"/>
      <c r="D119" s="22"/>
      <c r="E119" s="22"/>
      <c r="F119" s="22"/>
      <c r="G119" s="22"/>
      <c r="H119" s="22"/>
      <c r="I119" s="22"/>
      <c r="J119" s="22"/>
      <c r="K119" s="22"/>
    </row>
    <row r="120" spans="1:11" ht="14.25" customHeight="1">
      <c r="A120" s="24"/>
      <c r="B120" s="22"/>
      <c r="C120" s="22"/>
      <c r="D120" s="22"/>
      <c r="E120" s="22"/>
      <c r="F120" s="22"/>
      <c r="G120" s="22"/>
      <c r="H120" s="22"/>
      <c r="I120" s="22"/>
      <c r="J120" s="22"/>
      <c r="K120" s="22"/>
    </row>
    <row r="121" spans="1:11" ht="14.25" customHeight="1">
      <c r="A121" s="24"/>
      <c r="B121" s="22"/>
      <c r="C121" s="22"/>
      <c r="D121" s="22"/>
      <c r="E121" s="22"/>
      <c r="F121" s="22"/>
      <c r="G121" s="22"/>
      <c r="H121" s="22"/>
      <c r="I121" s="22"/>
      <c r="J121" s="22"/>
      <c r="K121" s="22"/>
    </row>
    <row r="122" spans="1:11" ht="14.25" customHeight="1">
      <c r="B122" s="22"/>
      <c r="C122" s="22"/>
      <c r="D122" s="22"/>
      <c r="E122" s="22"/>
      <c r="F122" s="22"/>
      <c r="G122" s="22"/>
      <c r="H122" s="22"/>
      <c r="I122" s="22"/>
      <c r="J122" s="22"/>
      <c r="K122" s="22"/>
    </row>
    <row r="123" spans="1:11" ht="14.25" customHeight="1">
      <c r="A123" s="24"/>
      <c r="B123" s="22"/>
      <c r="C123" s="22"/>
      <c r="D123" s="22"/>
      <c r="E123" s="22"/>
      <c r="F123" s="22"/>
      <c r="G123" s="22"/>
      <c r="H123" s="22"/>
      <c r="I123" s="22"/>
      <c r="J123" s="22"/>
      <c r="K123" s="22"/>
    </row>
    <row r="124" spans="1:11" ht="14.25" customHeight="1">
      <c r="A124" s="24"/>
      <c r="B124" s="22"/>
      <c r="C124" s="22"/>
      <c r="D124" s="22"/>
      <c r="E124" s="22"/>
      <c r="F124" s="22"/>
      <c r="G124" s="22"/>
      <c r="H124" s="22"/>
      <c r="I124" s="22"/>
      <c r="J124" s="22"/>
      <c r="K124" s="22"/>
    </row>
    <row r="125" spans="1:11" ht="14.25" customHeight="1">
      <c r="A125" s="24"/>
      <c r="B125" s="22"/>
      <c r="C125" s="22"/>
      <c r="D125" s="22"/>
      <c r="E125" s="22"/>
      <c r="F125" s="22"/>
      <c r="G125" s="22"/>
      <c r="H125" s="22"/>
      <c r="I125" s="22"/>
      <c r="J125" s="22"/>
      <c r="K125" s="22"/>
    </row>
    <row r="126" spans="1:11" ht="14.25" customHeight="1">
      <c r="A126" s="24"/>
      <c r="B126" s="22"/>
      <c r="C126" s="22"/>
      <c r="D126" s="22"/>
      <c r="E126" s="22"/>
      <c r="F126" s="22"/>
      <c r="G126" s="22"/>
      <c r="H126" s="22"/>
      <c r="I126" s="22"/>
      <c r="J126" s="22"/>
      <c r="K126" s="22"/>
    </row>
    <row r="127" spans="1:11" ht="14.25" customHeight="1">
      <c r="A127" s="24"/>
      <c r="B127" s="22"/>
      <c r="C127" s="22"/>
      <c r="D127" s="22"/>
      <c r="E127" s="22"/>
      <c r="F127" s="22"/>
      <c r="G127" s="22"/>
      <c r="H127" s="22"/>
      <c r="I127" s="22"/>
      <c r="J127" s="22"/>
      <c r="K127" s="22"/>
    </row>
    <row r="128" spans="1:11" ht="14.25" customHeight="1">
      <c r="A128" s="24"/>
      <c r="B128" s="22"/>
      <c r="C128" s="22"/>
      <c r="D128" s="22"/>
      <c r="E128" s="22"/>
      <c r="F128" s="22"/>
      <c r="G128" s="22"/>
      <c r="H128" s="22"/>
      <c r="I128" s="22"/>
      <c r="J128" s="22"/>
      <c r="K128" s="22"/>
    </row>
    <row r="129" spans="1:11" ht="14.25" customHeight="1">
      <c r="A129" s="23"/>
      <c r="B129" s="22"/>
      <c r="C129" s="22"/>
      <c r="D129" s="22"/>
      <c r="E129" s="22"/>
      <c r="F129" s="22"/>
      <c r="G129" s="22"/>
      <c r="H129" s="22"/>
      <c r="I129" s="22"/>
      <c r="J129" s="22"/>
      <c r="K129" s="22"/>
    </row>
    <row r="130" spans="1:11" ht="14.25" customHeight="1">
      <c r="A130" s="24" t="s">
        <v>51</v>
      </c>
      <c r="B130" s="22"/>
      <c r="C130" s="22"/>
      <c r="D130" s="22"/>
      <c r="E130" s="22"/>
      <c r="F130" s="22"/>
      <c r="G130" s="22"/>
      <c r="H130" s="22"/>
      <c r="I130" s="22"/>
      <c r="J130" s="22"/>
      <c r="K130" s="22"/>
    </row>
    <row r="131" spans="1:11" ht="14.25" customHeight="1">
      <c r="A131" s="24"/>
      <c r="B131" s="22"/>
      <c r="C131" s="22"/>
      <c r="D131" s="22"/>
      <c r="E131" s="22"/>
      <c r="F131" s="22"/>
      <c r="G131" s="22"/>
      <c r="H131" s="22"/>
      <c r="I131" s="22"/>
      <c r="J131" s="22"/>
      <c r="K131" s="22"/>
    </row>
    <row r="132" spans="1:11" ht="14.25" customHeight="1">
      <c r="A132" s="24" t="s">
        <v>48</v>
      </c>
      <c r="B132" s="22">
        <v>4</v>
      </c>
      <c r="C132" s="22"/>
      <c r="D132" s="22"/>
      <c r="E132" s="22"/>
      <c r="F132" s="22"/>
      <c r="G132" s="22"/>
      <c r="H132" s="22"/>
      <c r="I132" s="22"/>
      <c r="J132" s="22"/>
      <c r="K132" s="22"/>
    </row>
    <row r="133" spans="1:11" ht="14.25" customHeight="1">
      <c r="A133" s="24" t="s">
        <v>41</v>
      </c>
      <c r="B133" s="34">
        <v>0.2</v>
      </c>
      <c r="C133" s="22"/>
      <c r="D133" s="22"/>
      <c r="E133" s="22"/>
      <c r="F133" s="22"/>
      <c r="G133" s="22"/>
      <c r="H133" s="22"/>
      <c r="I133" s="22"/>
      <c r="J133" s="22"/>
      <c r="K133" s="22"/>
    </row>
    <row r="134" spans="1:11" ht="14.25" customHeight="1">
      <c r="A134" s="24" t="s">
        <v>52</v>
      </c>
      <c r="B134" s="34">
        <v>0.26</v>
      </c>
      <c r="C134" s="22"/>
      <c r="D134" s="22"/>
      <c r="E134" s="22"/>
      <c r="F134" s="22"/>
      <c r="G134" s="22"/>
      <c r="H134" s="22"/>
      <c r="I134" s="22"/>
      <c r="J134" s="22"/>
      <c r="K134" s="22"/>
    </row>
    <row r="135" spans="1:11" ht="14.25" customHeight="1">
      <c r="A135" t="s">
        <v>42</v>
      </c>
      <c r="B135" s="22">
        <v>2</v>
      </c>
      <c r="C135" s="22"/>
      <c r="D135" s="22"/>
      <c r="E135" s="22"/>
      <c r="F135" s="22"/>
      <c r="G135" s="22"/>
      <c r="H135" s="22"/>
      <c r="I135" s="22"/>
      <c r="J135" s="22"/>
      <c r="K135" s="22"/>
    </row>
    <row r="136" spans="1:11" ht="14.25" customHeight="1">
      <c r="A136" s="24" t="s">
        <v>53</v>
      </c>
      <c r="B136" s="22"/>
      <c r="C136" s="22"/>
      <c r="D136" s="22"/>
      <c r="E136" s="22"/>
      <c r="F136" s="22"/>
      <c r="G136" s="22"/>
      <c r="H136" s="22"/>
      <c r="I136" s="22"/>
      <c r="J136" s="22"/>
      <c r="K136" s="22"/>
    </row>
    <row r="137" spans="1:11" ht="14.25" customHeight="1">
      <c r="B137" s="22"/>
      <c r="C137" s="22"/>
      <c r="D137" s="22"/>
      <c r="E137" s="22"/>
      <c r="F137" s="22"/>
      <c r="G137" s="22"/>
      <c r="H137" s="22"/>
      <c r="I137" s="22"/>
      <c r="J137" s="22"/>
      <c r="K137" s="22"/>
    </row>
    <row r="138" spans="1:11" ht="14.25" customHeight="1">
      <c r="B138" s="22"/>
      <c r="C138" s="22"/>
      <c r="D138" s="22"/>
      <c r="E138" s="22"/>
      <c r="F138" s="22"/>
      <c r="G138" s="22"/>
      <c r="H138" s="22"/>
      <c r="I138" s="22"/>
      <c r="J138" s="22"/>
      <c r="K138" s="22"/>
    </row>
    <row r="139" spans="1:11" ht="14.25" customHeight="1">
      <c r="A139" s="24" t="s">
        <v>54</v>
      </c>
      <c r="B139" s="22"/>
      <c r="C139" s="22"/>
      <c r="D139" s="22"/>
      <c r="E139" s="22"/>
      <c r="F139" s="22"/>
      <c r="G139" s="22"/>
      <c r="H139" s="22"/>
      <c r="I139" s="22"/>
      <c r="J139" s="22"/>
      <c r="K139" s="22"/>
    </row>
    <row r="140" spans="1:11" ht="14.25" customHeight="1">
      <c r="A140" s="24"/>
      <c r="B140" s="22"/>
      <c r="C140" s="22"/>
      <c r="D140" s="22"/>
      <c r="E140" s="22"/>
      <c r="F140" s="22"/>
      <c r="G140" s="22"/>
      <c r="H140" s="22"/>
      <c r="I140" s="22"/>
      <c r="J140" s="22"/>
      <c r="K140" s="22"/>
    </row>
    <row r="141" spans="1:11" ht="14.25" customHeight="1">
      <c r="A141" s="24" t="s">
        <v>55</v>
      </c>
      <c r="B141" s="22">
        <f>(1+B133/B135)^(B135*B132)</f>
        <v>2.1435888100000011</v>
      </c>
      <c r="C141" s="22"/>
      <c r="D141" s="22"/>
      <c r="E141" s="22"/>
      <c r="F141" s="22"/>
      <c r="G141" s="22"/>
      <c r="H141" s="22"/>
      <c r="I141" s="22"/>
      <c r="J141" s="22"/>
      <c r="K141" s="22"/>
    </row>
    <row r="142" spans="1:11" ht="14.25" customHeight="1">
      <c r="B142" s="22"/>
      <c r="C142" s="22"/>
      <c r="D142" s="22"/>
      <c r="E142" s="22"/>
      <c r="F142" s="22"/>
      <c r="G142" s="22"/>
      <c r="H142" s="22"/>
      <c r="I142" s="22"/>
      <c r="J142" s="22"/>
      <c r="K142" s="22"/>
    </row>
    <row r="143" spans="1:11" ht="14.25" customHeight="1">
      <c r="A143" s="24" t="s">
        <v>56</v>
      </c>
      <c r="B143" s="22"/>
      <c r="C143" s="22"/>
      <c r="D143" s="22"/>
      <c r="E143" s="22"/>
      <c r="F143" s="22"/>
      <c r="G143" s="22"/>
      <c r="H143" s="22"/>
      <c r="I143" s="22"/>
      <c r="J143" s="22"/>
      <c r="K143" s="22"/>
    </row>
    <row r="144" spans="1:11" ht="14.25" customHeight="1">
      <c r="A144" s="24"/>
      <c r="B144" s="22"/>
      <c r="C144" s="22"/>
      <c r="D144" s="22"/>
      <c r="E144" s="22"/>
      <c r="F144" s="22"/>
      <c r="G144" s="22"/>
      <c r="H144" s="22"/>
      <c r="I144" s="22"/>
      <c r="J144" s="22"/>
      <c r="K144" s="22"/>
    </row>
    <row r="145" spans="1:11" ht="14.25" customHeight="1">
      <c r="A145" s="24" t="s">
        <v>57</v>
      </c>
      <c r="B145" s="22">
        <f>(1+B134*B132)</f>
        <v>2.04</v>
      </c>
      <c r="C145" s="22"/>
      <c r="D145" s="22"/>
      <c r="E145" s="22"/>
      <c r="F145" s="22"/>
      <c r="G145" s="22"/>
      <c r="H145" s="22"/>
      <c r="I145" s="22"/>
      <c r="J145" s="22"/>
      <c r="K145" s="22"/>
    </row>
    <row r="146" spans="1:11" ht="14.25" customHeight="1">
      <c r="A146" s="24"/>
      <c r="B146" s="22"/>
      <c r="C146" s="22"/>
      <c r="D146" s="22"/>
      <c r="E146" s="22"/>
      <c r="F146" s="22"/>
      <c r="G146" s="22"/>
      <c r="H146" s="22"/>
      <c r="I146" s="22"/>
      <c r="J146" s="22"/>
      <c r="K146" s="22"/>
    </row>
    <row r="147" spans="1:11" ht="14.25" customHeight="1">
      <c r="A147" s="337" t="s">
        <v>58</v>
      </c>
      <c r="B147" s="369" t="s">
        <v>59</v>
      </c>
      <c r="C147" s="369"/>
      <c r="D147" s="369">
        <f>B141</f>
        <v>2.1435888100000011</v>
      </c>
      <c r="E147" s="369" t="s">
        <v>60</v>
      </c>
      <c r="F147" s="369">
        <f>B145</f>
        <v>2.04</v>
      </c>
      <c r="G147" s="22"/>
      <c r="H147" s="22"/>
      <c r="I147" s="22"/>
      <c r="J147" s="22"/>
      <c r="K147" s="22"/>
    </row>
    <row r="148" spans="1:11" ht="14.25" customHeight="1">
      <c r="A148" s="24"/>
      <c r="B148" s="22"/>
      <c r="C148" s="22"/>
      <c r="D148" s="22"/>
      <c r="E148" s="22"/>
      <c r="F148" s="22"/>
      <c r="G148" s="22"/>
      <c r="H148" s="22"/>
      <c r="I148" s="22"/>
      <c r="J148" s="22"/>
      <c r="K148" s="22"/>
    </row>
    <row r="149" spans="1:11" ht="14.25" customHeight="1">
      <c r="A149" s="23"/>
      <c r="B149" s="22"/>
      <c r="C149" s="22"/>
      <c r="D149" s="22"/>
      <c r="E149" s="22"/>
      <c r="F149" s="22"/>
      <c r="G149" s="22"/>
      <c r="H149" s="22"/>
      <c r="I149" s="22"/>
      <c r="J149" s="22"/>
      <c r="K149" s="22"/>
    </row>
    <row r="150" spans="1:11" ht="14.25" customHeight="1">
      <c r="A150" s="24" t="s">
        <v>61</v>
      </c>
      <c r="B150" s="22"/>
      <c r="C150" s="22"/>
      <c r="D150" s="22"/>
      <c r="E150" s="22"/>
      <c r="F150" s="22"/>
      <c r="G150" s="22"/>
      <c r="H150" s="22"/>
      <c r="I150" s="22"/>
      <c r="J150" s="22"/>
      <c r="K150" s="22"/>
    </row>
    <row r="151" spans="1:11" ht="14.25" customHeight="1">
      <c r="A151" s="24"/>
      <c r="B151" s="22"/>
      <c r="C151" s="22"/>
      <c r="D151" s="22"/>
      <c r="E151" s="22"/>
      <c r="F151" s="22"/>
      <c r="G151" s="22"/>
      <c r="H151" s="22"/>
      <c r="I151" s="22"/>
      <c r="J151" s="22"/>
      <c r="K151" s="22"/>
    </row>
    <row r="152" spans="1:11" ht="14.25" customHeight="1">
      <c r="A152" s="24"/>
      <c r="B152" s="22"/>
      <c r="C152" s="22"/>
      <c r="D152" s="22"/>
      <c r="E152" s="22"/>
      <c r="F152" s="22"/>
      <c r="G152" s="22"/>
      <c r="H152" s="22"/>
      <c r="I152" s="22"/>
      <c r="J152" s="22"/>
      <c r="K152" s="22"/>
    </row>
    <row r="153" spans="1:11" ht="14.25" customHeight="1">
      <c r="A153" s="24"/>
      <c r="B153" s="22"/>
      <c r="C153" s="22"/>
      <c r="D153" s="22"/>
      <c r="E153" s="22"/>
      <c r="F153" s="22"/>
      <c r="G153" s="22"/>
      <c r="H153" s="22"/>
      <c r="I153" s="22"/>
      <c r="J153" s="22"/>
      <c r="K153" s="22"/>
    </row>
    <row r="154" spans="1:11" ht="14.25" customHeight="1">
      <c r="A154" s="24"/>
      <c r="B154" s="22"/>
      <c r="C154" s="22"/>
      <c r="D154" s="22"/>
      <c r="E154" s="22"/>
      <c r="F154" s="22"/>
      <c r="G154" s="22"/>
      <c r="H154" s="22"/>
      <c r="I154" s="22"/>
      <c r="J154" s="22"/>
      <c r="K154" s="22"/>
    </row>
    <row r="155" spans="1:11" ht="14.25" customHeight="1">
      <c r="A155" s="24"/>
      <c r="B155" s="22"/>
      <c r="C155" s="22"/>
      <c r="D155" s="22"/>
      <c r="E155" s="22"/>
      <c r="F155" s="22"/>
      <c r="G155" s="22"/>
      <c r="H155" s="22"/>
      <c r="I155" s="22"/>
      <c r="J155" s="22"/>
      <c r="K155" s="22"/>
    </row>
    <row r="156" spans="1:11" ht="14.25" customHeight="1">
      <c r="A156" s="24"/>
      <c r="B156" s="22"/>
      <c r="C156" s="22"/>
      <c r="D156" s="22"/>
      <c r="E156" s="22"/>
      <c r="F156" s="22"/>
      <c r="G156" s="22"/>
      <c r="H156" s="22"/>
      <c r="I156" s="22"/>
      <c r="J156" s="22"/>
      <c r="K156" s="22"/>
    </row>
    <row r="157" spans="1:11" ht="14.25" customHeight="1">
      <c r="A157" s="24"/>
      <c r="B157" s="22"/>
      <c r="C157" s="22"/>
      <c r="D157" s="22"/>
      <c r="E157" s="22"/>
      <c r="F157" s="22"/>
      <c r="G157" s="22"/>
      <c r="H157" s="22"/>
      <c r="I157" s="22"/>
      <c r="J157" s="22"/>
      <c r="K157" s="22"/>
    </row>
    <row r="158" spans="1:11" ht="14.25" customHeight="1">
      <c r="A158" s="24"/>
      <c r="B158" s="22"/>
      <c r="C158" s="22"/>
      <c r="D158" s="22"/>
      <c r="E158" s="22"/>
      <c r="F158" s="22"/>
      <c r="G158" s="22"/>
      <c r="H158" s="22"/>
      <c r="I158" s="22"/>
      <c r="J158" s="22"/>
      <c r="K158" s="22"/>
    </row>
    <row r="159" spans="1:11" ht="14.25" customHeight="1">
      <c r="A159" s="24"/>
      <c r="B159" s="22"/>
      <c r="C159" s="22"/>
      <c r="D159" s="22"/>
      <c r="E159" s="22"/>
      <c r="F159" s="22"/>
      <c r="G159" s="22"/>
      <c r="H159" s="22"/>
      <c r="I159" s="22"/>
      <c r="J159" s="22"/>
      <c r="K159" s="22"/>
    </row>
    <row r="160" spans="1:11" ht="14.25" customHeight="1">
      <c r="A160" s="24"/>
      <c r="B160" s="22"/>
      <c r="C160" s="22"/>
      <c r="D160" s="22"/>
      <c r="E160" s="22"/>
      <c r="F160" s="22"/>
      <c r="G160" s="22"/>
      <c r="H160" s="22"/>
      <c r="I160" s="22"/>
      <c r="J160" s="22"/>
      <c r="K160" s="22"/>
    </row>
    <row r="161" spans="1:11" ht="14.25" customHeight="1">
      <c r="A161" s="24"/>
      <c r="B161" s="22"/>
      <c r="C161" s="22"/>
      <c r="D161" s="22"/>
      <c r="E161" s="22"/>
      <c r="F161" s="22"/>
      <c r="G161" s="22"/>
      <c r="H161" s="22"/>
      <c r="I161" s="22"/>
      <c r="J161" s="22"/>
      <c r="K161" s="22"/>
    </row>
    <row r="162" spans="1:11" ht="14.25" customHeight="1">
      <c r="A162" s="24"/>
      <c r="B162" s="22"/>
      <c r="C162" s="22"/>
      <c r="D162" s="22"/>
      <c r="E162" s="22"/>
      <c r="F162" s="22"/>
      <c r="G162" s="22"/>
      <c r="H162" s="22"/>
      <c r="I162" s="22"/>
      <c r="J162" s="22"/>
      <c r="K162" s="22"/>
    </row>
    <row r="163" spans="1:11" ht="14.25" customHeight="1">
      <c r="A163" s="24"/>
      <c r="B163" s="22"/>
      <c r="C163" s="22"/>
      <c r="D163" s="22"/>
      <c r="E163" s="22"/>
      <c r="F163" s="22"/>
      <c r="G163" s="22"/>
      <c r="H163" s="22"/>
      <c r="I163" s="22"/>
      <c r="J163" s="22"/>
      <c r="K163" s="22"/>
    </row>
    <row r="164" spans="1:11" ht="14.25" customHeight="1">
      <c r="A164" s="24"/>
      <c r="B164" s="22"/>
      <c r="C164" s="22"/>
      <c r="D164" s="22"/>
      <c r="E164" s="22"/>
      <c r="F164" s="22"/>
      <c r="G164" s="22"/>
      <c r="H164" s="22"/>
      <c r="I164" s="22"/>
      <c r="J164" s="22"/>
      <c r="K164" s="22"/>
    </row>
    <row r="165" spans="1:11" ht="14.25" customHeight="1">
      <c r="A165" s="24"/>
      <c r="B165" s="22"/>
      <c r="C165" s="22"/>
      <c r="D165" s="22"/>
      <c r="E165" s="22"/>
      <c r="F165" s="22"/>
      <c r="G165" s="22"/>
      <c r="H165" s="22"/>
      <c r="I165" s="22"/>
      <c r="J165" s="22"/>
      <c r="K165" s="22"/>
    </row>
    <row r="166" spans="1:11" ht="14.25" customHeight="1">
      <c r="A166" s="23"/>
      <c r="B166" s="22"/>
      <c r="C166" s="22"/>
      <c r="D166" s="22"/>
      <c r="E166" s="22"/>
      <c r="F166" s="22"/>
      <c r="G166" s="22"/>
      <c r="H166" s="22"/>
      <c r="I166" s="22"/>
      <c r="J166" s="22"/>
      <c r="K166" s="22"/>
    </row>
    <row r="167" spans="1:11" ht="14.25" customHeight="1">
      <c r="A167" s="24" t="s">
        <v>62</v>
      </c>
      <c r="B167" s="22"/>
      <c r="C167" s="22"/>
      <c r="D167" s="22"/>
      <c r="E167" s="22"/>
      <c r="F167" s="22"/>
      <c r="G167" s="22"/>
      <c r="H167" s="22"/>
      <c r="I167" s="22"/>
      <c r="J167" s="22"/>
      <c r="K167" s="22"/>
    </row>
    <row r="168" spans="1:11" ht="14.25" customHeight="1">
      <c r="A168" s="23"/>
      <c r="B168" s="22"/>
      <c r="C168" s="22"/>
      <c r="D168" s="22"/>
      <c r="E168" s="22"/>
      <c r="F168" s="22"/>
      <c r="G168" s="22"/>
      <c r="H168" s="22"/>
      <c r="I168" s="22"/>
      <c r="J168" s="22"/>
      <c r="K168" s="22"/>
    </row>
    <row r="169" spans="1:11" ht="14.25" customHeight="1">
      <c r="A169" s="24" t="s">
        <v>63</v>
      </c>
      <c r="B169" s="22"/>
      <c r="C169" s="22"/>
      <c r="D169" s="22"/>
      <c r="E169" s="22"/>
      <c r="F169" s="22"/>
      <c r="G169" s="22"/>
      <c r="H169" s="22"/>
      <c r="I169" s="22"/>
      <c r="J169" s="22"/>
      <c r="K169" s="22"/>
    </row>
    <row r="170" spans="1:11" ht="14.25" customHeight="1">
      <c r="A170" s="23"/>
      <c r="B170" s="22"/>
      <c r="C170" s="22"/>
      <c r="D170" s="22"/>
      <c r="E170" s="22"/>
      <c r="F170" s="22"/>
      <c r="G170" s="22"/>
      <c r="H170" s="22"/>
      <c r="I170" s="22"/>
      <c r="J170" s="22"/>
      <c r="K170" s="22"/>
    </row>
    <row r="171" spans="1:11" ht="14.25" customHeight="1">
      <c r="A171" s="24" t="s">
        <v>64</v>
      </c>
      <c r="B171" s="22"/>
      <c r="C171" s="22"/>
      <c r="D171" s="22"/>
      <c r="E171" s="22"/>
      <c r="F171" s="22"/>
      <c r="G171" s="22"/>
      <c r="H171" s="22"/>
      <c r="I171" s="22"/>
      <c r="J171" s="22"/>
      <c r="K171" s="22"/>
    </row>
    <row r="172" spans="1:11" ht="14.25" customHeight="1">
      <c r="A172" s="26"/>
      <c r="B172" s="22"/>
      <c r="C172" s="22"/>
      <c r="D172" s="22"/>
      <c r="E172" s="22"/>
      <c r="F172" s="22"/>
      <c r="G172" s="22"/>
      <c r="H172" s="22"/>
      <c r="I172" s="22"/>
      <c r="J172" s="22"/>
      <c r="K172" s="22"/>
    </row>
    <row r="173" spans="1:11" ht="14.25" customHeight="1">
      <c r="A173" s="26" t="s">
        <v>65</v>
      </c>
      <c r="B173" s="22"/>
      <c r="C173" s="22"/>
      <c r="D173" s="22"/>
      <c r="E173" s="22"/>
      <c r="F173" s="22"/>
      <c r="G173" s="22"/>
      <c r="H173" s="22"/>
      <c r="I173" s="22"/>
      <c r="J173" s="22"/>
      <c r="K173" s="22"/>
    </row>
    <row r="174" spans="1:11" ht="14.25" customHeight="1">
      <c r="A174" s="23"/>
      <c r="B174" s="22"/>
      <c r="C174" s="22"/>
      <c r="D174" s="22"/>
      <c r="E174" s="22"/>
      <c r="F174" s="22"/>
      <c r="G174" s="22"/>
      <c r="H174" s="22"/>
      <c r="I174" s="22"/>
      <c r="J174" s="22"/>
      <c r="K174" s="22"/>
    </row>
    <row r="175" spans="1:11" ht="14.25" customHeight="1">
      <c r="A175" s="26" t="s">
        <v>66</v>
      </c>
      <c r="B175" s="22"/>
      <c r="C175" s="22"/>
      <c r="D175" s="22"/>
      <c r="E175" s="22"/>
      <c r="F175" s="22"/>
      <c r="G175" s="22"/>
      <c r="H175" s="22"/>
      <c r="I175" s="22"/>
      <c r="J175" s="22"/>
      <c r="K175" s="22"/>
    </row>
    <row r="176" spans="1:11" ht="14.25" customHeight="1">
      <c r="A176" s="23"/>
      <c r="B176" s="22"/>
      <c r="C176" s="22"/>
      <c r="D176" s="22"/>
      <c r="E176" s="22"/>
      <c r="F176" s="22"/>
      <c r="G176" s="22"/>
      <c r="H176" s="22"/>
      <c r="I176" s="22"/>
      <c r="J176" s="22"/>
      <c r="K176" s="22"/>
    </row>
    <row r="177" spans="1:11" ht="14.25" customHeight="1">
      <c r="A177" s="26" t="s">
        <v>67</v>
      </c>
      <c r="B177" s="22"/>
      <c r="C177" s="22"/>
      <c r="D177" s="22"/>
      <c r="E177" s="22"/>
      <c r="F177" s="22"/>
      <c r="G177" s="22"/>
      <c r="H177" s="22"/>
      <c r="I177" s="22"/>
      <c r="J177" s="22"/>
      <c r="K177" s="22"/>
    </row>
    <row r="178" spans="1:11" ht="14.25" customHeight="1">
      <c r="A178" s="26"/>
      <c r="B178" s="22"/>
      <c r="C178" s="22"/>
      <c r="D178" s="22"/>
      <c r="E178" s="22"/>
      <c r="F178" s="22"/>
      <c r="G178" s="22"/>
      <c r="H178" s="22"/>
      <c r="I178" s="22"/>
      <c r="J178" s="22"/>
      <c r="K178" s="22"/>
    </row>
    <row r="179" spans="1:11" ht="14.25" customHeight="1">
      <c r="A179" s="26" t="s">
        <v>68</v>
      </c>
      <c r="B179" s="22"/>
      <c r="C179" s="22"/>
      <c r="D179" s="22"/>
      <c r="E179" s="22"/>
      <c r="F179" s="22"/>
      <c r="G179" s="22"/>
      <c r="H179" s="22"/>
      <c r="I179" s="22"/>
      <c r="J179" s="22"/>
      <c r="K179" s="22"/>
    </row>
    <row r="180" spans="1:11" ht="14.25" customHeight="1">
      <c r="A180" s="23"/>
      <c r="B180" s="22"/>
      <c r="C180" s="22"/>
      <c r="D180" s="22"/>
      <c r="E180" s="22"/>
      <c r="F180" s="22"/>
      <c r="G180" s="22"/>
      <c r="H180" s="22"/>
      <c r="I180" s="22"/>
      <c r="J180" s="22"/>
      <c r="K180" s="22"/>
    </row>
    <row r="181" spans="1:11" ht="14.25" customHeight="1">
      <c r="A181" s="26" t="s">
        <v>69</v>
      </c>
      <c r="B181" s="22"/>
      <c r="C181" s="22"/>
      <c r="D181" s="22"/>
      <c r="E181" s="22"/>
      <c r="F181" s="22"/>
      <c r="G181" s="22"/>
      <c r="H181" s="22"/>
      <c r="I181" s="22"/>
      <c r="J181" s="22"/>
      <c r="K181" s="22"/>
    </row>
    <row r="182" spans="1:11" ht="14.25" customHeight="1">
      <c r="A182" s="23"/>
      <c r="B182" s="22"/>
      <c r="C182" s="22"/>
      <c r="D182" s="22"/>
      <c r="E182" s="22"/>
      <c r="F182" s="22"/>
      <c r="G182" s="22"/>
      <c r="H182" s="22"/>
      <c r="I182" s="22"/>
      <c r="J182" s="22"/>
      <c r="K182" s="22"/>
    </row>
    <row r="183" spans="1:11" ht="14.25" customHeight="1">
      <c r="A183" s="26" t="s">
        <v>70</v>
      </c>
      <c r="B183" s="22"/>
      <c r="C183" s="22"/>
      <c r="D183" s="22"/>
      <c r="E183" s="22"/>
      <c r="F183" s="22"/>
      <c r="G183" s="22"/>
      <c r="H183" s="22"/>
      <c r="I183" s="22"/>
      <c r="J183" s="22"/>
      <c r="K183" s="22"/>
    </row>
    <row r="184" spans="1:11" ht="14.25" customHeight="1">
      <c r="A184" s="23"/>
      <c r="B184" s="22"/>
      <c r="C184" s="22"/>
      <c r="D184" s="22"/>
      <c r="E184" s="22"/>
      <c r="F184" s="22"/>
      <c r="G184" s="22"/>
      <c r="H184" s="22"/>
      <c r="I184" s="22"/>
      <c r="J184" s="22"/>
      <c r="K184" s="22"/>
    </row>
    <row r="185" spans="1:11" ht="14.25" customHeight="1">
      <c r="A185" s="26" t="s">
        <v>71</v>
      </c>
      <c r="B185" s="22"/>
      <c r="C185" s="22"/>
      <c r="D185" s="22"/>
      <c r="E185" s="22"/>
      <c r="F185" s="22"/>
      <c r="G185" s="22"/>
      <c r="H185" s="22"/>
      <c r="I185" s="22"/>
      <c r="J185" s="22"/>
      <c r="K185" s="22"/>
    </row>
    <row r="186" spans="1:11" ht="14.25" customHeight="1">
      <c r="A186" s="23"/>
      <c r="B186" s="22"/>
      <c r="C186" s="22"/>
      <c r="D186" s="22"/>
      <c r="E186" s="22"/>
      <c r="F186" s="22"/>
      <c r="G186" s="22"/>
      <c r="H186" s="22"/>
      <c r="I186" s="22"/>
      <c r="J186" s="22"/>
      <c r="K186" s="22"/>
    </row>
    <row r="187" spans="1:11" ht="14.25" customHeight="1">
      <c r="A187" s="26" t="s">
        <v>72</v>
      </c>
      <c r="B187" s="22"/>
      <c r="C187" s="22"/>
      <c r="D187" s="22"/>
      <c r="E187" s="22"/>
      <c r="F187" s="22"/>
      <c r="G187" s="22"/>
      <c r="H187" s="22"/>
      <c r="I187" s="22"/>
      <c r="J187" s="22"/>
      <c r="K187" s="22"/>
    </row>
    <row r="188" spans="1:11" ht="14.25" customHeight="1">
      <c r="A188" s="22"/>
      <c r="B188" s="22"/>
      <c r="C188" s="22"/>
      <c r="D188" s="22"/>
      <c r="E188" s="22"/>
      <c r="F188" s="22"/>
      <c r="G188" s="22"/>
      <c r="H188" s="22"/>
      <c r="I188" s="22"/>
      <c r="J188" s="22"/>
      <c r="K188" s="22"/>
    </row>
    <row r="189" spans="1:11" s="322" customFormat="1" ht="14.25" customHeight="1">
      <c r="B189" s="323" t="s">
        <v>73</v>
      </c>
      <c r="C189" s="324"/>
      <c r="D189" s="324"/>
      <c r="E189" s="324"/>
      <c r="F189" s="324"/>
      <c r="G189" s="324"/>
      <c r="H189" s="324"/>
      <c r="I189" s="324"/>
      <c r="J189" s="324"/>
      <c r="K189" s="324"/>
    </row>
    <row r="190" spans="1:11" ht="14.25" customHeight="1">
      <c r="A190" s="25"/>
      <c r="B190" s="22"/>
      <c r="C190" s="22"/>
      <c r="D190" s="22"/>
      <c r="E190" s="22"/>
      <c r="F190" s="22"/>
      <c r="G190" s="22"/>
      <c r="H190" s="22"/>
      <c r="I190" s="22"/>
      <c r="J190" s="22"/>
      <c r="K190" s="22"/>
    </row>
    <row r="191" spans="1:11" ht="14.25" customHeight="1">
      <c r="A191" s="24" t="s">
        <v>74</v>
      </c>
      <c r="B191" s="22"/>
      <c r="C191" s="22"/>
      <c r="D191" s="22"/>
      <c r="E191" s="22"/>
      <c r="F191" s="22"/>
      <c r="G191" s="22"/>
      <c r="H191" s="22"/>
      <c r="I191" s="22"/>
      <c r="J191" s="22"/>
      <c r="K191" s="22"/>
    </row>
    <row r="192" spans="1:11" ht="14.25" customHeight="1">
      <c r="A192" s="24"/>
      <c r="B192" s="22"/>
      <c r="C192" s="22"/>
      <c r="D192" s="22"/>
      <c r="E192" s="22"/>
      <c r="F192" s="22"/>
      <c r="G192" s="22"/>
      <c r="H192" s="22"/>
      <c r="I192" s="22"/>
      <c r="J192" s="22"/>
      <c r="K192" s="22"/>
    </row>
    <row r="193" spans="1:11" ht="14.25" customHeight="1">
      <c r="A193" t="s">
        <v>75</v>
      </c>
      <c r="B193">
        <v>150000</v>
      </c>
      <c r="D193" s="22"/>
      <c r="E193" s="22"/>
      <c r="F193" s="22"/>
      <c r="G193" s="22"/>
      <c r="H193" s="22"/>
      <c r="I193" s="22"/>
      <c r="J193" s="22"/>
      <c r="K193" s="22"/>
    </row>
    <row r="194" spans="1:11" ht="14.25" customHeight="1">
      <c r="A194" t="s">
        <v>76</v>
      </c>
      <c r="B194">
        <v>205000</v>
      </c>
      <c r="D194" s="22"/>
      <c r="E194" s="22"/>
      <c r="F194" s="22"/>
      <c r="G194" s="22"/>
      <c r="H194" s="22"/>
      <c r="I194" s="22"/>
      <c r="J194" s="22"/>
      <c r="K194" s="22"/>
    </row>
    <row r="195" spans="1:11" ht="14.25" customHeight="1">
      <c r="A195" t="s">
        <v>77</v>
      </c>
      <c r="B195">
        <v>150</v>
      </c>
      <c r="D195" s="22"/>
      <c r="E195" s="22"/>
      <c r="F195" s="22"/>
      <c r="G195" s="22"/>
      <c r="H195" s="22"/>
      <c r="I195" s="22"/>
      <c r="J195" s="22"/>
      <c r="K195" s="22"/>
    </row>
    <row r="196" spans="1:11" ht="14.25" customHeight="1">
      <c r="A196" t="s">
        <v>78</v>
      </c>
      <c r="B196">
        <v>365</v>
      </c>
      <c r="D196" s="22"/>
      <c r="E196" s="22"/>
      <c r="F196" s="22"/>
      <c r="G196" s="22"/>
      <c r="H196" s="22"/>
      <c r="I196" s="22"/>
      <c r="J196" s="22"/>
      <c r="K196" s="22"/>
    </row>
    <row r="197" spans="1:11" ht="14.25" customHeight="1">
      <c r="D197" s="22"/>
      <c r="E197" s="22"/>
      <c r="F197" s="22"/>
      <c r="G197" s="22"/>
      <c r="H197" s="22"/>
      <c r="I197" s="22"/>
      <c r="J197" s="22"/>
      <c r="K197" s="22"/>
    </row>
    <row r="198" spans="1:11" ht="14.25" customHeight="1">
      <c r="A198" t="s">
        <v>79</v>
      </c>
      <c r="D198" s="22"/>
      <c r="E198" s="22"/>
      <c r="F198" s="22"/>
      <c r="G198" s="22"/>
      <c r="H198" s="22"/>
      <c r="I198" s="22"/>
      <c r="J198" s="22"/>
      <c r="K198" s="22"/>
    </row>
    <row r="199" spans="1:11" ht="14.25" customHeight="1">
      <c r="A199" t="s">
        <v>80</v>
      </c>
      <c r="C199" s="16">
        <f>(B194-B193)/(B193*B195/B196)</f>
        <v>0.89222222222222214</v>
      </c>
      <c r="D199" s="22"/>
      <c r="E199" s="22"/>
      <c r="F199" s="22"/>
      <c r="G199" s="22"/>
      <c r="H199" s="22"/>
      <c r="I199" s="22"/>
      <c r="J199" s="22"/>
      <c r="K199" s="22"/>
    </row>
    <row r="200" spans="1:11" ht="14.25" customHeight="1">
      <c r="A200" s="24" t="s">
        <v>81</v>
      </c>
      <c r="B200" s="22"/>
      <c r="C200" s="22"/>
      <c r="D200" s="22"/>
      <c r="E200" s="22"/>
      <c r="F200" s="22"/>
      <c r="G200" s="22"/>
      <c r="H200" s="22"/>
      <c r="I200" s="22"/>
      <c r="J200" s="22"/>
      <c r="K200" s="22"/>
    </row>
    <row r="201" spans="1:11" ht="14.25" customHeight="1">
      <c r="A201" s="24"/>
      <c r="B201" s="22"/>
      <c r="C201" s="22"/>
      <c r="D201" s="22"/>
      <c r="E201" s="22"/>
      <c r="F201" s="22"/>
      <c r="G201" s="22"/>
      <c r="H201" s="22"/>
      <c r="I201" s="22"/>
      <c r="J201" s="22"/>
      <c r="K201" s="22"/>
    </row>
    <row r="202" spans="1:11" ht="14.25" customHeight="1">
      <c r="A202" t="s">
        <v>76</v>
      </c>
      <c r="B202">
        <v>20000000</v>
      </c>
      <c r="C202" s="22"/>
      <c r="D202" s="22"/>
      <c r="E202" s="22"/>
      <c r="F202" s="22"/>
      <c r="G202" s="22"/>
      <c r="H202" s="22"/>
      <c r="I202" s="22"/>
      <c r="J202" s="22"/>
      <c r="K202" s="22"/>
    </row>
    <row r="203" spans="1:11" ht="14.25" customHeight="1">
      <c r="A203" t="s">
        <v>82</v>
      </c>
      <c r="B203" s="2">
        <v>0.12</v>
      </c>
      <c r="C203" s="22"/>
      <c r="D203" s="22"/>
      <c r="E203" s="22"/>
      <c r="F203" s="22"/>
      <c r="G203" s="22"/>
      <c r="H203" s="22"/>
      <c r="I203" s="22"/>
      <c r="J203" s="22"/>
      <c r="K203" s="22"/>
    </row>
    <row r="204" spans="1:11" ht="14.25" customHeight="1">
      <c r="C204" s="22"/>
      <c r="D204" s="22"/>
      <c r="E204" s="22"/>
      <c r="F204" s="22"/>
      <c r="G204" s="22"/>
      <c r="H204" s="22"/>
      <c r="I204" s="22"/>
      <c r="J204" s="22"/>
      <c r="K204" s="22"/>
    </row>
    <row r="205" spans="1:11" ht="14.25" customHeight="1">
      <c r="A205" t="s">
        <v>83</v>
      </c>
      <c r="B205" s="16">
        <f>B202*B203/12</f>
        <v>200000</v>
      </c>
      <c r="C205" s="22"/>
      <c r="D205" s="22"/>
      <c r="E205" s="22"/>
      <c r="F205" s="22"/>
      <c r="G205" s="22"/>
      <c r="H205" s="22"/>
      <c r="I205" s="22"/>
      <c r="J205" s="22"/>
      <c r="K205" s="22"/>
    </row>
    <row r="206" spans="1:11" ht="14.25" customHeight="1">
      <c r="A206" t="s">
        <v>84</v>
      </c>
      <c r="B206" s="16">
        <f>B202*(1+B203)^(1/12)-B202</f>
        <v>189775.85869166255</v>
      </c>
      <c r="C206" s="22"/>
      <c r="D206" s="22"/>
      <c r="E206" s="22"/>
      <c r="F206" s="22"/>
      <c r="G206" s="22"/>
      <c r="H206" s="22"/>
      <c r="I206" s="22"/>
      <c r="J206" s="22"/>
      <c r="K206" s="22"/>
    </row>
    <row r="207" spans="1:11" ht="14.25" customHeight="1">
      <c r="A207" s="23"/>
      <c r="B207" s="22"/>
      <c r="C207" s="22"/>
      <c r="D207" s="22"/>
      <c r="E207" s="22"/>
      <c r="F207" s="22"/>
      <c r="G207" s="22"/>
      <c r="H207" s="22"/>
      <c r="I207" s="22"/>
      <c r="J207" s="22"/>
      <c r="K207" s="22"/>
    </row>
    <row r="208" spans="1:11" ht="14.25" customHeight="1">
      <c r="A208" s="24" t="s">
        <v>85</v>
      </c>
      <c r="B208" s="22"/>
      <c r="C208" s="22"/>
      <c r="D208" s="22"/>
      <c r="E208" s="22"/>
      <c r="F208" s="22"/>
      <c r="G208" s="22"/>
      <c r="H208" s="22"/>
      <c r="I208" s="22"/>
      <c r="J208" s="22"/>
      <c r="K208" s="22"/>
    </row>
    <row r="209" spans="1:11" ht="14.25" customHeight="1">
      <c r="A209" s="23"/>
      <c r="B209" s="22"/>
      <c r="C209" s="22"/>
      <c r="D209" s="22"/>
      <c r="E209" s="22"/>
      <c r="F209" s="22"/>
      <c r="G209" s="22"/>
      <c r="H209" s="22"/>
      <c r="I209" s="22"/>
      <c r="J209" s="22"/>
      <c r="K209" s="22"/>
    </row>
    <row r="210" spans="1:11" ht="14.25" customHeight="1">
      <c r="A210" s="24" t="s">
        <v>86</v>
      </c>
      <c r="B210" s="22"/>
      <c r="C210" s="22"/>
      <c r="D210" s="22"/>
      <c r="E210" s="22"/>
      <c r="F210" s="22"/>
      <c r="G210" s="22"/>
      <c r="H210" s="22"/>
      <c r="I210" s="22"/>
      <c r="J210" s="22"/>
      <c r="K210" s="22"/>
    </row>
    <row r="211" spans="1:11" ht="14.25" customHeight="1">
      <c r="A211" s="23"/>
      <c r="B211" s="22"/>
      <c r="C211" s="22"/>
      <c r="D211" s="22"/>
      <c r="E211" s="22"/>
      <c r="F211" s="22"/>
      <c r="G211" s="22"/>
      <c r="H211" s="22"/>
      <c r="I211" s="22"/>
      <c r="J211" s="22"/>
      <c r="K211" s="22"/>
    </row>
    <row r="212" spans="1:11" ht="14.25" customHeight="1">
      <c r="A212" s="24" t="s">
        <v>87</v>
      </c>
      <c r="B212" s="22"/>
      <c r="C212" s="22"/>
      <c r="D212" s="22"/>
      <c r="E212" s="22"/>
      <c r="F212" s="22"/>
      <c r="G212" s="22"/>
      <c r="H212" s="22"/>
      <c r="I212" s="22"/>
      <c r="J212" s="22"/>
      <c r="K212" s="22"/>
    </row>
    <row r="213" spans="1:11" ht="14.25" customHeight="1">
      <c r="A213" s="23"/>
      <c r="B213" s="22"/>
      <c r="C213" s="22"/>
      <c r="D213" s="22"/>
      <c r="E213" s="22"/>
      <c r="F213" s="22"/>
      <c r="G213" s="22"/>
      <c r="H213" s="22"/>
      <c r="I213" s="22"/>
      <c r="J213" s="22"/>
      <c r="K213" s="22"/>
    </row>
    <row r="214" spans="1:11" ht="14.25" customHeight="1">
      <c r="A214" s="24" t="s">
        <v>88</v>
      </c>
      <c r="B214" s="22"/>
      <c r="C214" s="22"/>
      <c r="D214" s="22"/>
      <c r="E214" s="22"/>
      <c r="F214" s="22"/>
      <c r="G214" s="22"/>
      <c r="H214" s="22"/>
      <c r="I214" s="22"/>
      <c r="J214" s="22"/>
      <c r="K214" s="22"/>
    </row>
    <row r="215" spans="1:11" ht="14.25" customHeight="1">
      <c r="A215" s="24"/>
      <c r="B215" s="22"/>
      <c r="C215" s="22"/>
      <c r="D215" s="22"/>
      <c r="E215" s="22"/>
      <c r="F215" s="22"/>
      <c r="G215" s="22"/>
      <c r="H215" s="22"/>
      <c r="I215" s="22"/>
      <c r="J215" s="22"/>
      <c r="K215" s="22"/>
    </row>
    <row r="216" spans="1:11" ht="14.25" customHeight="1">
      <c r="A216" s="23"/>
      <c r="B216" s="22"/>
      <c r="C216" s="22"/>
      <c r="D216" s="22"/>
      <c r="E216" s="22"/>
      <c r="F216" s="22"/>
      <c r="G216" s="22"/>
      <c r="H216" s="22"/>
      <c r="I216" s="22"/>
      <c r="J216" s="22"/>
      <c r="K216" s="22"/>
    </row>
    <row r="217" spans="1:11" ht="14.25" customHeight="1">
      <c r="A217" s="24" t="s">
        <v>89</v>
      </c>
      <c r="B217" s="22"/>
      <c r="C217" s="22"/>
      <c r="D217" s="22"/>
      <c r="E217" s="22"/>
      <c r="F217" s="22"/>
      <c r="G217" s="22"/>
      <c r="H217" s="22"/>
      <c r="I217" s="22"/>
      <c r="J217" s="22"/>
      <c r="K217" s="22"/>
    </row>
    <row r="218" spans="1:11" ht="14.25" customHeight="1">
      <c r="A218" s="23"/>
      <c r="B218" s="22"/>
      <c r="C218" s="22"/>
      <c r="D218" s="22"/>
      <c r="E218" s="22"/>
      <c r="F218" s="22"/>
      <c r="G218" s="22"/>
      <c r="H218" s="22"/>
      <c r="I218" s="22"/>
      <c r="J218" s="22"/>
      <c r="K218" s="22"/>
    </row>
    <row r="219" spans="1:11" ht="14.25" customHeight="1">
      <c r="A219" s="24" t="s">
        <v>90</v>
      </c>
      <c r="B219" s="22"/>
      <c r="C219" s="22"/>
      <c r="D219" s="22"/>
      <c r="E219" s="22"/>
      <c r="F219" s="22"/>
      <c r="G219" s="22"/>
      <c r="H219" s="22"/>
      <c r="I219" s="22"/>
      <c r="J219" s="22"/>
      <c r="K219" s="22"/>
    </row>
    <row r="220" spans="1:11" ht="14.25" customHeight="1">
      <c r="A220" s="23"/>
      <c r="B220" s="22"/>
      <c r="C220" s="22"/>
      <c r="D220" s="22"/>
      <c r="E220" s="22"/>
      <c r="F220" s="22"/>
      <c r="G220" s="22"/>
      <c r="H220" s="22"/>
      <c r="I220" s="22"/>
      <c r="J220" s="22"/>
      <c r="K220" s="22"/>
    </row>
    <row r="221" spans="1:11" ht="14.25" customHeight="1">
      <c r="A221" s="23"/>
      <c r="B221" s="22"/>
      <c r="C221" s="22"/>
      <c r="D221" s="22"/>
      <c r="E221" s="22"/>
      <c r="F221" s="22"/>
      <c r="G221" s="22"/>
      <c r="H221" s="22"/>
      <c r="I221" s="22"/>
      <c r="J221" s="22"/>
      <c r="K221" s="22"/>
    </row>
    <row r="222" spans="1:11" ht="14.25" customHeight="1">
      <c r="A222" s="328" t="s">
        <v>91</v>
      </c>
      <c r="B222" s="22"/>
      <c r="C222" s="22"/>
      <c r="D222" s="22"/>
      <c r="E222" s="22"/>
      <c r="F222" s="22"/>
      <c r="G222" s="22"/>
      <c r="H222" s="22"/>
      <c r="I222" s="22"/>
      <c r="J222" s="22"/>
      <c r="K222" s="22"/>
    </row>
    <row r="223" spans="1:11" ht="14.25" customHeight="1">
      <c r="A223" s="327" t="s">
        <v>92</v>
      </c>
      <c r="B223" s="22">
        <v>600000</v>
      </c>
      <c r="C223" s="22"/>
      <c r="D223" s="22"/>
      <c r="E223" s="22"/>
      <c r="F223" s="22"/>
      <c r="G223" s="22"/>
      <c r="H223" s="22"/>
      <c r="I223" s="22"/>
      <c r="J223" s="22"/>
      <c r="K223" s="22"/>
    </row>
    <row r="224" spans="1:11" ht="14.25" customHeight="1">
      <c r="A224" s="327" t="s">
        <v>48</v>
      </c>
      <c r="B224" s="22">
        <v>1</v>
      </c>
      <c r="C224" s="22"/>
      <c r="D224" s="22"/>
      <c r="E224" s="22"/>
      <c r="F224" s="22"/>
      <c r="G224" s="22"/>
      <c r="H224" s="22"/>
      <c r="I224" s="22"/>
      <c r="J224" s="22"/>
      <c r="K224" s="22"/>
    </row>
    <row r="225" spans="1:11" ht="14.25" customHeight="1">
      <c r="A225" s="24" t="s">
        <v>93</v>
      </c>
      <c r="B225" s="22"/>
      <c r="C225" s="22"/>
      <c r="D225" s="22"/>
      <c r="E225" s="22"/>
      <c r="F225" s="22"/>
      <c r="G225" s="22"/>
      <c r="H225" s="22"/>
      <c r="I225" s="22"/>
      <c r="J225" s="22"/>
      <c r="K225" s="22"/>
    </row>
    <row r="226" spans="1:11" ht="14.25" customHeight="1">
      <c r="A226" s="24" t="s">
        <v>43</v>
      </c>
      <c r="B226" s="34">
        <v>0.11</v>
      </c>
      <c r="C226" s="22"/>
      <c r="D226" s="22"/>
      <c r="E226" s="22"/>
      <c r="F226" s="22"/>
      <c r="G226" s="22"/>
      <c r="H226" s="22"/>
      <c r="I226" s="22"/>
      <c r="J226" s="22"/>
      <c r="K226" s="22"/>
    </row>
    <row r="227" spans="1:11" ht="14.25" customHeight="1">
      <c r="A227" s="24" t="s">
        <v>42</v>
      </c>
      <c r="B227" s="22">
        <v>4</v>
      </c>
      <c r="C227" s="22"/>
      <c r="D227" s="22"/>
      <c r="E227" s="22"/>
      <c r="F227" s="22"/>
      <c r="G227" s="22"/>
      <c r="H227" s="22"/>
      <c r="I227" s="22"/>
      <c r="J227" s="22"/>
      <c r="K227" s="22"/>
    </row>
    <row r="228" spans="1:11" ht="14.25" customHeight="1">
      <c r="A228" s="24"/>
      <c r="B228" s="334"/>
      <c r="C228" s="22"/>
      <c r="D228" s="22"/>
      <c r="E228" s="22"/>
      <c r="F228" s="22"/>
      <c r="G228" s="22"/>
      <c r="H228" s="22"/>
      <c r="I228" s="22"/>
      <c r="J228" s="22"/>
      <c r="K228" s="22"/>
    </row>
    <row r="229" spans="1:11" ht="14.25" customHeight="1">
      <c r="A229" s="24" t="s">
        <v>94</v>
      </c>
      <c r="B229" s="22"/>
      <c r="C229" s="22"/>
      <c r="D229" s="22"/>
      <c r="E229" s="22"/>
      <c r="F229" s="22"/>
      <c r="G229" s="22"/>
      <c r="H229" s="22"/>
      <c r="I229" s="22"/>
      <c r="J229" s="22"/>
      <c r="K229" s="22"/>
    </row>
    <row r="230" spans="1:11" ht="14.25" customHeight="1">
      <c r="A230" s="24" t="s">
        <v>43</v>
      </c>
      <c r="B230" s="36">
        <v>0.113</v>
      </c>
      <c r="C230" s="22"/>
      <c r="D230" s="22"/>
      <c r="E230" s="22"/>
      <c r="F230" s="22"/>
      <c r="G230" s="22"/>
      <c r="H230" s="22"/>
      <c r="I230" s="22"/>
      <c r="J230" s="22"/>
      <c r="K230" s="22"/>
    </row>
    <row r="231" spans="1:11" ht="14.25" customHeight="1">
      <c r="A231" s="24" t="s">
        <v>42</v>
      </c>
      <c r="B231" s="22">
        <v>2</v>
      </c>
      <c r="C231" s="22"/>
      <c r="D231" s="22"/>
      <c r="E231" s="22"/>
      <c r="F231" s="22"/>
      <c r="G231" s="22"/>
      <c r="H231" s="22"/>
      <c r="I231" s="22"/>
      <c r="J231" s="22"/>
      <c r="K231" s="22"/>
    </row>
    <row r="232" spans="1:11" ht="14.25" customHeight="1">
      <c r="A232" s="26"/>
      <c r="B232" s="22"/>
      <c r="C232" s="22"/>
      <c r="D232" s="22"/>
      <c r="E232" s="22"/>
      <c r="F232" s="22"/>
      <c r="G232" s="22"/>
      <c r="H232" s="22"/>
      <c r="I232" s="22"/>
      <c r="J232" s="22"/>
      <c r="K232" s="22"/>
    </row>
    <row r="233" spans="1:11" ht="14.25" customHeight="1">
      <c r="A233" s="26" t="s">
        <v>95</v>
      </c>
      <c r="B233" s="22"/>
      <c r="C233" s="22"/>
      <c r="D233" s="22"/>
      <c r="E233" s="22"/>
      <c r="F233" s="22"/>
      <c r="G233" s="22"/>
      <c r="H233" s="22"/>
      <c r="I233" s="22"/>
      <c r="J233" s="22"/>
      <c r="K233" s="22"/>
    </row>
    <row r="234" spans="1:11" ht="14.25" customHeight="1">
      <c r="A234" s="26" t="s">
        <v>43</v>
      </c>
      <c r="B234" s="36">
        <v>0.115</v>
      </c>
      <c r="C234" s="22"/>
      <c r="D234" s="22"/>
      <c r="E234" s="22"/>
      <c r="F234" s="22"/>
      <c r="G234" s="22"/>
      <c r="H234" s="22"/>
      <c r="I234" s="22"/>
      <c r="J234" s="22"/>
      <c r="K234" s="22"/>
    </row>
    <row r="235" spans="1:11" ht="14.25" customHeight="1">
      <c r="A235" s="26" t="s">
        <v>42</v>
      </c>
      <c r="B235" s="22">
        <v>1</v>
      </c>
      <c r="C235" s="22"/>
      <c r="D235" s="22"/>
      <c r="E235" s="22"/>
      <c r="F235" s="22"/>
      <c r="G235" s="22"/>
      <c r="H235" s="22"/>
      <c r="I235" s="22"/>
      <c r="J235" s="22"/>
      <c r="K235" s="22"/>
    </row>
    <row r="236" spans="1:11" ht="14.25" customHeight="1">
      <c r="A236" s="26"/>
      <c r="B236" s="22"/>
      <c r="C236" s="22"/>
      <c r="D236" s="22"/>
      <c r="E236" s="22"/>
      <c r="F236" s="22"/>
      <c r="G236" s="22"/>
      <c r="H236" s="22"/>
      <c r="I236" s="22"/>
      <c r="J236" s="22"/>
      <c r="K236" s="22"/>
    </row>
    <row r="237" spans="1:11" ht="14.25" customHeight="1">
      <c r="A237" s="26" t="s">
        <v>96</v>
      </c>
      <c r="B237" s="22"/>
      <c r="C237" s="22"/>
      <c r="D237" s="22"/>
      <c r="E237" s="22"/>
      <c r="F237" s="22"/>
      <c r="G237" s="22"/>
      <c r="H237" s="22"/>
      <c r="I237" s="22"/>
      <c r="J237" s="22"/>
      <c r="K237" s="22"/>
    </row>
    <row r="238" spans="1:11" ht="14.25" customHeight="1">
      <c r="A238" s="26"/>
      <c r="B238" s="22"/>
      <c r="C238" s="22"/>
      <c r="D238" s="22"/>
      <c r="E238" s="22"/>
      <c r="F238" s="22"/>
      <c r="G238" s="22"/>
      <c r="H238" s="22"/>
      <c r="I238" s="22"/>
      <c r="J238" s="22"/>
      <c r="K238" s="22"/>
    </row>
    <row r="239" spans="1:11" ht="14.25" customHeight="1">
      <c r="A239" s="26" t="s">
        <v>93</v>
      </c>
      <c r="B239" s="22" t="s">
        <v>97</v>
      </c>
      <c r="C239" s="22">
        <f>B223*(1+B226/B227)^(B227*B224)</f>
        <v>668772.75564843765</v>
      </c>
      <c r="D239" s="22"/>
      <c r="E239" s="22"/>
      <c r="F239" s="22"/>
      <c r="G239" s="22"/>
      <c r="H239" s="22"/>
      <c r="I239" s="22"/>
      <c r="J239" s="22"/>
      <c r="K239" s="22"/>
    </row>
    <row r="240" spans="1:11" ht="14.25" customHeight="1">
      <c r="A240" s="26" t="s">
        <v>94</v>
      </c>
      <c r="B240" s="22" t="s">
        <v>97</v>
      </c>
      <c r="C240" s="335">
        <f>B223*(1+B230/B231)^(B231*B224)</f>
        <v>669715.35</v>
      </c>
      <c r="D240" s="22"/>
      <c r="E240" s="22"/>
      <c r="F240" s="22"/>
      <c r="G240" s="22"/>
      <c r="H240" s="22"/>
      <c r="I240" s="22"/>
      <c r="J240" s="22"/>
      <c r="K240" s="22"/>
    </row>
    <row r="241" spans="1:11" ht="14.25" customHeight="1">
      <c r="A241" s="26" t="s">
        <v>95</v>
      </c>
      <c r="B241" s="22" t="s">
        <v>97</v>
      </c>
      <c r="C241" s="22">
        <f>B223*(1+B234/B235)^(B235*B224)</f>
        <v>669000</v>
      </c>
      <c r="D241" s="22"/>
      <c r="E241" s="22"/>
      <c r="F241" s="22"/>
      <c r="G241" s="22"/>
      <c r="H241" s="22"/>
      <c r="I241" s="22"/>
      <c r="J241" s="22"/>
      <c r="K241" s="22"/>
    </row>
    <row r="242" spans="1:11" ht="14.25" customHeight="1">
      <c r="A242" s="26"/>
      <c r="B242" s="22"/>
      <c r="C242" s="22"/>
      <c r="D242" s="22"/>
      <c r="E242" s="22"/>
      <c r="F242" s="22"/>
      <c r="G242" s="22"/>
      <c r="H242" s="22"/>
      <c r="I242" s="22"/>
      <c r="J242" s="22"/>
      <c r="K242" s="22"/>
    </row>
    <row r="243" spans="1:11" ht="14.25" customHeight="1">
      <c r="A243" s="26" t="s">
        <v>98</v>
      </c>
      <c r="B243" s="22"/>
      <c r="C243" s="22"/>
      <c r="D243" s="22"/>
      <c r="E243" s="22"/>
      <c r="F243" s="22"/>
      <c r="G243" s="22"/>
      <c r="H243" s="22"/>
      <c r="I243" s="22"/>
      <c r="J243" s="22"/>
      <c r="K243" s="22"/>
    </row>
    <row r="244" spans="1:11" ht="14.25" customHeight="1">
      <c r="A244" s="26"/>
      <c r="B244" s="22"/>
      <c r="C244" s="22"/>
      <c r="D244" s="22"/>
      <c r="E244" s="22"/>
      <c r="F244" s="22"/>
      <c r="G244" s="22"/>
      <c r="H244" s="22"/>
      <c r="I244" s="22"/>
      <c r="J244" s="22"/>
      <c r="K244" s="22"/>
    </row>
    <row r="245" spans="1:11" s="340" customFormat="1" ht="14.25" customHeight="1">
      <c r="A245" s="338" t="s">
        <v>99</v>
      </c>
      <c r="B245" s="339"/>
      <c r="C245" s="339"/>
      <c r="D245" s="339"/>
      <c r="E245" s="339"/>
      <c r="F245" s="339"/>
      <c r="G245" s="339"/>
      <c r="H245" s="339"/>
      <c r="I245" s="339"/>
      <c r="J245" s="339"/>
      <c r="K245" s="339"/>
    </row>
    <row r="246" spans="1:11" ht="14.25" customHeight="1">
      <c r="A246" s="24"/>
      <c r="B246" s="22"/>
      <c r="C246" s="22"/>
      <c r="D246" s="22"/>
      <c r="E246" s="22"/>
      <c r="F246" s="22"/>
      <c r="G246" s="22"/>
      <c r="H246" s="22"/>
      <c r="I246" s="22"/>
      <c r="J246" s="22"/>
      <c r="K246" s="22"/>
    </row>
    <row r="247" spans="1:11" ht="14.25" customHeight="1">
      <c r="A247" s="327" t="s">
        <v>100</v>
      </c>
      <c r="C247" s="22"/>
      <c r="D247" s="22"/>
      <c r="E247" s="22"/>
      <c r="F247" s="22"/>
      <c r="G247" s="22"/>
      <c r="H247" s="22"/>
      <c r="I247" s="22"/>
      <c r="J247" s="22"/>
      <c r="K247" s="22"/>
    </row>
    <row r="248" spans="1:11" ht="14.25" customHeight="1">
      <c r="D248" s="22"/>
      <c r="E248" s="22"/>
      <c r="F248" s="22"/>
      <c r="G248" s="22"/>
      <c r="H248" s="22"/>
      <c r="I248" s="22"/>
      <c r="J248" s="22"/>
      <c r="K248" s="22"/>
    </row>
    <row r="249" spans="1:11" ht="14.25" customHeight="1">
      <c r="A249" t="s">
        <v>101</v>
      </c>
      <c r="B249" s="334" t="s">
        <v>102</v>
      </c>
      <c r="C249" s="334" t="s">
        <v>103</v>
      </c>
      <c r="D249" s="334"/>
      <c r="E249" s="22"/>
      <c r="F249" s="22"/>
      <c r="G249" s="22"/>
      <c r="H249" s="22"/>
      <c r="I249" s="22"/>
      <c r="J249" s="22"/>
      <c r="K249" s="22"/>
    </row>
    <row r="250" spans="1:11" ht="14.25" customHeight="1">
      <c r="A250" s="104"/>
      <c r="C250">
        <v>1</v>
      </c>
      <c r="E250" s="22"/>
      <c r="F250" s="22"/>
      <c r="G250" s="22"/>
      <c r="H250" s="22"/>
      <c r="I250" s="22"/>
      <c r="J250" s="22"/>
      <c r="K250" s="22"/>
    </row>
    <row r="251" spans="1:11" ht="14.25" customHeight="1">
      <c r="A251" s="104">
        <v>1</v>
      </c>
      <c r="B251" s="314">
        <v>0.1</v>
      </c>
      <c r="C251">
        <f>C250*(1+B251)</f>
        <v>1.1000000000000001</v>
      </c>
      <c r="E251" s="22"/>
      <c r="F251" s="22"/>
      <c r="G251" s="22"/>
      <c r="H251" s="22"/>
      <c r="I251" s="22"/>
      <c r="J251" s="22"/>
      <c r="K251" s="22"/>
    </row>
    <row r="252" spans="1:11" ht="14.25" customHeight="1">
      <c r="A252" s="104">
        <f>A251+0.5</f>
        <v>1.5</v>
      </c>
      <c r="B252" s="3">
        <v>0.11</v>
      </c>
      <c r="C252">
        <f>C251*(1+B252)^(1/2)</f>
        <v>1.1589219128138013</v>
      </c>
      <c r="E252" s="22"/>
      <c r="F252" s="22"/>
      <c r="G252" s="22"/>
      <c r="H252" s="22"/>
      <c r="I252" s="22"/>
      <c r="J252" s="22"/>
      <c r="K252" s="22"/>
    </row>
    <row r="253" spans="1:11" ht="14.25" customHeight="1">
      <c r="A253" s="104">
        <f>A252+0.5</f>
        <v>2</v>
      </c>
      <c r="B253" s="3">
        <f>B252+1%</f>
        <v>0.12</v>
      </c>
      <c r="C253">
        <f>C252*(1+B253)^(1/2)</f>
        <v>1.2264876680994392</v>
      </c>
      <c r="E253" s="22"/>
      <c r="F253" s="22"/>
      <c r="G253" s="22"/>
      <c r="H253" s="22"/>
      <c r="I253" s="22"/>
      <c r="J253" s="22"/>
      <c r="K253" s="22"/>
    </row>
    <row r="254" spans="1:11" ht="14.25" customHeight="1">
      <c r="A254" s="104">
        <f>A253+0.5</f>
        <v>2.5</v>
      </c>
      <c r="B254" s="3">
        <f>B253+1%</f>
        <v>0.13</v>
      </c>
      <c r="C254" s="341">
        <f>C253*(1+B254)^(1/2)</f>
        <v>1.3037742749417938</v>
      </c>
      <c r="E254" s="22" t="s">
        <v>104</v>
      </c>
      <c r="F254" s="22"/>
      <c r="G254" s="22"/>
      <c r="H254" s="22"/>
      <c r="I254" s="22"/>
      <c r="J254" s="22"/>
      <c r="K254" s="22"/>
    </row>
    <row r="255" spans="1:11" ht="14.25" customHeight="1">
      <c r="A255" s="104"/>
      <c r="E255" s="22" t="s">
        <v>105</v>
      </c>
      <c r="F255" s="22"/>
      <c r="G255" s="22"/>
      <c r="H255" s="22"/>
      <c r="I255" s="22"/>
      <c r="J255" s="22"/>
      <c r="K255" s="22"/>
    </row>
    <row r="256" spans="1:11" ht="14.25" customHeight="1">
      <c r="A256" s="24" t="s">
        <v>106</v>
      </c>
      <c r="B256" s="22"/>
      <c r="C256" s="22"/>
      <c r="D256" s="22"/>
      <c r="E256" s="22"/>
      <c r="F256" s="22"/>
      <c r="G256" s="22"/>
      <c r="H256" s="22"/>
      <c r="I256" s="22"/>
      <c r="J256" s="22"/>
      <c r="K256" s="22"/>
    </row>
    <row r="257" spans="1:11" ht="14.25" customHeight="1">
      <c r="A257" s="24"/>
      <c r="B257" s="22"/>
      <c r="C257" s="22"/>
      <c r="D257" s="22"/>
      <c r="E257" s="22"/>
      <c r="F257" s="22"/>
      <c r="G257" s="22"/>
      <c r="H257" s="22"/>
      <c r="I257" s="22"/>
      <c r="J257" s="22"/>
      <c r="K257" s="22"/>
    </row>
    <row r="258" spans="1:11" ht="14.25" customHeight="1">
      <c r="A258" s="24" t="s">
        <v>107</v>
      </c>
      <c r="B258" s="22">
        <v>1000</v>
      </c>
      <c r="C258" s="22"/>
      <c r="D258" s="22"/>
      <c r="E258" s="22"/>
      <c r="F258" s="22"/>
      <c r="G258" s="22"/>
      <c r="H258" s="22"/>
      <c r="I258" s="22"/>
      <c r="J258" s="22"/>
      <c r="K258" s="22"/>
    </row>
    <row r="259" spans="1:11" ht="14.25" customHeight="1">
      <c r="A259" s="24" t="s">
        <v>43</v>
      </c>
      <c r="B259" s="34">
        <v>0.06</v>
      </c>
      <c r="C259" s="22"/>
      <c r="D259" s="22"/>
      <c r="E259" s="22"/>
      <c r="F259" s="22"/>
      <c r="G259" s="22"/>
      <c r="H259" s="22"/>
      <c r="I259" s="22"/>
      <c r="J259" s="22"/>
      <c r="K259" s="22"/>
    </row>
    <row r="260" spans="1:11" ht="14.25" customHeight="1">
      <c r="A260" s="24" t="s">
        <v>48</v>
      </c>
      <c r="B260" s="22">
        <v>6</v>
      </c>
      <c r="C260" s="22"/>
      <c r="D260" s="22"/>
      <c r="E260" s="22"/>
      <c r="F260" s="22"/>
      <c r="G260" s="22"/>
      <c r="H260" s="22"/>
      <c r="I260" s="22"/>
      <c r="J260" s="22"/>
      <c r="K260" s="22"/>
    </row>
    <row r="261" spans="1:11" ht="14.25" customHeight="1">
      <c r="A261" s="24"/>
      <c r="B261" s="22"/>
      <c r="C261" s="22"/>
      <c r="D261" s="22"/>
      <c r="E261" s="22"/>
      <c r="F261" s="22"/>
      <c r="G261" s="22"/>
      <c r="H261" s="22"/>
      <c r="I261" s="22"/>
      <c r="J261" s="22"/>
      <c r="K261" s="22"/>
    </row>
    <row r="262" spans="1:11" ht="14.25" customHeight="1">
      <c r="A262" s="327" t="s">
        <v>100</v>
      </c>
      <c r="B262" s="22"/>
      <c r="C262" s="22"/>
      <c r="D262" s="22"/>
      <c r="E262" s="22"/>
      <c r="F262" s="22"/>
      <c r="G262" s="22"/>
      <c r="H262" s="22"/>
      <c r="I262" s="22"/>
      <c r="J262" s="22"/>
      <c r="K262" s="22"/>
    </row>
    <row r="263" spans="1:11" ht="14.25" customHeight="1">
      <c r="A263" s="24"/>
      <c r="B263" s="22"/>
      <c r="C263" s="22"/>
      <c r="D263" s="22"/>
      <c r="E263" s="22"/>
      <c r="F263" s="22"/>
      <c r="G263" s="22"/>
      <c r="H263" s="22"/>
      <c r="I263" s="22"/>
      <c r="J263" s="22"/>
      <c r="K263" s="22"/>
    </row>
    <row r="264" spans="1:11" ht="14.25" customHeight="1">
      <c r="A264" s="24" t="s">
        <v>97</v>
      </c>
      <c r="B264" s="22">
        <f>B258*(1+B259)^B260</f>
        <v>1418.5191122560007</v>
      </c>
      <c r="C264" s="22" t="s">
        <v>108</v>
      </c>
      <c r="D264" s="22" t="s">
        <v>109</v>
      </c>
      <c r="E264" s="22"/>
      <c r="F264" s="22"/>
      <c r="G264" s="22"/>
      <c r="H264" s="22"/>
      <c r="I264" s="22"/>
      <c r="J264" s="22"/>
      <c r="K264" s="22"/>
    </row>
    <row r="265" spans="1:11" ht="14.25" customHeight="1">
      <c r="A265" s="24"/>
      <c r="B265" s="22"/>
      <c r="C265" s="22"/>
      <c r="D265" s="22"/>
      <c r="E265" s="22"/>
      <c r="F265" s="22"/>
      <c r="G265" s="22"/>
      <c r="H265" s="22"/>
      <c r="I265" s="22"/>
      <c r="J265" s="22"/>
      <c r="K265" s="22"/>
    </row>
    <row r="266" spans="1:11" ht="14.25" customHeight="1">
      <c r="A266" s="337" t="s">
        <v>110</v>
      </c>
      <c r="B266" s="22"/>
      <c r="C266" s="22"/>
      <c r="D266" s="22"/>
      <c r="E266" s="22"/>
      <c r="F266" s="22"/>
      <c r="G266" s="22"/>
      <c r="H266" s="22"/>
      <c r="I266" s="22"/>
      <c r="J266" s="22"/>
      <c r="K266" s="22"/>
    </row>
    <row r="267" spans="1:11" ht="14.25" customHeight="1">
      <c r="A267" s="24"/>
      <c r="B267" s="22"/>
      <c r="C267" s="22"/>
      <c r="D267" s="22"/>
      <c r="E267" s="22"/>
      <c r="F267" s="22"/>
      <c r="G267" s="22"/>
      <c r="H267" s="22"/>
      <c r="I267" s="22"/>
      <c r="J267" s="22"/>
      <c r="K267" s="22"/>
    </row>
    <row r="268" spans="1:11" ht="14.25" customHeight="1">
      <c r="A268" s="23"/>
      <c r="B268" s="22"/>
      <c r="C268" s="22"/>
      <c r="D268" s="22"/>
      <c r="E268" s="22"/>
      <c r="F268" s="22"/>
      <c r="G268" s="22"/>
      <c r="H268" s="22"/>
      <c r="I268" s="22"/>
      <c r="J268" s="22"/>
      <c r="K268" s="22"/>
    </row>
    <row r="269" spans="1:11" s="350" customFormat="1" ht="14.25" customHeight="1">
      <c r="A269" s="357" t="s">
        <v>111</v>
      </c>
      <c r="B269" s="358"/>
      <c r="C269" s="358"/>
      <c r="D269" s="349"/>
      <c r="E269" s="349"/>
      <c r="F269" s="349"/>
      <c r="G269" s="349"/>
      <c r="H269" s="349"/>
      <c r="I269" s="349"/>
      <c r="J269" s="349"/>
      <c r="K269" s="349"/>
    </row>
    <row r="270" spans="1:11" s="350" customFormat="1" ht="14.25" customHeight="1">
      <c r="A270" s="357"/>
      <c r="B270" s="358"/>
      <c r="C270" s="358"/>
      <c r="D270" s="349"/>
      <c r="E270" s="349"/>
      <c r="F270" s="349"/>
      <c r="G270" s="349"/>
      <c r="H270" s="349"/>
      <c r="I270" s="349"/>
      <c r="J270" s="349"/>
      <c r="K270" s="349"/>
    </row>
    <row r="271" spans="1:11" s="350" customFormat="1" ht="14.25" customHeight="1">
      <c r="A271" s="359" t="s">
        <v>112</v>
      </c>
      <c r="B271" s="358" t="s">
        <v>113</v>
      </c>
      <c r="C271" s="358"/>
      <c r="D271" s="349"/>
      <c r="E271" s="349"/>
      <c r="F271" s="349"/>
      <c r="G271" s="349"/>
      <c r="H271" s="349"/>
      <c r="I271" s="349"/>
      <c r="J271" s="349"/>
      <c r="K271" s="349"/>
    </row>
    <row r="272" spans="1:11" s="350" customFormat="1" ht="14.25" customHeight="1">
      <c r="A272" s="357"/>
      <c r="B272" s="358"/>
      <c r="C272" s="358"/>
      <c r="D272" s="349"/>
      <c r="E272" s="377"/>
      <c r="F272" s="378"/>
      <c r="G272" s="378"/>
      <c r="H272" s="378"/>
      <c r="I272" s="379"/>
      <c r="J272" s="349"/>
      <c r="K272" s="349"/>
    </row>
    <row r="273" spans="1:14" s="350" customFormat="1" ht="14.25" customHeight="1">
      <c r="A273" s="357" t="s">
        <v>114</v>
      </c>
      <c r="B273" s="358" t="s">
        <v>115</v>
      </c>
      <c r="C273" s="358"/>
      <c r="D273" s="349"/>
      <c r="E273" s="380"/>
      <c r="F273" s="339"/>
      <c r="G273" s="339"/>
      <c r="H273" s="339"/>
      <c r="I273" s="381"/>
      <c r="J273" s="349"/>
      <c r="K273" s="349"/>
    </row>
    <row r="274" spans="1:14" s="350" customFormat="1" ht="14.25" customHeight="1">
      <c r="A274" s="357"/>
      <c r="B274" s="358"/>
      <c r="C274" s="358"/>
      <c r="D274" s="349"/>
      <c r="E274" s="380"/>
      <c r="F274" s="339"/>
      <c r="G274" s="339"/>
      <c r="H274" s="339"/>
      <c r="I274" s="381"/>
      <c r="J274" s="349"/>
      <c r="K274" s="349"/>
    </row>
    <row r="275" spans="1:14" s="350" customFormat="1" ht="14.25" customHeight="1">
      <c r="A275" s="357" t="s">
        <v>116</v>
      </c>
      <c r="B275" s="360">
        <f>(2^(1/(366/3)) -1)*(366/3)</f>
        <v>0.69511998470428527</v>
      </c>
      <c r="C275" s="358"/>
      <c r="D275" s="349"/>
      <c r="E275" s="382"/>
      <c r="F275" s="383"/>
      <c r="G275" s="383"/>
      <c r="H275" s="383"/>
      <c r="I275" s="384"/>
      <c r="J275" s="349"/>
      <c r="K275" s="349"/>
    </row>
    <row r="276" spans="1:14" s="350" customFormat="1" ht="14.25" customHeight="1">
      <c r="A276" s="357"/>
      <c r="B276" s="358"/>
      <c r="C276" s="358"/>
      <c r="D276" s="349"/>
      <c r="E276" s="349"/>
      <c r="F276" s="349"/>
      <c r="G276" s="349"/>
      <c r="H276" s="349"/>
      <c r="I276" s="349"/>
      <c r="J276" s="349"/>
      <c r="K276" s="349"/>
    </row>
    <row r="277" spans="1:14" s="350" customFormat="1" ht="14.25" customHeight="1">
      <c r="A277" s="357" t="s">
        <v>117</v>
      </c>
      <c r="B277" s="365">
        <f>1*(1+B275/61)^(61*(183/366))</f>
        <v>1.4128297595489612</v>
      </c>
      <c r="C277" s="358" t="s">
        <v>118</v>
      </c>
      <c r="D277" s="349"/>
      <c r="E277" s="349"/>
      <c r="F277" s="349"/>
      <c r="G277" s="349"/>
      <c r="H277" s="366" t="s">
        <v>119</v>
      </c>
      <c r="I277" s="366"/>
      <c r="J277" s="366"/>
      <c r="K277" s="366"/>
      <c r="L277" s="367"/>
      <c r="M277" s="367"/>
      <c r="N277" s="367"/>
    </row>
    <row r="278" spans="1:14" s="350" customFormat="1" ht="14.25" customHeight="1">
      <c r="A278" s="348"/>
      <c r="B278" s="351">
        <f>1*(1+B275/122)^(122)*1</f>
        <v>1.9999999999999949</v>
      </c>
      <c r="C278" s="352"/>
      <c r="D278" s="352"/>
      <c r="E278" s="352"/>
      <c r="F278" s="352"/>
      <c r="G278" s="352"/>
      <c r="H278" s="352"/>
      <c r="I278" s="352"/>
      <c r="J278" s="352"/>
      <c r="K278" s="352"/>
    </row>
    <row r="279" spans="1:14" s="355" customFormat="1" ht="14.25" customHeight="1">
      <c r="A279" s="354"/>
      <c r="B279" s="362"/>
      <c r="C279" s="362"/>
      <c r="D279" s="362"/>
      <c r="E279" s="362"/>
      <c r="F279" s="362"/>
      <c r="G279" s="362"/>
      <c r="H279" s="362"/>
      <c r="I279" s="362"/>
      <c r="J279" s="362"/>
      <c r="K279" s="362"/>
    </row>
    <row r="280" spans="1:14" s="350" customFormat="1" ht="13.9" customHeight="1">
      <c r="A280" s="348"/>
      <c r="B280" s="352"/>
      <c r="C280" s="352"/>
      <c r="D280" s="352"/>
      <c r="E280" s="352"/>
      <c r="F280" s="352"/>
      <c r="G280" s="352"/>
      <c r="H280" s="352"/>
      <c r="I280" s="352"/>
      <c r="J280" s="352"/>
      <c r="K280" s="352"/>
    </row>
    <row r="281" spans="1:14" s="347" customFormat="1" ht="14.25" customHeight="1">
      <c r="A281" s="385"/>
      <c r="B281" s="353"/>
      <c r="C281" s="353"/>
      <c r="D281" s="353"/>
      <c r="E281" s="353"/>
      <c r="F281" s="353"/>
      <c r="G281" s="353"/>
      <c r="H281" s="353"/>
      <c r="I281" s="353"/>
      <c r="J281" s="353"/>
      <c r="K281" s="353"/>
    </row>
    <row r="282" spans="1:14" ht="14.25" customHeight="1">
      <c r="A282" s="386"/>
      <c r="B282" s="22"/>
      <c r="C282" s="22"/>
      <c r="D282" s="22"/>
      <c r="E282" s="22"/>
      <c r="F282" s="22"/>
      <c r="G282" s="22"/>
      <c r="H282" s="22"/>
      <c r="I282" s="22"/>
      <c r="J282" s="22"/>
      <c r="K282" s="22"/>
    </row>
    <row r="283" spans="1:14" ht="14.25" customHeight="1">
      <c r="A283" t="s">
        <v>43</v>
      </c>
      <c r="B283" s="2">
        <v>1</v>
      </c>
      <c r="C283" s="22"/>
      <c r="D283" s="22" t="s">
        <v>1460</v>
      </c>
      <c r="E283" s="22"/>
      <c r="F283" s="22"/>
      <c r="G283" s="22"/>
      <c r="H283" s="22"/>
      <c r="I283" s="22"/>
      <c r="J283" s="22"/>
      <c r="K283" s="22"/>
    </row>
    <row r="284" spans="1:14" ht="14.25" customHeight="1">
      <c r="A284" t="s">
        <v>289</v>
      </c>
      <c r="B284">
        <v>366</v>
      </c>
      <c r="C284" s="22"/>
      <c r="D284" s="22"/>
      <c r="E284" s="22"/>
      <c r="F284" s="22"/>
      <c r="G284" s="22"/>
      <c r="H284" s="22"/>
      <c r="I284" s="22"/>
      <c r="J284" s="22"/>
      <c r="K284" s="22"/>
    </row>
    <row r="285" spans="1:14" ht="14.25" customHeight="1">
      <c r="A285" t="s">
        <v>290</v>
      </c>
      <c r="B285">
        <v>183</v>
      </c>
      <c r="C285" s="22"/>
      <c r="D285" s="22"/>
      <c r="E285" s="22"/>
      <c r="F285" s="22"/>
      <c r="G285" s="22"/>
      <c r="H285" s="22"/>
      <c r="I285" s="22"/>
      <c r="J285" s="22"/>
      <c r="K285" s="22"/>
    </row>
    <row r="286" spans="1:14" ht="14.25" customHeight="1">
      <c r="C286" s="22"/>
      <c r="D286" s="22"/>
      <c r="E286" s="22"/>
      <c r="F286" s="22"/>
      <c r="G286" s="22"/>
      <c r="H286" s="22"/>
      <c r="I286" s="22"/>
      <c r="J286" s="22"/>
      <c r="K286" s="22"/>
    </row>
    <row r="287" spans="1:14" ht="14.25" customHeight="1">
      <c r="A287" t="s">
        <v>42</v>
      </c>
      <c r="B287">
        <f>B284/3</f>
        <v>122</v>
      </c>
      <c r="C287" s="22"/>
      <c r="D287" s="22"/>
      <c r="E287" s="22"/>
      <c r="F287" s="22"/>
      <c r="G287" s="22"/>
      <c r="H287" s="22"/>
      <c r="I287" s="22"/>
      <c r="J287" s="22"/>
      <c r="K287" s="22"/>
    </row>
    <row r="288" spans="1:14" ht="14.25" customHeight="1">
      <c r="A288" t="s">
        <v>48</v>
      </c>
      <c r="B288">
        <f>B285/B284</f>
        <v>0.5</v>
      </c>
      <c r="C288" s="22"/>
      <c r="D288" s="22"/>
      <c r="E288" s="22"/>
      <c r="F288" s="22"/>
      <c r="G288" s="22"/>
      <c r="H288" s="22"/>
      <c r="I288" s="22"/>
      <c r="J288" s="22"/>
      <c r="K288" s="22"/>
    </row>
    <row r="289" spans="1:11" ht="14.25" customHeight="1">
      <c r="B289" s="15">
        <f>(1+B283/B287)^(B287*B288)</f>
        <v>1.6453645144293627</v>
      </c>
      <c r="C289" s="22"/>
      <c r="D289" s="22"/>
      <c r="E289" s="22"/>
      <c r="F289" s="22"/>
      <c r="G289" s="22"/>
      <c r="H289" s="22"/>
      <c r="I289" s="22"/>
      <c r="J289" s="22"/>
      <c r="K289" s="22"/>
    </row>
    <row r="290" spans="1:11" ht="14.25" customHeight="1">
      <c r="A290" s="386"/>
      <c r="B290" s="22"/>
      <c r="C290" s="22"/>
      <c r="D290" s="22"/>
      <c r="E290" s="22"/>
      <c r="F290" s="22"/>
      <c r="G290" s="22"/>
      <c r="H290" s="22"/>
      <c r="I290" s="22"/>
      <c r="J290" s="22"/>
      <c r="K290" s="22"/>
    </row>
    <row r="291" spans="1:11" ht="14.25" customHeight="1">
      <c r="A291" s="386"/>
      <c r="B291" s="22"/>
      <c r="C291" s="22"/>
      <c r="D291" s="22"/>
      <c r="E291" s="22"/>
      <c r="F291" s="22"/>
      <c r="G291" s="22"/>
      <c r="H291" s="22"/>
      <c r="I291" s="22"/>
      <c r="J291" s="22"/>
      <c r="K291" s="22"/>
    </row>
    <row r="292" spans="1:11" ht="14.25" customHeight="1">
      <c r="A292" s="338" t="s">
        <v>120</v>
      </c>
      <c r="B292" s="339"/>
      <c r="C292" s="339"/>
      <c r="D292" s="22"/>
      <c r="E292" s="22"/>
      <c r="F292" s="22"/>
      <c r="G292" s="22"/>
      <c r="H292" s="22"/>
      <c r="I292" s="22"/>
      <c r="J292" s="22"/>
      <c r="K292" s="22"/>
    </row>
    <row r="293" spans="1:11" ht="14.25" customHeight="1">
      <c r="A293" s="338"/>
      <c r="B293" s="339"/>
      <c r="C293" s="339"/>
      <c r="D293" s="22"/>
      <c r="E293" s="22"/>
      <c r="F293" s="22"/>
      <c r="G293" s="22"/>
      <c r="H293" s="22"/>
      <c r="I293" s="22"/>
      <c r="J293" s="22"/>
      <c r="K293" s="22"/>
    </row>
    <row r="294" spans="1:11" ht="14.25" customHeight="1">
      <c r="A294" s="338" t="s">
        <v>43</v>
      </c>
      <c r="B294" s="363">
        <v>0.1</v>
      </c>
      <c r="C294" s="364">
        <f>1+B294</f>
        <v>1.1000000000000001</v>
      </c>
      <c r="D294" s="22"/>
      <c r="E294" s="24"/>
      <c r="F294" s="34" t="s">
        <v>121</v>
      </c>
      <c r="G294" s="22"/>
      <c r="H294" s="22"/>
      <c r="I294" s="22"/>
      <c r="J294" s="22"/>
      <c r="K294" s="22"/>
    </row>
    <row r="295" spans="1:11" ht="14.25" customHeight="1">
      <c r="A295" s="338" t="s">
        <v>122</v>
      </c>
      <c r="B295" s="364">
        <v>20000</v>
      </c>
      <c r="C295" s="339"/>
      <c r="D295" s="22"/>
      <c r="E295" s="24"/>
      <c r="F295" s="34"/>
      <c r="G295" s="22"/>
      <c r="H295" s="22"/>
      <c r="I295" s="22"/>
      <c r="J295" s="22"/>
      <c r="K295" s="22"/>
    </row>
    <row r="296" spans="1:11" ht="14.25" customHeight="1">
      <c r="A296" s="338" t="s">
        <v>57</v>
      </c>
      <c r="B296" s="364">
        <v>40000</v>
      </c>
      <c r="C296" s="339"/>
      <c r="D296" s="22"/>
      <c r="E296" s="24"/>
      <c r="F296" s="34"/>
      <c r="G296" s="22"/>
      <c r="H296" s="22"/>
      <c r="I296" s="22"/>
      <c r="J296" s="22"/>
      <c r="K296" s="22"/>
    </row>
    <row r="297" spans="1:11" ht="14.25" customHeight="1">
      <c r="A297" s="338" t="s">
        <v>123</v>
      </c>
      <c r="B297" s="364">
        <v>70000</v>
      </c>
      <c r="C297" s="339"/>
      <c r="D297" s="22"/>
      <c r="E297" s="24"/>
      <c r="F297" s="117"/>
      <c r="G297" s="22"/>
      <c r="H297" s="22"/>
      <c r="I297" s="22"/>
      <c r="J297" s="22"/>
      <c r="K297" s="22"/>
    </row>
    <row r="298" spans="1:11" ht="14.25" customHeight="1">
      <c r="A298" s="338" t="s">
        <v>124</v>
      </c>
      <c r="B298" s="339">
        <v>1</v>
      </c>
      <c r="C298" s="339"/>
      <c r="D298" s="22"/>
      <c r="E298" s="23"/>
      <c r="F298" s="22"/>
      <c r="G298" s="22"/>
      <c r="H298" s="22"/>
      <c r="I298" s="22"/>
      <c r="J298" s="22"/>
      <c r="K298" s="22"/>
    </row>
    <row r="299" spans="1:11" ht="14.25" customHeight="1">
      <c r="A299" s="338" t="s">
        <v>125</v>
      </c>
      <c r="B299" s="339">
        <v>4</v>
      </c>
      <c r="C299" s="339"/>
      <c r="D299" s="22"/>
      <c r="E299" s="22"/>
      <c r="F299" s="22"/>
      <c r="G299" s="22"/>
      <c r="H299" s="22"/>
      <c r="I299" s="22"/>
      <c r="J299" s="22"/>
      <c r="K299" s="22"/>
    </row>
    <row r="300" spans="1:11" ht="14.25" customHeight="1">
      <c r="A300" s="338" t="s">
        <v>126</v>
      </c>
      <c r="B300" s="339">
        <v>6</v>
      </c>
      <c r="C300" s="339"/>
      <c r="D300" s="22"/>
      <c r="E300" s="22"/>
      <c r="F300" s="22"/>
      <c r="G300" s="22"/>
      <c r="H300" s="22"/>
      <c r="I300" s="22"/>
      <c r="J300" s="22"/>
      <c r="K300" s="22"/>
    </row>
    <row r="301" spans="1:11" ht="14.25" customHeight="1">
      <c r="A301" s="338" t="s">
        <v>127</v>
      </c>
      <c r="B301" s="364">
        <v>120000</v>
      </c>
      <c r="C301" s="339"/>
      <c r="D301" s="22"/>
      <c r="E301" s="22"/>
      <c r="F301" s="22"/>
      <c r="G301" s="22"/>
      <c r="H301" s="22"/>
      <c r="I301" s="22"/>
      <c r="J301" s="22"/>
      <c r="K301" s="22"/>
    </row>
    <row r="302" spans="1:11" ht="14.25" customHeight="1">
      <c r="A302" s="338" t="s">
        <v>128</v>
      </c>
      <c r="B302" s="363"/>
      <c r="C302" s="339"/>
      <c r="D302" s="22"/>
      <c r="E302" s="22"/>
      <c r="F302" s="22"/>
      <c r="G302" s="22"/>
      <c r="H302" s="22"/>
      <c r="I302" s="22"/>
      <c r="J302" s="22"/>
      <c r="K302" s="22"/>
    </row>
    <row r="303" spans="1:11" ht="14.25" customHeight="1">
      <c r="A303" s="340"/>
      <c r="B303" s="340"/>
      <c r="C303" s="340"/>
      <c r="D303" s="22"/>
      <c r="E303" s="22"/>
      <c r="F303" s="22"/>
      <c r="G303" s="22"/>
      <c r="H303" s="22"/>
      <c r="I303" s="22"/>
      <c r="J303" s="22"/>
      <c r="K303" s="22"/>
    </row>
    <row r="304" spans="1:11" ht="14.25" customHeight="1">
      <c r="A304" s="340" t="s">
        <v>129</v>
      </c>
      <c r="B304" s="340"/>
      <c r="C304" s="340"/>
      <c r="D304" s="22"/>
      <c r="E304" s="22"/>
      <c r="F304" s="22"/>
      <c r="G304" s="22"/>
      <c r="H304" s="22"/>
      <c r="I304" s="22"/>
      <c r="J304" s="22"/>
      <c r="K304" s="22"/>
    </row>
    <row r="305" spans="1:11" ht="14.25" customHeight="1">
      <c r="A305" s="340"/>
      <c r="B305" s="340"/>
      <c r="C305" s="340"/>
      <c r="D305" s="22"/>
      <c r="E305" s="22"/>
      <c r="F305" s="22"/>
      <c r="G305" s="22"/>
      <c r="H305" s="22"/>
      <c r="I305" s="22"/>
      <c r="J305" s="22"/>
      <c r="K305" s="22"/>
    </row>
    <row r="306" spans="1:11" ht="14.25" customHeight="1">
      <c r="A306" s="340" t="s">
        <v>130</v>
      </c>
      <c r="B306" s="340"/>
      <c r="C306" s="340"/>
      <c r="D306" s="22"/>
      <c r="E306" s="22"/>
      <c r="F306" s="22"/>
      <c r="G306" s="22"/>
      <c r="H306" s="22"/>
      <c r="I306" s="22"/>
      <c r="J306" s="22"/>
      <c r="K306" s="22"/>
    </row>
    <row r="307" spans="1:11" ht="14.25" customHeight="1">
      <c r="A307" s="340"/>
      <c r="B307" s="340"/>
      <c r="C307" s="340"/>
      <c r="D307" s="22"/>
      <c r="E307" s="22"/>
      <c r="F307" s="22"/>
      <c r="G307" s="22"/>
      <c r="H307" s="22"/>
      <c r="I307" s="22"/>
      <c r="J307" s="22"/>
      <c r="K307" s="22"/>
    </row>
    <row r="308" spans="1:11" ht="14.25" customHeight="1">
      <c r="A308" s="340" t="s">
        <v>131</v>
      </c>
      <c r="B308" s="340"/>
      <c r="C308" s="340"/>
      <c r="D308" s="22"/>
      <c r="E308" s="339"/>
      <c r="F308" s="22"/>
      <c r="G308" s="22"/>
      <c r="H308" s="22"/>
      <c r="I308" s="22"/>
      <c r="J308" s="22"/>
      <c r="K308" s="22"/>
    </row>
    <row r="309" spans="1:11" ht="14.25" customHeight="1">
      <c r="A309" s="340"/>
      <c r="B309" s="340"/>
      <c r="C309" s="340"/>
      <c r="D309" s="22"/>
      <c r="E309" s="22"/>
      <c r="F309" s="22"/>
      <c r="G309" s="22"/>
      <c r="H309" s="22"/>
      <c r="I309" s="22"/>
      <c r="J309" s="22"/>
      <c r="K309" s="22"/>
    </row>
    <row r="310" spans="1:11" ht="14.25" customHeight="1">
      <c r="A310" s="340" t="s">
        <v>132</v>
      </c>
      <c r="B310" s="340"/>
      <c r="C310" s="340"/>
      <c r="D310" s="22"/>
      <c r="E310" s="182"/>
      <c r="F310" s="22"/>
      <c r="G310" s="22"/>
      <c r="H310" s="22"/>
      <c r="I310" s="22"/>
      <c r="J310" s="22"/>
      <c r="K310" s="22"/>
    </row>
    <row r="311" spans="1:11" ht="14.25" customHeight="1">
      <c r="A311" s="340"/>
      <c r="B311" s="340"/>
      <c r="C311" s="340"/>
      <c r="D311" s="22"/>
      <c r="E311" s="22"/>
      <c r="F311" s="22"/>
      <c r="G311" s="22"/>
      <c r="H311" s="22"/>
      <c r="I311" s="22"/>
      <c r="J311" s="22"/>
      <c r="K311" s="22"/>
    </row>
    <row r="312" spans="1:11" ht="14.25" customHeight="1">
      <c r="A312" s="340" t="s">
        <v>133</v>
      </c>
      <c r="B312" s="341">
        <f>LOG((B301 / ( B295 / (C294^B298) + B296 / (C294^B299) + B297 / (C294^B300))),1.1)</f>
        <v>3.6161696490305855</v>
      </c>
      <c r="C312" s="340" t="s">
        <v>134</v>
      </c>
      <c r="D312" s="22"/>
      <c r="E312" s="22"/>
      <c r="F312" s="368" t="s">
        <v>135</v>
      </c>
      <c r="G312" s="368"/>
      <c r="H312" s="368"/>
      <c r="I312" s="368"/>
      <c r="J312" s="368"/>
      <c r="K312" s="22"/>
    </row>
    <row r="313" spans="1:11" ht="14.25" customHeight="1">
      <c r="A313" s="340"/>
      <c r="B313" s="341">
        <f>LN((B301 / ( B295 / (C294^B298) + B296 / (C294^B299) + B297 / (C294^B300))))/LN(1.1)</f>
        <v>3.6161696490305855</v>
      </c>
      <c r="C313" s="340" t="s">
        <v>136</v>
      </c>
      <c r="D313" s="22"/>
      <c r="E313" s="22"/>
      <c r="F313" s="22"/>
      <c r="G313" s="22"/>
      <c r="H313" s="22"/>
      <c r="I313" s="22"/>
      <c r="J313" s="22"/>
      <c r="K313" s="22"/>
    </row>
    <row r="314" spans="1:11" ht="14.25" customHeight="1">
      <c r="D314" s="22"/>
      <c r="E314" s="22"/>
      <c r="F314" s="22"/>
      <c r="G314" s="22"/>
      <c r="H314" s="22"/>
      <c r="I314" s="22"/>
      <c r="J314" s="22"/>
      <c r="K314" s="22"/>
    </row>
    <row r="315" spans="1:11" ht="16.5" customHeight="1">
      <c r="A315" s="24" t="s">
        <v>137</v>
      </c>
      <c r="B315" s="22"/>
      <c r="C315" s="22"/>
      <c r="D315" s="22"/>
      <c r="E315" s="22"/>
      <c r="F315" s="22"/>
      <c r="G315" s="22"/>
      <c r="H315" s="22"/>
      <c r="I315" s="22"/>
      <c r="J315" s="22"/>
      <c r="K315" s="22"/>
    </row>
    <row r="316" spans="1:11" ht="16.5" customHeight="1">
      <c r="A316" s="24"/>
      <c r="B316" s="22"/>
      <c r="C316" s="22"/>
      <c r="D316" s="22"/>
      <c r="E316" s="22"/>
      <c r="F316" s="22"/>
      <c r="G316" s="22"/>
      <c r="H316" s="22"/>
      <c r="I316" s="22"/>
      <c r="J316" s="22"/>
      <c r="K316" s="22"/>
    </row>
    <row r="317" spans="1:11" ht="16.5" customHeight="1">
      <c r="A317" s="24" t="s">
        <v>55</v>
      </c>
      <c r="B317" s="22">
        <v>43000</v>
      </c>
      <c r="C317" s="22"/>
      <c r="D317" s="22"/>
      <c r="E317" s="22"/>
      <c r="F317" s="22"/>
      <c r="G317" s="22"/>
      <c r="H317" s="22"/>
      <c r="I317" s="22"/>
      <c r="J317" s="22"/>
      <c r="K317" s="22"/>
    </row>
    <row r="318" spans="1:11" ht="16.5" customHeight="1">
      <c r="A318" s="24" t="s">
        <v>124</v>
      </c>
      <c r="B318" s="22">
        <v>2</v>
      </c>
      <c r="C318" s="22"/>
      <c r="D318" s="22"/>
      <c r="E318" s="22"/>
      <c r="F318" s="22"/>
      <c r="G318" s="22"/>
      <c r="H318" s="22"/>
      <c r="I318" s="22"/>
      <c r="J318" s="22"/>
      <c r="K318" s="22"/>
    </row>
    <row r="319" spans="1:11" ht="16.5" customHeight="1">
      <c r="A319" s="24" t="s">
        <v>125</v>
      </c>
      <c r="B319" s="22">
        <v>0</v>
      </c>
      <c r="C319" s="22"/>
      <c r="D319" s="22"/>
      <c r="E319" s="22"/>
      <c r="F319" s="22"/>
      <c r="G319" s="22"/>
      <c r="H319" s="22"/>
      <c r="I319" s="22"/>
      <c r="J319" s="22"/>
      <c r="K319" s="22"/>
    </row>
    <row r="320" spans="1:11" ht="16.5" customHeight="1">
      <c r="A320" s="24" t="s">
        <v>126</v>
      </c>
      <c r="B320" s="22">
        <v>4</v>
      </c>
      <c r="C320" s="22"/>
      <c r="D320" s="22"/>
      <c r="E320" s="22"/>
      <c r="F320" s="22"/>
      <c r="G320" s="22"/>
      <c r="H320" s="22"/>
      <c r="I320" s="22"/>
      <c r="J320" s="22"/>
      <c r="K320" s="22"/>
    </row>
    <row r="321" spans="1:11" ht="16.5" customHeight="1">
      <c r="A321" s="24" t="s">
        <v>138</v>
      </c>
      <c r="B321" s="22">
        <v>7</v>
      </c>
      <c r="C321" s="22"/>
      <c r="D321" s="22"/>
      <c r="E321" s="22"/>
      <c r="F321" s="22"/>
      <c r="G321" s="22"/>
      <c r="H321" s="22"/>
      <c r="I321" s="22"/>
      <c r="J321" s="22"/>
      <c r="K321" s="22"/>
    </row>
    <row r="322" spans="1:11" ht="16.5" customHeight="1">
      <c r="A322" s="24" t="s">
        <v>43</v>
      </c>
      <c r="B322" s="34">
        <v>0.17</v>
      </c>
      <c r="C322" s="117">
        <f>1+B322</f>
        <v>1.17</v>
      </c>
      <c r="D322" s="22"/>
      <c r="E322" s="22"/>
      <c r="F322" s="22"/>
      <c r="G322" s="22"/>
      <c r="H322" s="22"/>
      <c r="I322" s="22"/>
      <c r="J322" s="22"/>
      <c r="K322" s="22"/>
    </row>
    <row r="323" spans="1:11" ht="16.5" customHeight="1">
      <c r="A323" s="24" t="s">
        <v>139</v>
      </c>
      <c r="B323" s="22"/>
      <c r="C323" s="22"/>
      <c r="D323" s="22"/>
      <c r="E323" s="22"/>
      <c r="F323" s="22"/>
      <c r="G323" s="22"/>
      <c r="H323" s="22"/>
      <c r="I323" s="22"/>
      <c r="J323" s="22"/>
      <c r="K323" s="22"/>
    </row>
    <row r="324" spans="1:11" ht="16.5" customHeight="1">
      <c r="A324" s="24"/>
      <c r="B324" s="22"/>
      <c r="C324" s="22"/>
      <c r="D324" s="22"/>
      <c r="E324" s="22"/>
      <c r="F324" s="22"/>
      <c r="G324" s="22"/>
      <c r="H324" s="22"/>
      <c r="I324" s="22"/>
      <c r="J324" s="22"/>
      <c r="K324" s="22"/>
    </row>
    <row r="325" spans="1:11" ht="16.5" customHeight="1">
      <c r="A325" s="24" t="s">
        <v>129</v>
      </c>
      <c r="B325" s="22"/>
      <c r="C325" s="22"/>
      <c r="D325" s="22"/>
      <c r="E325" s="22"/>
      <c r="F325" s="22"/>
      <c r="G325" s="22"/>
      <c r="H325" s="22"/>
      <c r="I325" s="22"/>
      <c r="J325" s="22"/>
      <c r="K325" s="22"/>
    </row>
    <row r="326" spans="1:11" ht="16.5" customHeight="1">
      <c r="A326" s="24"/>
      <c r="B326" s="22"/>
      <c r="C326" s="22"/>
      <c r="D326" s="22"/>
      <c r="E326" s="22"/>
      <c r="F326" s="22"/>
      <c r="G326" s="22"/>
      <c r="H326" s="22"/>
      <c r="I326" s="22"/>
      <c r="J326" s="22"/>
      <c r="K326" s="22"/>
    </row>
    <row r="327" spans="1:11" ht="16.5" customHeight="1">
      <c r="A327" s="24" t="s">
        <v>140</v>
      </c>
      <c r="B327" s="22"/>
      <c r="C327" s="22"/>
      <c r="D327" s="22"/>
      <c r="E327" s="22"/>
      <c r="F327" s="22"/>
      <c r="G327" s="22"/>
      <c r="H327" s="22"/>
      <c r="I327" s="22"/>
      <c r="J327" s="22"/>
      <c r="K327" s="22"/>
    </row>
    <row r="328" spans="1:11" ht="16.5" customHeight="1">
      <c r="A328" s="24" t="s">
        <v>141</v>
      </c>
      <c r="B328" s="22"/>
      <c r="C328" s="22"/>
      <c r="D328" s="22"/>
      <c r="E328" s="22"/>
      <c r="F328" s="22"/>
      <c r="G328" s="22"/>
      <c r="H328" s="22"/>
      <c r="I328" s="22"/>
      <c r="J328" s="22"/>
      <c r="K328" s="22"/>
    </row>
    <row r="329" spans="1:11" ht="16.5" customHeight="1">
      <c r="A329" s="24" t="s">
        <v>142</v>
      </c>
      <c r="B329" s="22"/>
      <c r="C329" s="22"/>
      <c r="D329" s="22"/>
      <c r="E329" s="22"/>
      <c r="F329" s="22"/>
      <c r="G329" s="22"/>
      <c r="H329" s="22"/>
      <c r="I329" s="22"/>
      <c r="J329" s="22"/>
      <c r="K329" s="22"/>
    </row>
    <row r="330" spans="1:11" ht="16.5" customHeight="1">
      <c r="A330" s="24" t="s">
        <v>143</v>
      </c>
      <c r="B330" s="369">
        <f xml:space="preserve"> ( 43000/1.17^2)/(1+1/(1.17^4)+1/(1.17^7))</f>
        <v>16826.290093546424</v>
      </c>
      <c r="C330" s="22"/>
      <c r="D330" s="22"/>
      <c r="E330" s="22"/>
      <c r="F330" s="22"/>
      <c r="G330" s="22"/>
      <c r="H330" s="22"/>
      <c r="I330" s="22"/>
      <c r="J330" s="22"/>
      <c r="K330" s="22"/>
    </row>
    <row r="331" spans="1:11" ht="14.25" customHeight="1">
      <c r="A331" s="23"/>
      <c r="B331" s="22"/>
      <c r="C331" s="22"/>
      <c r="D331" s="22"/>
      <c r="E331" s="22"/>
      <c r="F331" s="22"/>
      <c r="G331" s="22"/>
      <c r="H331" s="22"/>
      <c r="I331" s="22"/>
      <c r="J331" s="22"/>
      <c r="K331" s="22"/>
    </row>
    <row r="332" spans="1:11" ht="14.25" customHeight="1">
      <c r="A332" s="24" t="s">
        <v>144</v>
      </c>
      <c r="B332" s="22"/>
      <c r="C332" s="22"/>
      <c r="D332" s="22"/>
      <c r="E332" s="22"/>
      <c r="F332" s="22"/>
      <c r="G332" s="22"/>
      <c r="H332" s="22"/>
      <c r="I332" s="22"/>
      <c r="J332" s="22"/>
      <c r="K332" s="22"/>
    </row>
    <row r="333" spans="1:11" ht="14.25" customHeight="1">
      <c r="A333" s="24"/>
      <c r="B333" s="22"/>
      <c r="C333" s="22"/>
      <c r="D333" s="22"/>
      <c r="E333" s="22"/>
      <c r="F333" s="22"/>
      <c r="G333" s="22"/>
      <c r="H333" s="22"/>
      <c r="I333" s="22"/>
      <c r="J333" s="22"/>
      <c r="K333" s="22"/>
    </row>
    <row r="334" spans="1:11" ht="14.25" customHeight="1">
      <c r="A334" t="s">
        <v>107</v>
      </c>
      <c r="B334" s="22">
        <v>25000</v>
      </c>
      <c r="C334" s="22"/>
      <c r="D334" s="22"/>
      <c r="E334" s="22"/>
      <c r="F334" s="22"/>
      <c r="G334" s="22"/>
      <c r="H334" s="22"/>
      <c r="I334" s="22"/>
      <c r="J334" s="22"/>
      <c r="K334" s="22"/>
    </row>
    <row r="335" spans="1:11" ht="14.25" customHeight="1">
      <c r="A335" s="24" t="s">
        <v>145</v>
      </c>
      <c r="B335" s="34">
        <v>0.12</v>
      </c>
      <c r="C335" s="22"/>
      <c r="D335" s="22"/>
      <c r="E335" s="22"/>
      <c r="F335" s="22"/>
      <c r="G335" s="22"/>
      <c r="H335" s="22"/>
      <c r="I335" s="22"/>
      <c r="J335" s="22"/>
      <c r="K335" s="22"/>
    </row>
    <row r="336" spans="1:11" ht="14.25" customHeight="1">
      <c r="A336" s="24" t="s">
        <v>146</v>
      </c>
      <c r="B336" s="36">
        <v>0.115</v>
      </c>
      <c r="C336" s="22"/>
      <c r="D336" s="22"/>
      <c r="E336" s="22"/>
      <c r="F336" s="22"/>
      <c r="G336" s="22"/>
      <c r="H336" s="22"/>
      <c r="I336" s="22"/>
      <c r="J336" s="22"/>
      <c r="K336" s="22"/>
    </row>
    <row r="337" spans="1:11" ht="14.25" customHeight="1">
      <c r="A337" s="24" t="s">
        <v>124</v>
      </c>
      <c r="B337" s="22">
        <v>1</v>
      </c>
      <c r="C337" s="22"/>
      <c r="D337" s="22"/>
      <c r="E337" s="22"/>
      <c r="F337" s="22"/>
      <c r="G337" s="22"/>
      <c r="H337" s="22"/>
      <c r="I337" s="22"/>
      <c r="J337" s="22"/>
      <c r="K337" s="22"/>
    </row>
    <row r="338" spans="1:11" ht="14.25" customHeight="1">
      <c r="A338" t="s">
        <v>125</v>
      </c>
      <c r="B338" s="370">
        <v>0.5</v>
      </c>
      <c r="C338" s="22"/>
      <c r="D338" s="395">
        <f>1*(1+11.5%/2)^2-1</f>
        <v>0.11830625000000028</v>
      </c>
      <c r="E338" s="22"/>
      <c r="F338" s="22"/>
      <c r="G338" s="22"/>
      <c r="H338" s="22"/>
      <c r="I338" s="22"/>
      <c r="J338" s="22"/>
      <c r="K338" s="22"/>
    </row>
    <row r="339" spans="1:11" ht="14.25" customHeight="1">
      <c r="C339" s="22"/>
      <c r="D339" s="22"/>
      <c r="E339" s="22"/>
      <c r="F339" s="22"/>
      <c r="G339" s="22"/>
      <c r="H339" s="22"/>
      <c r="I339" s="22"/>
      <c r="J339" s="22"/>
      <c r="K339" s="22"/>
    </row>
    <row r="340" spans="1:11" ht="14.25" customHeight="1">
      <c r="A340" s="359" t="s">
        <v>100</v>
      </c>
      <c r="B340" s="22"/>
      <c r="C340" s="22"/>
      <c r="D340" s="22"/>
      <c r="E340" s="22"/>
      <c r="F340" s="22"/>
      <c r="G340" s="22"/>
      <c r="H340" s="22"/>
      <c r="I340" s="22"/>
      <c r="J340" s="22"/>
      <c r="K340" s="22"/>
    </row>
    <row r="341" spans="1:11" ht="14.25" customHeight="1">
      <c r="A341" s="24"/>
      <c r="B341" s="22"/>
      <c r="C341" s="22"/>
      <c r="D341" s="22"/>
      <c r="E341" s="22"/>
      <c r="F341" s="22"/>
      <c r="G341" s="22"/>
      <c r="H341" s="22"/>
      <c r="I341" s="22"/>
      <c r="J341" s="22"/>
      <c r="K341" s="22"/>
    </row>
    <row r="342" spans="1:11" ht="14.25" customHeight="1">
      <c r="A342" t="s">
        <v>55</v>
      </c>
      <c r="B342" s="22">
        <f>B334*(1+B335)^1</f>
        <v>28000.000000000004</v>
      </c>
      <c r="C342" s="22"/>
      <c r="D342" s="22"/>
      <c r="E342" s="22"/>
      <c r="F342" s="22"/>
      <c r="G342" s="22"/>
      <c r="H342" s="22"/>
      <c r="I342" s="22"/>
      <c r="J342" s="22"/>
      <c r="K342" s="22"/>
    </row>
    <row r="343" spans="1:11" ht="14.25" customHeight="1">
      <c r="A343" s="24"/>
      <c r="B343" s="22"/>
      <c r="C343" s="22"/>
      <c r="D343" s="22"/>
      <c r="E343" s="22"/>
      <c r="F343" s="22"/>
      <c r="G343" s="22"/>
      <c r="H343" s="22"/>
      <c r="I343" s="22"/>
      <c r="J343" s="22"/>
      <c r="K343" s="22"/>
    </row>
    <row r="344" spans="1:11" ht="14.25" customHeight="1">
      <c r="C344" s="22"/>
      <c r="D344" s="22"/>
      <c r="E344" s="22"/>
      <c r="F344" s="22"/>
      <c r="G344" s="22"/>
      <c r="H344" s="22"/>
      <c r="I344" s="22"/>
      <c r="J344" s="22"/>
      <c r="K344" s="22"/>
    </row>
    <row r="345" spans="1:11" ht="14.25" customHeight="1">
      <c r="C345" s="22"/>
      <c r="D345" s="22"/>
      <c r="E345" s="22"/>
      <c r="F345" s="22"/>
      <c r="G345" s="22"/>
      <c r="H345" s="22"/>
      <c r="I345" s="22"/>
      <c r="J345" s="22"/>
      <c r="K345" s="22"/>
    </row>
    <row r="346" spans="1:11" ht="14.25" customHeight="1">
      <c r="A346" s="24" t="s">
        <v>43</v>
      </c>
      <c r="B346" s="22">
        <f>(1+ B336/2)^2 -1</f>
        <v>0.11830625000000028</v>
      </c>
      <c r="C346" s="22"/>
      <c r="D346" s="22"/>
      <c r="E346" s="22"/>
      <c r="F346" s="22"/>
      <c r="G346" s="22"/>
      <c r="H346" s="22"/>
      <c r="I346" s="22"/>
      <c r="J346" s="22"/>
      <c r="K346" s="22"/>
    </row>
    <row r="347" spans="1:11" ht="14.25" customHeight="1">
      <c r="A347" s="24" t="s">
        <v>57</v>
      </c>
      <c r="B347" s="22">
        <f>B334*(1+B346)^1</f>
        <v>27957.656250000007</v>
      </c>
      <c r="C347" s="22"/>
      <c r="D347" s="22"/>
      <c r="E347" s="22"/>
      <c r="F347" s="22"/>
      <c r="G347" s="22"/>
      <c r="H347" s="22"/>
      <c r="I347" s="22"/>
      <c r="J347" s="22"/>
      <c r="K347" s="22"/>
    </row>
    <row r="348" spans="1:11" ht="14.25" customHeight="1">
      <c r="A348" s="24"/>
      <c r="B348" s="22"/>
      <c r="C348" s="22"/>
      <c r="D348" s="22"/>
      <c r="E348" s="22"/>
      <c r="F348" s="22"/>
      <c r="G348" s="22"/>
      <c r="H348" s="22"/>
      <c r="I348" s="22"/>
      <c r="J348" s="22"/>
      <c r="K348" s="22"/>
    </row>
    <row r="349" spans="1:11" ht="14.25" customHeight="1">
      <c r="A349" s="24" t="s">
        <v>147</v>
      </c>
      <c r="B349" s="22" t="s">
        <v>1461</v>
      </c>
      <c r="C349" s="22"/>
      <c r="D349" s="22"/>
      <c r="E349" s="22"/>
      <c r="F349" s="22"/>
      <c r="G349" s="22"/>
      <c r="H349" s="22"/>
      <c r="I349" s="22"/>
      <c r="J349" s="22"/>
      <c r="K349" s="22"/>
    </row>
    <row r="350" spans="1:11" ht="14.25" customHeight="1">
      <c r="A350" s="337" t="s">
        <v>148</v>
      </c>
      <c r="B350" s="369" t="s">
        <v>149</v>
      </c>
      <c r="C350" s="369"/>
      <c r="D350" s="22"/>
      <c r="E350" s="22"/>
      <c r="F350" s="22"/>
      <c r="G350" s="22"/>
      <c r="H350" s="22"/>
      <c r="I350" s="22"/>
      <c r="J350" s="22"/>
      <c r="K350" s="22"/>
    </row>
    <row r="351" spans="1:11" ht="14.25" customHeight="1">
      <c r="A351" s="24"/>
      <c r="B351" s="22"/>
      <c r="C351" s="22"/>
      <c r="D351" s="22"/>
      <c r="E351" s="22"/>
      <c r="F351" s="22"/>
      <c r="G351" s="22"/>
      <c r="H351" s="22"/>
      <c r="I351" s="22"/>
      <c r="J351" s="22"/>
      <c r="K351" s="22"/>
    </row>
    <row r="352" spans="1:11" s="322" customFormat="1" ht="14.25" customHeight="1">
      <c r="A352" s="325"/>
      <c r="B352" s="326" t="s">
        <v>150</v>
      </c>
      <c r="C352" s="324"/>
      <c r="D352" s="324"/>
      <c r="E352" s="324"/>
      <c r="F352" s="324"/>
      <c r="G352" s="324"/>
      <c r="H352" s="324"/>
      <c r="I352" s="324"/>
      <c r="J352" s="324"/>
      <c r="K352" s="324"/>
    </row>
    <row r="353" spans="1:14" ht="14.25" customHeight="1">
      <c r="B353" s="22"/>
      <c r="C353" s="22"/>
      <c r="D353" s="22"/>
      <c r="E353" s="22"/>
      <c r="F353" s="22"/>
      <c r="G353" s="22"/>
      <c r="H353" s="22"/>
      <c r="I353" s="22"/>
      <c r="J353" s="22"/>
      <c r="K353" s="22"/>
    </row>
    <row r="354" spans="1:14" ht="14.25" customHeight="1">
      <c r="A354" s="154" t="s">
        <v>151</v>
      </c>
      <c r="B354" s="88"/>
      <c r="C354" s="88"/>
      <c r="D354" s="88"/>
      <c r="E354" s="88"/>
      <c r="F354" s="88"/>
      <c r="G354" s="88"/>
      <c r="H354" s="88"/>
      <c r="I354" s="88"/>
      <c r="J354" s="88"/>
      <c r="K354" s="89"/>
    </row>
    <row r="355" spans="1:14" ht="15" customHeight="1">
      <c r="A355" s="155" t="s">
        <v>97</v>
      </c>
      <c r="B355" s="258">
        <v>120000</v>
      </c>
      <c r="E355" s="398" t="s">
        <v>152</v>
      </c>
      <c r="F355" s="398"/>
      <c r="G355" s="398"/>
      <c r="H355" s="398"/>
      <c r="I355" s="398"/>
      <c r="J355" s="398"/>
      <c r="K355" s="399"/>
    </row>
    <row r="356" spans="1:14" ht="14.25" customHeight="1">
      <c r="A356" s="155" t="s">
        <v>107</v>
      </c>
      <c r="B356" s="258">
        <v>100000</v>
      </c>
      <c r="E356" s="398"/>
      <c r="F356" s="398"/>
      <c r="G356" s="398"/>
      <c r="H356" s="398"/>
      <c r="I356" s="398"/>
      <c r="J356" s="398"/>
      <c r="K356" s="399"/>
    </row>
    <row r="357" spans="1:14" ht="14.25" customHeight="1">
      <c r="A357" s="155" t="s">
        <v>43</v>
      </c>
      <c r="B357" s="260">
        <v>0.25</v>
      </c>
      <c r="E357" s="398"/>
      <c r="F357" s="398"/>
      <c r="G357" s="398"/>
      <c r="H357" s="398"/>
      <c r="I357" s="398"/>
      <c r="J357" s="398"/>
      <c r="K357" s="399"/>
    </row>
    <row r="358" spans="1:14" ht="14.25" customHeight="1">
      <c r="A358" s="155" t="s">
        <v>48</v>
      </c>
      <c r="B358">
        <f>(B355/B356-1)/B357</f>
        <v>0.79999999999999982</v>
      </c>
      <c r="E358" s="398"/>
      <c r="F358" s="398"/>
      <c r="G358" s="398"/>
      <c r="H358" s="398"/>
      <c r="I358" s="398"/>
      <c r="J358" s="398"/>
      <c r="K358" s="399"/>
    </row>
    <row r="359" spans="1:14" ht="14.25" customHeight="1">
      <c r="A359" s="155" t="s">
        <v>48</v>
      </c>
      <c r="B359" s="17">
        <f>365*B358</f>
        <v>291.99999999999994</v>
      </c>
      <c r="E359" s="398"/>
      <c r="F359" s="398"/>
      <c r="G359" s="398"/>
      <c r="H359" s="398"/>
      <c r="I359" s="398"/>
      <c r="J359" s="398"/>
      <c r="K359" s="399"/>
    </row>
    <row r="360" spans="1:14" ht="14.25" customHeight="1">
      <c r="A360" s="105"/>
      <c r="B360" s="97"/>
      <c r="C360" s="97"/>
      <c r="D360" s="97"/>
      <c r="E360" s="400"/>
      <c r="F360" s="400"/>
      <c r="G360" s="400"/>
      <c r="H360" s="400"/>
      <c r="I360" s="400"/>
      <c r="J360" s="400"/>
      <c r="K360" s="401"/>
    </row>
    <row r="361" spans="1:14" ht="14.25" customHeight="1">
      <c r="A361" s="262" t="s">
        <v>153</v>
      </c>
      <c r="B361" s="263"/>
      <c r="C361" s="263"/>
      <c r="D361" s="263"/>
      <c r="E361" s="263"/>
      <c r="F361" s="263"/>
      <c r="G361" s="263"/>
      <c r="H361" s="88"/>
      <c r="I361" s="88"/>
      <c r="J361" s="88"/>
      <c r="K361" s="89"/>
    </row>
    <row r="362" spans="1:14" ht="15" customHeight="1">
      <c r="A362" s="155" t="s">
        <v>154</v>
      </c>
      <c r="B362" s="2">
        <v>0.12</v>
      </c>
      <c r="C362" s="2">
        <f>1+B362</f>
        <v>1.1200000000000001</v>
      </c>
      <c r="E362" t="s">
        <v>155</v>
      </c>
      <c r="H362" s="18"/>
      <c r="I362" s="18"/>
      <c r="J362" s="18"/>
      <c r="K362" s="264"/>
      <c r="L362" s="18"/>
      <c r="M362" s="18"/>
      <c r="N362" s="18"/>
    </row>
    <row r="363" spans="1:14" ht="14.25" customHeight="1">
      <c r="A363" s="155" t="s">
        <v>156</v>
      </c>
      <c r="B363" s="2">
        <v>-0.25</v>
      </c>
      <c r="C363" s="2">
        <f>1+B363</f>
        <v>0.75</v>
      </c>
      <c r="E363" t="s">
        <v>157</v>
      </c>
      <c r="H363" s="18"/>
      <c r="I363" s="18"/>
      <c r="J363" s="18"/>
      <c r="K363" s="264"/>
      <c r="L363" s="18"/>
      <c r="M363" s="18"/>
      <c r="N363" s="18"/>
    </row>
    <row r="364" spans="1:14" ht="14.25" customHeight="1">
      <c r="A364" s="155" t="s">
        <v>158</v>
      </c>
      <c r="C364">
        <f>PRODUCT(C362:C363)</f>
        <v>0.84000000000000008</v>
      </c>
      <c r="E364" t="s">
        <v>159</v>
      </c>
      <c r="H364" s="18"/>
      <c r="I364" s="18"/>
      <c r="J364" s="18"/>
      <c r="K364" s="264"/>
      <c r="L364" s="18"/>
      <c r="M364" s="18"/>
      <c r="N364" s="18"/>
    </row>
    <row r="365" spans="1:14" ht="14.25" customHeight="1">
      <c r="A365" s="104"/>
      <c r="B365" s="1" t="s">
        <v>160</v>
      </c>
      <c r="C365" s="265">
        <f>C364-100%</f>
        <v>-0.15999999999999992</v>
      </c>
      <c r="H365" s="18"/>
      <c r="I365" s="18"/>
      <c r="J365" s="18"/>
      <c r="K365" s="264"/>
      <c r="L365" s="18"/>
      <c r="M365" s="18"/>
      <c r="N365" s="18"/>
    </row>
    <row r="366" spans="1:14" ht="14.25" customHeight="1">
      <c r="A366" s="105"/>
      <c r="B366" s="97"/>
      <c r="C366" s="97"/>
      <c r="D366" s="97"/>
      <c r="E366" s="97"/>
      <c r="F366" s="97"/>
      <c r="G366" s="97"/>
      <c r="H366" s="266"/>
      <c r="I366" s="266"/>
      <c r="J366" s="266"/>
      <c r="K366" s="267"/>
      <c r="L366" s="18"/>
      <c r="M366" s="18"/>
      <c r="N366" s="18"/>
    </row>
    <row r="367" spans="1:14" ht="14.25" customHeight="1">
      <c r="A367" s="154" t="s">
        <v>161</v>
      </c>
      <c r="B367" s="88"/>
      <c r="C367" s="88"/>
      <c r="D367" s="88"/>
      <c r="E367" s="88"/>
      <c r="F367" s="88"/>
      <c r="G367" s="88"/>
      <c r="H367" s="263"/>
      <c r="I367" s="263"/>
      <c r="J367" s="263"/>
      <c r="K367" s="268"/>
      <c r="L367" s="18"/>
      <c r="M367" s="18"/>
      <c r="N367" s="18"/>
    </row>
    <row r="368" spans="1:14" ht="14.25" customHeight="1">
      <c r="A368" s="155" t="s">
        <v>162</v>
      </c>
      <c r="C368" s="2">
        <v>1</v>
      </c>
      <c r="F368" t="s">
        <v>163</v>
      </c>
      <c r="K368" s="94"/>
    </row>
    <row r="369" spans="1:11" ht="14.25" customHeight="1">
      <c r="A369" s="155" t="s">
        <v>164</v>
      </c>
      <c r="C369" s="3">
        <f>100%+110%</f>
        <v>2.1</v>
      </c>
      <c r="F369" t="s">
        <v>165</v>
      </c>
      <c r="K369" s="94"/>
    </row>
    <row r="370" spans="1:11" ht="14.25" customHeight="1">
      <c r="A370" s="104" t="s">
        <v>166</v>
      </c>
      <c r="F370" t="s">
        <v>167</v>
      </c>
      <c r="K370" s="94"/>
    </row>
    <row r="371" spans="1:11" ht="14.25" customHeight="1">
      <c r="A371" s="104" t="s">
        <v>168</v>
      </c>
      <c r="B371" s="269">
        <f>C369/C368/140%-100%</f>
        <v>0.50000000000000022</v>
      </c>
      <c r="F371" t="s">
        <v>165</v>
      </c>
      <c r="K371" s="94"/>
    </row>
    <row r="372" spans="1:11" ht="14.25" customHeight="1">
      <c r="A372" s="104"/>
      <c r="F372" t="s">
        <v>167</v>
      </c>
      <c r="K372" s="94"/>
    </row>
    <row r="373" spans="1:11" ht="14.25" customHeight="1">
      <c r="A373" s="270"/>
      <c r="B373" s="18"/>
      <c r="C373" s="18"/>
      <c r="D373" s="18"/>
      <c r="E373" s="18"/>
      <c r="F373" t="s">
        <v>157</v>
      </c>
      <c r="G373" s="18"/>
      <c r="K373" s="94"/>
    </row>
    <row r="374" spans="1:11" ht="15" customHeight="1">
      <c r="A374" s="270"/>
      <c r="B374" s="18"/>
      <c r="C374" s="18"/>
      <c r="D374" s="18"/>
      <c r="E374" s="18"/>
      <c r="F374" t="s">
        <v>159</v>
      </c>
      <c r="G374" s="18"/>
      <c r="K374" s="94"/>
    </row>
    <row r="375" spans="1:11" ht="15" customHeight="1">
      <c r="A375" s="270"/>
      <c r="B375" s="18"/>
      <c r="C375" s="18"/>
      <c r="D375" s="18"/>
      <c r="E375" s="18"/>
      <c r="F375" s="18"/>
      <c r="G375" s="18"/>
      <c r="K375" s="94"/>
    </row>
    <row r="376" spans="1:11" ht="15" customHeight="1">
      <c r="A376" s="271" t="s">
        <v>161</v>
      </c>
      <c r="B376" s="266"/>
      <c r="C376" s="266"/>
      <c r="D376" s="266"/>
      <c r="E376" s="266"/>
      <c r="F376" s="266"/>
      <c r="G376" s="266"/>
      <c r="H376" s="97"/>
      <c r="I376" s="97"/>
      <c r="J376" s="97"/>
      <c r="K376" s="98"/>
    </row>
    <row r="377" spans="1:11" ht="14.25" customHeight="1">
      <c r="A377" s="272"/>
      <c r="B377" s="263"/>
      <c r="C377" s="263"/>
      <c r="D377" s="263"/>
      <c r="E377" s="263"/>
      <c r="F377" s="263"/>
      <c r="G377" s="263"/>
      <c r="H377" s="88" t="s">
        <v>169</v>
      </c>
      <c r="I377" s="88"/>
      <c r="J377" s="88"/>
      <c r="K377" s="89"/>
    </row>
    <row r="378" spans="1:11" ht="14.25" customHeight="1">
      <c r="A378" s="270"/>
      <c r="B378" s="18"/>
      <c r="C378" s="18"/>
      <c r="D378" s="18"/>
      <c r="E378" s="18"/>
      <c r="F378" s="18"/>
      <c r="G378" s="18"/>
      <c r="H378" t="s">
        <v>170</v>
      </c>
      <c r="K378" s="94"/>
    </row>
    <row r="379" spans="1:11" ht="14.25" customHeight="1">
      <c r="A379" s="270"/>
      <c r="B379" s="18"/>
      <c r="C379" s="18"/>
      <c r="D379" s="18"/>
      <c r="E379" s="18"/>
      <c r="F379" s="18"/>
      <c r="G379" s="18"/>
      <c r="H379" t="s">
        <v>171</v>
      </c>
      <c r="K379" s="94"/>
    </row>
    <row r="380" spans="1:11" ht="14.25" customHeight="1">
      <c r="A380" s="155" t="s">
        <v>107</v>
      </c>
      <c r="B380">
        <v>3900</v>
      </c>
      <c r="D380" s="1" t="s">
        <v>172</v>
      </c>
      <c r="E380">
        <v>1</v>
      </c>
      <c r="F380" t="s">
        <v>173</v>
      </c>
      <c r="H380" t="s">
        <v>174</v>
      </c>
      <c r="K380" s="94"/>
    </row>
    <row r="381" spans="1:11" ht="14.25" customHeight="1">
      <c r="A381" s="155" t="s">
        <v>175</v>
      </c>
      <c r="B381">
        <f>B380*825%</f>
        <v>32175</v>
      </c>
      <c r="D381" s="1" t="s">
        <v>176</v>
      </c>
      <c r="E381" s="273">
        <f>E380*1.5+1</f>
        <v>2.5</v>
      </c>
      <c r="F381" t="s">
        <v>173</v>
      </c>
      <c r="H381" t="s">
        <v>177</v>
      </c>
      <c r="K381" s="94"/>
    </row>
    <row r="382" spans="1:11" ht="14.25" customHeight="1">
      <c r="A382" s="155" t="s">
        <v>43</v>
      </c>
      <c r="B382" s="2">
        <v>0.5</v>
      </c>
      <c r="D382" s="1" t="s">
        <v>178</v>
      </c>
      <c r="E382" s="273">
        <f t="shared" ref="E382:E383" si="0">E381*1.5+1</f>
        <v>4.75</v>
      </c>
      <c r="F382" t="s">
        <v>173</v>
      </c>
      <c r="H382" t="s">
        <v>179</v>
      </c>
      <c r="K382" s="94"/>
    </row>
    <row r="383" spans="1:11" ht="14.25" customHeight="1">
      <c r="A383" s="155" t="s">
        <v>48</v>
      </c>
      <c r="B383">
        <v>5</v>
      </c>
      <c r="D383" s="1" t="s">
        <v>180</v>
      </c>
      <c r="E383" s="273">
        <f t="shared" si="0"/>
        <v>8.125</v>
      </c>
      <c r="F383" t="s">
        <v>173</v>
      </c>
      <c r="H383" t="s">
        <v>165</v>
      </c>
      <c r="K383" s="94"/>
    </row>
    <row r="384" spans="1:11" ht="14.25" customHeight="1">
      <c r="A384" s="155" t="s">
        <v>97</v>
      </c>
      <c r="B384">
        <f>B380*(1+B382)^B383</f>
        <v>29615.625</v>
      </c>
      <c r="D384" s="1" t="s">
        <v>181</v>
      </c>
      <c r="E384" s="273">
        <f>E383*1.5</f>
        <v>12.1875</v>
      </c>
      <c r="F384" t="s">
        <v>173</v>
      </c>
      <c r="H384" t="s">
        <v>167</v>
      </c>
      <c r="K384" s="94"/>
    </row>
    <row r="385" spans="1:17" ht="14.25" customHeight="1">
      <c r="A385" s="104"/>
      <c r="D385" s="1" t="s">
        <v>182</v>
      </c>
      <c r="E385">
        <f>B386/E384</f>
        <v>210</v>
      </c>
      <c r="H385" t="s">
        <v>165</v>
      </c>
      <c r="K385" s="94"/>
    </row>
    <row r="386" spans="1:17" ht="14.25" customHeight="1">
      <c r="A386" s="104"/>
      <c r="B386">
        <f>B381-B384</f>
        <v>2559.375</v>
      </c>
      <c r="D386" s="1" t="s">
        <v>160</v>
      </c>
      <c r="E386" s="274">
        <v>210</v>
      </c>
      <c r="H386" t="s">
        <v>167</v>
      </c>
      <c r="K386" s="94"/>
    </row>
    <row r="387" spans="1:17" ht="14.25" customHeight="1">
      <c r="A387" s="104"/>
      <c r="H387" t="s">
        <v>157</v>
      </c>
      <c r="K387" s="94"/>
    </row>
    <row r="388" spans="1:17" ht="14.25" customHeight="1">
      <c r="A388" s="275"/>
      <c r="B388" s="18"/>
      <c r="C388" s="18"/>
      <c r="D388" s="18"/>
      <c r="E388" s="18"/>
      <c r="F388" s="18"/>
      <c r="G388" s="18"/>
      <c r="H388" t="s">
        <v>159</v>
      </c>
      <c r="K388" s="94"/>
    </row>
    <row r="389" spans="1:17" ht="14.25" customHeight="1">
      <c r="A389" s="276" t="s">
        <v>183</v>
      </c>
      <c r="B389" s="263"/>
      <c r="C389" s="263"/>
      <c r="D389" s="263"/>
      <c r="E389" s="263"/>
      <c r="F389" s="263"/>
      <c r="G389" s="263"/>
      <c r="H389" s="88"/>
      <c r="I389" s="88"/>
      <c r="J389" s="88"/>
      <c r="K389" s="88"/>
      <c r="L389" s="88"/>
      <c r="M389" s="89"/>
    </row>
    <row r="390" spans="1:17" ht="14.25" customHeight="1">
      <c r="A390" s="104"/>
      <c r="C390">
        <v>1</v>
      </c>
      <c r="E390" t="s">
        <v>184</v>
      </c>
      <c r="M390" s="94"/>
    </row>
    <row r="391" spans="1:17" ht="14.25" customHeight="1">
      <c r="A391" s="104">
        <v>1</v>
      </c>
      <c r="B391" s="277">
        <f>16%</f>
        <v>0.16</v>
      </c>
      <c r="C391">
        <f>C390*(1+B391)</f>
        <v>1.1599999999999999</v>
      </c>
      <c r="E391" t="s">
        <v>185</v>
      </c>
      <c r="M391" s="94"/>
    </row>
    <row r="392" spans="1:17" ht="14.25" customHeight="1">
      <c r="A392" s="104">
        <f>A391+0.5</f>
        <v>1.5</v>
      </c>
      <c r="B392" s="3">
        <f>B391+1%</f>
        <v>0.17</v>
      </c>
      <c r="C392">
        <f>C391*(1+B392)^(1/2)</f>
        <v>1.2547318438614681</v>
      </c>
      <c r="E392" t="s">
        <v>186</v>
      </c>
      <c r="M392" s="94"/>
    </row>
    <row r="393" spans="1:17" ht="14.25" customHeight="1">
      <c r="A393" s="104">
        <f t="shared" ref="A393:A394" si="1">A392+0.5</f>
        <v>2</v>
      </c>
      <c r="B393" s="3">
        <f t="shared" ref="B393:B394" si="2">B392+1%</f>
        <v>0.18000000000000002</v>
      </c>
      <c r="C393">
        <f>C392*(1+B393)^(1/2)</f>
        <v>1.362987659518603</v>
      </c>
      <c r="E393" t="s">
        <v>187</v>
      </c>
      <c r="M393" s="94"/>
    </row>
    <row r="394" spans="1:17" ht="14.25" customHeight="1">
      <c r="A394" s="104">
        <f t="shared" si="1"/>
        <v>2.5</v>
      </c>
      <c r="B394" s="3">
        <f t="shared" si="2"/>
        <v>0.19000000000000003</v>
      </c>
      <c r="C394">
        <f>C393*(1+B394)^(1/2)</f>
        <v>1.4868439993489564</v>
      </c>
      <c r="E394" s="3"/>
      <c r="M394" s="94"/>
    </row>
    <row r="395" spans="1:17" ht="14.25" customHeight="1">
      <c r="A395" s="104"/>
      <c r="C395" t="s">
        <v>188</v>
      </c>
      <c r="D395">
        <f>C394</f>
        <v>1.4868439993489564</v>
      </c>
      <c r="M395" s="94"/>
    </row>
    <row r="396" spans="1:17" ht="14.25" customHeight="1">
      <c r="A396" s="262" t="s">
        <v>189</v>
      </c>
      <c r="B396" s="263"/>
      <c r="C396" s="263"/>
      <c r="D396" s="263"/>
      <c r="E396" s="263"/>
      <c r="F396" s="263"/>
      <c r="G396" s="263">
        <f>$B$44*E399*F399</f>
        <v>0</v>
      </c>
      <c r="H396" s="88"/>
      <c r="I396" s="88"/>
      <c r="J396" s="88"/>
      <c r="K396" s="88" t="s">
        <v>190</v>
      </c>
      <c r="L396" s="88"/>
      <c r="M396" s="88"/>
      <c r="N396" s="88"/>
      <c r="O396" s="88"/>
      <c r="P396" s="88"/>
      <c r="Q396" s="89"/>
    </row>
    <row r="397" spans="1:17" ht="14.25" customHeight="1">
      <c r="A397" s="155" t="s">
        <v>107</v>
      </c>
      <c r="B397" s="274">
        <v>10000</v>
      </c>
      <c r="K397" t="s">
        <v>191</v>
      </c>
      <c r="Q397" s="94"/>
    </row>
    <row r="398" spans="1:17" ht="14.25" customHeight="1">
      <c r="A398" s="104"/>
      <c r="D398" t="s">
        <v>192</v>
      </c>
      <c r="E398" t="s">
        <v>82</v>
      </c>
      <c r="F398" t="s">
        <v>193</v>
      </c>
      <c r="G398" s="1" t="s">
        <v>194</v>
      </c>
      <c r="I398" s="1" t="s">
        <v>195</v>
      </c>
      <c r="K398" t="s">
        <v>196</v>
      </c>
      <c r="Q398" s="94"/>
    </row>
    <row r="399" spans="1:17" ht="14.25" customHeight="1">
      <c r="A399" s="104" t="s">
        <v>197</v>
      </c>
      <c r="D399">
        <f>1/2*1/4+1/4</f>
        <v>0.375</v>
      </c>
      <c r="E399" s="2">
        <v>0.3</v>
      </c>
      <c r="F399">
        <f>D399</f>
        <v>0.375</v>
      </c>
      <c r="G399" s="278">
        <f>$B$397*E399*F399</f>
        <v>1125</v>
      </c>
      <c r="H399" s="278"/>
      <c r="I399" s="278">
        <f>B397*(1+E399)^F399</f>
        <v>11033.892720460648</v>
      </c>
      <c r="K399" t="s">
        <v>198</v>
      </c>
      <c r="Q399" s="94"/>
    </row>
    <row r="400" spans="1:17" ht="14.25" customHeight="1">
      <c r="A400" s="104" t="s">
        <v>199</v>
      </c>
      <c r="D400">
        <f>3/4</f>
        <v>0.75</v>
      </c>
      <c r="E400" s="2">
        <v>0.25</v>
      </c>
      <c r="F400">
        <f>D400-D399</f>
        <v>0.375</v>
      </c>
      <c r="G400" s="278">
        <f t="shared" ref="G400:G401" si="3">$B$397*E400*F400</f>
        <v>937.5</v>
      </c>
      <c r="H400" s="278"/>
      <c r="I400" s="278">
        <f>I399*(1+E400)^F400</f>
        <v>11996.926883059385</v>
      </c>
      <c r="K400" t="s">
        <v>200</v>
      </c>
      <c r="Q400" s="94"/>
    </row>
    <row r="401" spans="1:17" ht="14.25" customHeight="1">
      <c r="A401" s="104" t="s">
        <v>201</v>
      </c>
      <c r="D401">
        <v>1</v>
      </c>
      <c r="E401" s="2">
        <v>0.3</v>
      </c>
      <c r="F401">
        <f>1-F400-F399</f>
        <v>0.25</v>
      </c>
      <c r="G401" s="278">
        <f t="shared" si="3"/>
        <v>750</v>
      </c>
      <c r="H401" s="278"/>
      <c r="I401" s="278">
        <f>I400*(1+E401)^F401</f>
        <v>12810.198225016175</v>
      </c>
      <c r="K401" t="s">
        <v>202</v>
      </c>
      <c r="Q401" s="94"/>
    </row>
    <row r="402" spans="1:17" ht="14.25" customHeight="1">
      <c r="A402" s="104"/>
      <c r="F402" s="1" t="s">
        <v>203</v>
      </c>
      <c r="G402" s="17">
        <f>B397+SUM(G399:G401)</f>
        <v>12812.5</v>
      </c>
      <c r="H402" s="280"/>
      <c r="I402" s="279">
        <f>I401</f>
        <v>12810.198225016175</v>
      </c>
      <c r="K402" t="s">
        <v>204</v>
      </c>
      <c r="Q402" s="94"/>
    </row>
    <row r="403" spans="1:17" ht="14.25" customHeight="1">
      <c r="A403" s="104"/>
      <c r="Q403" s="94"/>
    </row>
    <row r="404" spans="1:17" ht="14.25" customHeight="1">
      <c r="A404" s="105"/>
      <c r="B404" s="97"/>
      <c r="C404" s="97"/>
      <c r="D404" s="97"/>
      <c r="E404" s="97"/>
      <c r="F404" s="97"/>
      <c r="G404" s="97"/>
      <c r="H404" s="97"/>
      <c r="I404" s="97"/>
      <c r="J404" s="97"/>
      <c r="K404" s="97"/>
      <c r="L404" s="97"/>
      <c r="M404" s="97"/>
      <c r="N404" s="97"/>
      <c r="O404" s="97"/>
      <c r="P404" s="97"/>
      <c r="Q404" s="98"/>
    </row>
    <row r="405" spans="1:17" ht="14.25" customHeight="1">
      <c r="A405" s="262" t="s">
        <v>205</v>
      </c>
      <c r="B405" s="263"/>
      <c r="C405" s="263"/>
      <c r="D405" s="263"/>
      <c r="E405" s="263"/>
      <c r="F405" s="263"/>
      <c r="G405" s="263"/>
      <c r="H405" s="88"/>
      <c r="I405" s="88"/>
      <c r="J405" s="88"/>
      <c r="K405" s="88"/>
      <c r="L405" s="88"/>
      <c r="M405" s="88"/>
      <c r="N405" s="88"/>
      <c r="O405" s="88"/>
      <c r="P405" s="88"/>
      <c r="Q405" s="89"/>
    </row>
    <row r="406" spans="1:17" ht="14.25" customHeight="1">
      <c r="A406" s="155" t="s">
        <v>107</v>
      </c>
      <c r="B406" s="281">
        <v>20000</v>
      </c>
      <c r="D406" t="s">
        <v>206</v>
      </c>
      <c r="Q406" s="94"/>
    </row>
    <row r="407" spans="1:17" ht="14.25" customHeight="1">
      <c r="A407" s="155" t="s">
        <v>43</v>
      </c>
      <c r="B407" s="2">
        <v>0.11</v>
      </c>
      <c r="D407" t="s">
        <v>207</v>
      </c>
      <c r="Q407" s="94"/>
    </row>
    <row r="408" spans="1:17" ht="14.25" customHeight="1">
      <c r="A408" s="155" t="s">
        <v>208</v>
      </c>
      <c r="B408" s="20">
        <v>40581</v>
      </c>
      <c r="D408" t="s">
        <v>209</v>
      </c>
      <c r="Q408" s="94"/>
    </row>
    <row r="409" spans="1:17" ht="14.25" customHeight="1">
      <c r="A409" s="155" t="s">
        <v>210</v>
      </c>
      <c r="B409" s="20">
        <v>40817</v>
      </c>
      <c r="D409" t="s">
        <v>211</v>
      </c>
      <c r="Q409" s="94"/>
    </row>
    <row r="410" spans="1:17" ht="14.25" customHeight="1">
      <c r="A410" s="155" t="s">
        <v>212</v>
      </c>
      <c r="B410">
        <f>B409-B408</f>
        <v>236</v>
      </c>
      <c r="Q410" s="94"/>
    </row>
    <row r="411" spans="1:17" ht="14.25" customHeight="1">
      <c r="A411" s="155" t="s">
        <v>213</v>
      </c>
      <c r="B411" s="279">
        <f>B406*(1+B407)^(B410/365)</f>
        <v>21396.104787872475</v>
      </c>
      <c r="D411" s="278"/>
      <c r="Q411" s="94"/>
    </row>
    <row r="412" spans="1:17" ht="14.25" customHeight="1">
      <c r="A412" s="105"/>
      <c r="B412" s="97"/>
      <c r="C412" s="97"/>
      <c r="D412" s="97"/>
      <c r="E412" s="97"/>
      <c r="F412" s="97"/>
      <c r="G412" s="97"/>
      <c r="H412" s="97"/>
      <c r="I412" s="97"/>
      <c r="J412" s="97"/>
      <c r="K412" s="97"/>
      <c r="L412" s="97"/>
      <c r="M412" s="97"/>
      <c r="N412" s="97"/>
      <c r="O412" s="97"/>
      <c r="P412" s="97"/>
      <c r="Q412" s="98"/>
    </row>
    <row r="413" spans="1:17" ht="14.25" customHeight="1">
      <c r="A413" s="262" t="s">
        <v>214</v>
      </c>
      <c r="B413" s="282"/>
      <c r="C413" s="282"/>
      <c r="D413" s="282"/>
      <c r="E413" s="282"/>
      <c r="F413" s="88" t="s">
        <v>215</v>
      </c>
      <c r="G413" s="282"/>
      <c r="H413" s="88"/>
      <c r="I413" s="88"/>
      <c r="J413" s="88"/>
      <c r="K413" s="88"/>
      <c r="L413" s="88"/>
      <c r="M413" s="88"/>
      <c r="N413" s="88"/>
      <c r="O413" s="88"/>
      <c r="P413" s="88"/>
      <c r="Q413" s="89"/>
    </row>
    <row r="414" spans="1:17" ht="14.25" customHeight="1">
      <c r="A414" s="283">
        <f>((108%^(1/2))-1)*2</f>
        <v>7.8460969082652987E-2</v>
      </c>
      <c r="F414" t="s">
        <v>216</v>
      </c>
      <c r="Q414" s="94"/>
    </row>
    <row r="415" spans="1:17" ht="14.25" customHeight="1">
      <c r="A415" s="104"/>
      <c r="F415" t="s">
        <v>217</v>
      </c>
      <c r="Q415" s="94"/>
    </row>
    <row r="416" spans="1:17" ht="14.25" customHeight="1">
      <c r="A416" s="104"/>
      <c r="F416" t="s">
        <v>218</v>
      </c>
      <c r="Q416" s="94"/>
    </row>
    <row r="417" spans="1:17" ht="14.25" customHeight="1">
      <c r="A417" s="104"/>
      <c r="Q417" s="94"/>
    </row>
    <row r="418" spans="1:17" ht="14.25" customHeight="1">
      <c r="A418" s="105"/>
      <c r="B418" s="97"/>
      <c r="C418" s="97"/>
      <c r="D418" s="97"/>
      <c r="E418" s="97"/>
      <c r="F418" s="97"/>
      <c r="G418" s="97"/>
      <c r="H418" s="97"/>
      <c r="I418" s="97"/>
      <c r="J418" s="97"/>
      <c r="K418" s="97"/>
      <c r="L418" s="97"/>
      <c r="M418" s="97"/>
      <c r="N418" s="97"/>
      <c r="O418" s="97"/>
      <c r="P418" s="97"/>
      <c r="Q418" s="98"/>
    </row>
    <row r="419" spans="1:17" ht="14.25" customHeight="1">
      <c r="A419" s="262" t="s">
        <v>219</v>
      </c>
      <c r="B419" s="263"/>
      <c r="C419" s="263"/>
      <c r="D419" s="263"/>
      <c r="E419" s="263"/>
      <c r="F419" s="263"/>
      <c r="G419" s="263"/>
      <c r="H419" s="88"/>
      <c r="I419" s="88"/>
      <c r="J419" s="88"/>
      <c r="K419" s="88"/>
      <c r="L419" s="88"/>
      <c r="M419" s="88"/>
      <c r="N419" s="88"/>
      <c r="O419" s="88"/>
      <c r="P419" s="88"/>
      <c r="Q419" s="89"/>
    </row>
    <row r="420" spans="1:17" ht="14.25" customHeight="1">
      <c r="A420" s="155" t="s">
        <v>107</v>
      </c>
      <c r="B420">
        <v>2400</v>
      </c>
      <c r="E420" s="1" t="s">
        <v>42</v>
      </c>
      <c r="F420" s="1" t="s">
        <v>97</v>
      </c>
      <c r="G420" s="1" t="s">
        <v>220</v>
      </c>
      <c r="I420" t="s">
        <v>221</v>
      </c>
      <c r="Q420" s="94"/>
    </row>
    <row r="421" spans="1:17" ht="14.25" customHeight="1">
      <c r="A421" s="155" t="s">
        <v>48</v>
      </c>
      <c r="B421">
        <v>3</v>
      </c>
      <c r="E421">
        <v>1</v>
      </c>
      <c r="F421" s="17">
        <f>$B$420*(1+$B$422/E421)^(E421*$B$421)</f>
        <v>2940.1032000000005</v>
      </c>
      <c r="G421" s="17">
        <f>B420*EXP(B422*B421)</f>
        <v>2960.8273438961837</v>
      </c>
      <c r="I421" t="s">
        <v>222</v>
      </c>
      <c r="Q421" s="94"/>
    </row>
    <row r="422" spans="1:17" ht="14.25" customHeight="1">
      <c r="A422" s="155" t="s">
        <v>43</v>
      </c>
      <c r="B422" s="2">
        <v>7.0000000000000007E-2</v>
      </c>
      <c r="E422">
        <v>4</v>
      </c>
      <c r="F422" s="17">
        <f t="shared" ref="F422:F424" si="4">$B$420*(1+$B$422/E422)^(E422*$B$421)</f>
        <v>2955.4543558675018</v>
      </c>
      <c r="G422" s="16"/>
      <c r="I422" t="s">
        <v>223</v>
      </c>
      <c r="Q422" s="94"/>
    </row>
    <row r="423" spans="1:17" ht="14.25" customHeight="1">
      <c r="A423" s="155"/>
      <c r="E423">
        <v>6</v>
      </c>
      <c r="F423" s="17">
        <f t="shared" si="4"/>
        <v>2957.2304824821135</v>
      </c>
      <c r="G423" s="16"/>
      <c r="I423" t="s">
        <v>224</v>
      </c>
      <c r="Q423" s="94"/>
    </row>
    <row r="424" spans="1:17" ht="14.25" customHeight="1">
      <c r="A424" s="104"/>
      <c r="E424">
        <v>12</v>
      </c>
      <c r="F424" s="17">
        <f t="shared" si="4"/>
        <v>2959.0214099446266</v>
      </c>
      <c r="G424" s="16"/>
      <c r="I424" t="s">
        <v>225</v>
      </c>
      <c r="Q424" s="94"/>
    </row>
    <row r="425" spans="1:17" ht="14.25" customHeight="1">
      <c r="A425" s="104"/>
      <c r="I425" t="s">
        <v>226</v>
      </c>
      <c r="Q425" s="94"/>
    </row>
    <row r="426" spans="1:17" ht="14.25" customHeight="1">
      <c r="A426" s="104"/>
      <c r="Q426" s="94"/>
    </row>
    <row r="427" spans="1:17" ht="15" customHeight="1">
      <c r="A427" s="276" t="s">
        <v>227</v>
      </c>
      <c r="B427" s="284"/>
      <c r="C427" s="284"/>
      <c r="D427" s="284"/>
      <c r="E427" s="284"/>
      <c r="F427" s="284"/>
      <c r="G427" s="284"/>
      <c r="H427" s="285"/>
      <c r="I427" s="285"/>
      <c r="J427" s="285"/>
      <c r="K427" s="285"/>
      <c r="L427" s="285"/>
      <c r="M427" s="285"/>
      <c r="N427" s="285"/>
      <c r="O427" s="285"/>
      <c r="P427" s="285"/>
      <c r="Q427" s="286"/>
    </row>
    <row r="428" spans="1:17" ht="14.25" customHeight="1">
      <c r="A428" s="104"/>
      <c r="F428" t="s">
        <v>228</v>
      </c>
      <c r="Q428" s="94"/>
    </row>
    <row r="429" spans="1:17" ht="14.25" customHeight="1">
      <c r="A429" s="155" t="s">
        <v>229</v>
      </c>
      <c r="B429">
        <v>24</v>
      </c>
      <c r="C429" s="1" t="s">
        <v>230</v>
      </c>
      <c r="D429">
        <f>(B430/B429)^(1/2)-1</f>
        <v>0.5</v>
      </c>
      <c r="F429" t="s">
        <v>231</v>
      </c>
      <c r="Q429" s="94"/>
    </row>
    <row r="430" spans="1:17" ht="14.25" customHeight="1">
      <c r="A430" s="155" t="s">
        <v>232</v>
      </c>
      <c r="B430">
        <v>54</v>
      </c>
      <c r="F430" t="s">
        <v>233</v>
      </c>
      <c r="Q430" s="94"/>
    </row>
    <row r="431" spans="1:17" ht="14.25" customHeight="1">
      <c r="A431" s="155" t="s">
        <v>234</v>
      </c>
      <c r="B431">
        <f>B429/(1+D429)</f>
        <v>16</v>
      </c>
      <c r="F431" t="s">
        <v>235</v>
      </c>
      <c r="Q431" s="94"/>
    </row>
    <row r="432" spans="1:17" ht="14.25" customHeight="1">
      <c r="A432" s="104"/>
      <c r="B432" s="1" t="s">
        <v>160</v>
      </c>
      <c r="C432" s="17">
        <f>B429-B431</f>
        <v>8</v>
      </c>
      <c r="F432" t="s">
        <v>236</v>
      </c>
      <c r="Q432" s="94"/>
    </row>
    <row r="433" spans="1:17" ht="14.25" customHeight="1">
      <c r="A433" s="105"/>
      <c r="B433" s="97"/>
      <c r="C433" s="97"/>
      <c r="D433" s="97"/>
      <c r="E433" s="97"/>
      <c r="F433" s="97"/>
      <c r="G433" s="97"/>
      <c r="H433" s="97"/>
      <c r="I433" s="97"/>
      <c r="J433" s="97"/>
      <c r="K433" s="97"/>
      <c r="L433" s="97"/>
      <c r="M433" s="97"/>
      <c r="N433" s="97"/>
      <c r="O433" s="97"/>
      <c r="P433" s="97"/>
      <c r="Q433" s="98"/>
    </row>
    <row r="434" spans="1:17" ht="14.25" customHeight="1">
      <c r="A434" s="262" t="s">
        <v>237</v>
      </c>
      <c r="B434" s="263"/>
      <c r="C434" s="263"/>
      <c r="D434" s="263"/>
      <c r="E434" s="263"/>
      <c r="F434" s="263"/>
      <c r="G434" s="263"/>
      <c r="H434" s="88"/>
      <c r="I434" s="88"/>
      <c r="J434" s="88"/>
      <c r="K434" s="88"/>
      <c r="L434" s="88"/>
      <c r="M434" s="88"/>
      <c r="N434" s="88"/>
      <c r="O434" s="88"/>
      <c r="P434" s="88"/>
      <c r="Q434" s="89"/>
    </row>
    <row r="435" spans="1:17" ht="14.25" customHeight="1">
      <c r="A435" s="155"/>
      <c r="D435" t="s">
        <v>238</v>
      </c>
      <c r="Q435" s="94"/>
    </row>
    <row r="436" spans="1:17" ht="14.25" customHeight="1">
      <c r="A436" s="287" t="s">
        <v>239</v>
      </c>
      <c r="B436" s="288"/>
      <c r="C436" s="1"/>
      <c r="D436" t="s">
        <v>240</v>
      </c>
      <c r="Q436" s="94"/>
    </row>
    <row r="437" spans="1:17" ht="14.25" customHeight="1">
      <c r="A437" s="287" t="s">
        <v>241</v>
      </c>
      <c r="B437" s="288" t="s">
        <v>242</v>
      </c>
      <c r="D437" t="s">
        <v>243</v>
      </c>
      <c r="Q437" s="94"/>
    </row>
    <row r="438" spans="1:17" ht="14.25" customHeight="1">
      <c r="A438" s="287" t="s">
        <v>244</v>
      </c>
      <c r="B438" s="288"/>
      <c r="C438" s="1"/>
      <c r="D438" t="s">
        <v>245</v>
      </c>
      <c r="Q438" s="94"/>
    </row>
    <row r="439" spans="1:17" ht="14.25" customHeight="1">
      <c r="A439" s="287" t="s">
        <v>246</v>
      </c>
      <c r="B439" s="288"/>
      <c r="C439" s="1"/>
      <c r="Q439" s="94"/>
    </row>
    <row r="440" spans="1:17" ht="14.25" customHeight="1">
      <c r="A440" s="289" t="s">
        <v>247</v>
      </c>
      <c r="B440" s="290">
        <v>625</v>
      </c>
      <c r="C440" s="97"/>
      <c r="D440" s="97"/>
      <c r="E440" s="97"/>
      <c r="F440" s="97"/>
      <c r="G440" s="97"/>
      <c r="H440" s="97"/>
      <c r="I440" s="97"/>
      <c r="J440" s="97"/>
      <c r="K440" s="97"/>
      <c r="L440" s="97"/>
      <c r="M440" s="97"/>
      <c r="N440" s="97"/>
      <c r="O440" s="97"/>
      <c r="P440" s="97"/>
      <c r="Q440" s="98"/>
    </row>
    <row r="441" spans="1:17" ht="14.25" customHeight="1">
      <c r="A441" s="190"/>
      <c r="B441" s="88"/>
      <c r="C441" s="88"/>
      <c r="D441" s="88"/>
      <c r="E441" s="88"/>
      <c r="F441" s="88"/>
      <c r="G441" s="88"/>
      <c r="H441" s="88" t="s">
        <v>248</v>
      </c>
      <c r="I441" s="88"/>
      <c r="J441" s="88"/>
      <c r="K441" s="88"/>
      <c r="L441" s="88"/>
      <c r="M441" s="88"/>
      <c r="N441" s="88"/>
      <c r="O441" s="88"/>
      <c r="P441" s="88"/>
      <c r="Q441" s="89"/>
    </row>
    <row r="442" spans="1:17" ht="14.25" customHeight="1">
      <c r="A442" s="270" t="s">
        <v>249</v>
      </c>
      <c r="B442" s="18"/>
      <c r="C442" s="18"/>
      <c r="D442" s="18"/>
      <c r="E442" s="18"/>
      <c r="F442" s="18"/>
      <c r="G442" s="18"/>
      <c r="H442" t="s">
        <v>250</v>
      </c>
      <c r="Q442" s="94"/>
    </row>
    <row r="443" spans="1:17" ht="14.25" customHeight="1">
      <c r="A443" s="104"/>
      <c r="D443" s="1" t="s">
        <v>42</v>
      </c>
      <c r="E443" s="1" t="s">
        <v>251</v>
      </c>
      <c r="F443" s="1" t="s">
        <v>252</v>
      </c>
      <c r="G443" s="1" t="s">
        <v>253</v>
      </c>
      <c r="H443" t="s">
        <v>254</v>
      </c>
      <c r="Q443" s="94"/>
    </row>
    <row r="444" spans="1:17" ht="14.25" customHeight="1">
      <c r="A444" s="155" t="s">
        <v>107</v>
      </c>
      <c r="B444" s="274">
        <v>40000</v>
      </c>
      <c r="D444">
        <v>4</v>
      </c>
      <c r="E444" s="279">
        <f>$B$444*(1+$B$446/D444)^($B$445*D444)</f>
        <v>48736.115900396711</v>
      </c>
      <c r="F444" s="279">
        <f>E444-$B$444</f>
        <v>8736.1159003967114</v>
      </c>
      <c r="G444" s="291">
        <f>(1+$B$446/D444)^(D444)-1</f>
        <v>0.10381289062499977</v>
      </c>
      <c r="H444" t="s">
        <v>255</v>
      </c>
      <c r="Q444" s="94"/>
    </row>
    <row r="445" spans="1:17" ht="14.25" customHeight="1">
      <c r="A445" s="155" t="s">
        <v>48</v>
      </c>
      <c r="B445">
        <v>2</v>
      </c>
      <c r="D445">
        <v>12</v>
      </c>
      <c r="E445" s="279">
        <f>$B$444*(1+$B$446/D445)^($B$445*D445)</f>
        <v>48815.638455022359</v>
      </c>
      <c r="F445" s="279">
        <f>E445-$B$444</f>
        <v>8815.6384550223593</v>
      </c>
      <c r="G445" s="291">
        <f>(1+$B$446/D445)^(D445)-1</f>
        <v>0.10471306744129683</v>
      </c>
      <c r="H445" t="s">
        <v>256</v>
      </c>
      <c r="Q445" s="94"/>
    </row>
    <row r="446" spans="1:17" ht="14.25" customHeight="1">
      <c r="A446" s="155" t="s">
        <v>43</v>
      </c>
      <c r="B446" s="2">
        <v>0.1</v>
      </c>
      <c r="H446" t="s">
        <v>257</v>
      </c>
      <c r="Q446" s="94"/>
    </row>
    <row r="447" spans="1:17" ht="14.25" customHeight="1">
      <c r="A447" s="104"/>
      <c r="H447" t="s">
        <v>258</v>
      </c>
      <c r="Q447" s="94"/>
    </row>
    <row r="448" spans="1:17" ht="14.25" customHeight="1">
      <c r="A448" s="270"/>
      <c r="B448" s="18"/>
      <c r="C448" s="18"/>
      <c r="D448" s="18"/>
      <c r="E448" s="18"/>
      <c r="F448" s="18"/>
      <c r="G448" s="18"/>
      <c r="H448" t="s">
        <v>259</v>
      </c>
      <c r="Q448" s="94"/>
    </row>
    <row r="449" spans="1:17" ht="14.25" customHeight="1">
      <c r="A449" s="292"/>
      <c r="B449" s="261"/>
      <c r="C449" s="261"/>
      <c r="D449" s="261"/>
      <c r="E449" s="261"/>
      <c r="F449" s="261"/>
      <c r="G449" s="261"/>
      <c r="H449" s="97"/>
      <c r="I449" s="97"/>
      <c r="J449" s="97"/>
      <c r="K449" s="97"/>
      <c r="L449" s="97"/>
      <c r="M449" s="97"/>
      <c r="N449" s="97"/>
      <c r="O449" s="97"/>
      <c r="P449" s="97"/>
      <c r="Q449" s="98"/>
    </row>
    <row r="450" spans="1:17" ht="14.25" customHeight="1">
      <c r="A450" s="262" t="s">
        <v>260</v>
      </c>
      <c r="B450" s="293"/>
      <c r="C450" s="293"/>
      <c r="D450" s="293"/>
      <c r="E450" s="293"/>
      <c r="F450" s="293"/>
      <c r="G450" s="293"/>
      <c r="H450" s="88"/>
      <c r="I450" s="88"/>
      <c r="J450" s="88"/>
      <c r="K450" s="88"/>
      <c r="L450" s="88"/>
      <c r="M450" s="88"/>
      <c r="N450" s="88"/>
      <c r="O450" s="88"/>
      <c r="P450" s="88"/>
      <c r="Q450" s="89"/>
    </row>
    <row r="451" spans="1:17" ht="25.5" customHeight="1">
      <c r="A451" s="104"/>
      <c r="B451" s="2"/>
      <c r="Q451" s="94"/>
    </row>
    <row r="452" spans="1:17" ht="14.25" customHeight="1">
      <c r="A452" s="294" t="s">
        <v>55</v>
      </c>
      <c r="B452" s="295">
        <v>13000</v>
      </c>
      <c r="C452" s="288"/>
      <c r="E452" t="s">
        <v>261</v>
      </c>
      <c r="Q452" s="94"/>
    </row>
    <row r="453" spans="1:17" ht="14.25" customHeight="1">
      <c r="A453" s="294" t="s">
        <v>262</v>
      </c>
      <c r="B453" s="295">
        <v>35000</v>
      </c>
      <c r="C453" s="288"/>
      <c r="E453" t="s">
        <v>263</v>
      </c>
      <c r="Q453" s="94"/>
    </row>
    <row r="454" spans="1:17" ht="14.25" customHeight="1">
      <c r="A454" s="294" t="s">
        <v>124</v>
      </c>
      <c r="B454" s="295">
        <v>3</v>
      </c>
      <c r="C454" s="288"/>
      <c r="E454" t="s">
        <v>264</v>
      </c>
      <c r="Q454" s="94"/>
    </row>
    <row r="455" spans="1:17" ht="14.25" customHeight="1">
      <c r="A455" s="294" t="s">
        <v>125</v>
      </c>
      <c r="B455" s="295">
        <v>5</v>
      </c>
      <c r="C455" s="288"/>
      <c r="E455" t="s">
        <v>265</v>
      </c>
      <c r="Q455" s="94"/>
    </row>
    <row r="456" spans="1:17" ht="14.25" customHeight="1">
      <c r="A456" s="294" t="s">
        <v>126</v>
      </c>
      <c r="B456" s="295">
        <v>6</v>
      </c>
      <c r="C456" s="288"/>
      <c r="E456" t="s">
        <v>266</v>
      </c>
      <c r="Q456" s="94"/>
    </row>
    <row r="457" spans="1:17" ht="14.25" customHeight="1">
      <c r="A457" s="294" t="s">
        <v>138</v>
      </c>
      <c r="B457" s="295">
        <v>8</v>
      </c>
      <c r="C457" s="288"/>
      <c r="E457" t="s">
        <v>267</v>
      </c>
      <c r="Q457" s="94"/>
    </row>
    <row r="458" spans="1:17" ht="14.25" customHeight="1">
      <c r="A458" s="294" t="s">
        <v>43</v>
      </c>
      <c r="B458" s="296">
        <v>0.09</v>
      </c>
      <c r="C458" s="295">
        <v>1.0900000000000001</v>
      </c>
      <c r="Q458" s="94"/>
    </row>
    <row r="459" spans="1:17" ht="14.25" customHeight="1">
      <c r="A459" s="294" t="s">
        <v>268</v>
      </c>
      <c r="B459" s="288"/>
      <c r="C459" s="288"/>
      <c r="D459" s="18"/>
      <c r="E459" s="18"/>
      <c r="F459" s="18"/>
      <c r="G459" s="18"/>
      <c r="Q459" s="94"/>
    </row>
    <row r="460" spans="1:17" ht="14.25" customHeight="1">
      <c r="A460" s="294" t="s">
        <v>269</v>
      </c>
      <c r="B460" s="288"/>
      <c r="C460" s="288"/>
      <c r="D460" s="259"/>
      <c r="E460" s="259"/>
      <c r="F460" s="259"/>
      <c r="G460" s="259"/>
      <c r="Q460" s="94"/>
    </row>
    <row r="461" spans="1:17" ht="14.25" customHeight="1">
      <c r="A461" s="297"/>
      <c r="B461" s="288"/>
      <c r="C461" s="288"/>
      <c r="D461" s="259"/>
      <c r="E461" s="259"/>
      <c r="F461" s="259"/>
      <c r="G461" s="259"/>
      <c r="Q461" s="94"/>
    </row>
    <row r="462" spans="1:17" ht="14.25" customHeight="1">
      <c r="A462" s="298"/>
      <c r="B462" s="299"/>
      <c r="C462" s="299"/>
      <c r="D462" s="261"/>
      <c r="E462" s="261"/>
      <c r="F462" s="261"/>
      <c r="G462" s="261"/>
      <c r="H462" s="97"/>
      <c r="I462" s="97"/>
      <c r="J462" s="97"/>
      <c r="K462" s="97"/>
      <c r="L462" s="97"/>
      <c r="M462" s="97"/>
      <c r="N462" s="97"/>
      <c r="O462" s="97"/>
      <c r="P462" s="97"/>
      <c r="Q462" s="98"/>
    </row>
    <row r="463" spans="1:17" ht="14.25" customHeight="1">
      <c r="A463" s="294" t="s">
        <v>160</v>
      </c>
      <c r="B463" s="288"/>
      <c r="C463" s="288"/>
      <c r="D463" s="259"/>
      <c r="E463" s="259"/>
      <c r="F463" s="259"/>
      <c r="G463" s="259"/>
      <c r="Q463" s="94"/>
    </row>
    <row r="464" spans="1:17" ht="14.25" customHeight="1">
      <c r="A464" s="297"/>
      <c r="B464" s="288"/>
      <c r="C464" s="288"/>
      <c r="D464" s="259"/>
      <c r="E464" s="259"/>
      <c r="F464" s="259"/>
      <c r="G464" s="259"/>
      <c r="Q464" s="94"/>
    </row>
    <row r="465" spans="1:18" ht="14.25" customHeight="1">
      <c r="A465" s="300" t="s">
        <v>97</v>
      </c>
      <c r="B465" s="301">
        <f>(B452/(C458^3)+B453/(C458^5))/(1.2/(C458^6)+1/(C458^8))</f>
        <v>26931.437434534906</v>
      </c>
      <c r="C465" s="288"/>
      <c r="D465" s="259"/>
      <c r="E465" s="259"/>
      <c r="F465" s="259"/>
      <c r="G465" s="259"/>
      <c r="Q465" s="94"/>
    </row>
    <row r="466" spans="1:18" ht="14.25" customHeight="1">
      <c r="A466" s="300" t="s">
        <v>55</v>
      </c>
      <c r="B466" s="301">
        <f>B465*1.2</f>
        <v>32317.724921441884</v>
      </c>
      <c r="C466" s="295"/>
      <c r="D466" s="259"/>
      <c r="E466" s="259"/>
      <c r="F466" s="259"/>
      <c r="G466" s="259"/>
      <c r="Q466" s="94"/>
    </row>
    <row r="467" spans="1:18" ht="14.25" customHeight="1">
      <c r="A467" s="302" t="s">
        <v>270</v>
      </c>
      <c r="B467" s="303"/>
      <c r="C467" s="304"/>
      <c r="D467" s="293"/>
      <c r="E467" s="305" t="s">
        <v>271</v>
      </c>
      <c r="F467" s="293"/>
      <c r="G467" s="293"/>
      <c r="H467" s="88"/>
      <c r="I467" s="88"/>
      <c r="J467" s="88"/>
      <c r="K467" s="88"/>
      <c r="L467" s="88"/>
      <c r="M467" s="88"/>
      <c r="N467" s="88"/>
      <c r="O467" s="88"/>
      <c r="P467" s="88"/>
      <c r="Q467" s="88"/>
      <c r="R467" s="89"/>
    </row>
    <row r="468" spans="1:18" ht="14.25" customHeight="1">
      <c r="A468" s="294" t="s">
        <v>75</v>
      </c>
      <c r="B468" s="295">
        <v>100000</v>
      </c>
      <c r="C468" s="295"/>
      <c r="D468" s="259"/>
      <c r="E468" s="232" t="s">
        <v>272</v>
      </c>
      <c r="F468" s="259"/>
      <c r="G468" s="259"/>
      <c r="R468" s="94"/>
    </row>
    <row r="469" spans="1:18" ht="14.25" customHeight="1">
      <c r="A469" s="294" t="s">
        <v>273</v>
      </c>
      <c r="B469" s="295">
        <v>100</v>
      </c>
      <c r="C469" s="295"/>
      <c r="D469" s="259"/>
      <c r="E469" s="232" t="s">
        <v>274</v>
      </c>
      <c r="F469" s="259"/>
      <c r="G469" s="259"/>
      <c r="R469" s="94"/>
    </row>
    <row r="470" spans="1:18" ht="14.25" customHeight="1">
      <c r="A470" s="294" t="s">
        <v>82</v>
      </c>
      <c r="B470" s="295">
        <v>9</v>
      </c>
      <c r="C470" s="295"/>
      <c r="D470" s="259"/>
      <c r="E470" s="232" t="s">
        <v>275</v>
      </c>
      <c r="F470" s="259"/>
      <c r="G470" s="259"/>
      <c r="R470" s="94"/>
    </row>
    <row r="471" spans="1:18" ht="14.25" customHeight="1">
      <c r="A471" s="294" t="s">
        <v>276</v>
      </c>
      <c r="B471" s="295">
        <v>366</v>
      </c>
      <c r="C471" s="259"/>
      <c r="D471" s="259"/>
      <c r="E471" s="232" t="s">
        <v>277</v>
      </c>
      <c r="F471" s="232"/>
      <c r="G471" s="259"/>
      <c r="R471" s="94"/>
    </row>
    <row r="472" spans="1:18" ht="14.25" customHeight="1">
      <c r="A472" s="294"/>
      <c r="B472" s="288"/>
      <c r="C472" s="259"/>
      <c r="D472" s="259"/>
      <c r="E472" s="232" t="s">
        <v>278</v>
      </c>
      <c r="F472" s="232"/>
      <c r="G472" s="259"/>
      <c r="R472" s="94"/>
    </row>
    <row r="473" spans="1:18" ht="14.25" customHeight="1">
      <c r="A473" s="294"/>
      <c r="B473" s="288"/>
      <c r="C473" s="259"/>
      <c r="D473" s="259"/>
      <c r="E473" s="259"/>
      <c r="F473" s="232"/>
      <c r="G473" s="259"/>
      <c r="R473" s="94"/>
    </row>
    <row r="474" spans="1:18" ht="14.25" customHeight="1">
      <c r="A474" s="297"/>
      <c r="B474" s="288"/>
      <c r="C474" s="259"/>
      <c r="D474" s="259"/>
      <c r="E474" s="259"/>
      <c r="F474" s="232"/>
      <c r="G474" s="259"/>
      <c r="R474" s="94"/>
    </row>
    <row r="475" spans="1:18" ht="14.25" customHeight="1">
      <c r="A475" s="297"/>
      <c r="B475" s="288"/>
      <c r="C475" s="259"/>
      <c r="D475" s="259"/>
      <c r="E475" s="259"/>
      <c r="F475" s="232"/>
      <c r="G475" s="259"/>
      <c r="R475" s="94"/>
    </row>
    <row r="476" spans="1:18" ht="14.25" customHeight="1">
      <c r="A476" s="294" t="s">
        <v>76</v>
      </c>
      <c r="B476" s="295" t="s">
        <v>279</v>
      </c>
      <c r="C476" s="259"/>
      <c r="D476" s="259"/>
      <c r="E476" s="259"/>
      <c r="F476" s="232"/>
      <c r="G476" s="259"/>
      <c r="R476" s="94"/>
    </row>
    <row r="477" spans="1:18" ht="14.25" customHeight="1">
      <c r="A477" s="300"/>
      <c r="B477" s="301">
        <f>B468*(1 + 0.09*(100/366))</f>
        <v>102459.01639344261</v>
      </c>
      <c r="C477" s="259"/>
      <c r="D477" s="259"/>
      <c r="E477" s="259"/>
      <c r="F477" s="259"/>
      <c r="G477" s="259"/>
      <c r="R477" s="94"/>
    </row>
    <row r="478" spans="1:18" ht="14.25" customHeight="1">
      <c r="A478" s="306" t="s">
        <v>203</v>
      </c>
      <c r="B478" s="307">
        <f>B477*(1+ 0.12*(20/366))</f>
        <v>103130.87879602255</v>
      </c>
      <c r="C478" s="261"/>
      <c r="D478" s="261"/>
      <c r="E478" s="261"/>
      <c r="F478" s="261"/>
      <c r="G478" s="261"/>
      <c r="H478" s="97"/>
      <c r="I478" s="97"/>
      <c r="J478" s="97"/>
      <c r="K478" s="97"/>
      <c r="L478" s="97"/>
      <c r="M478" s="97"/>
      <c r="N478" s="97"/>
      <c r="O478" s="97"/>
      <c r="P478" s="97"/>
      <c r="Q478" s="97"/>
      <c r="R478" s="98"/>
    </row>
    <row r="479" spans="1:18" ht="14.25" customHeight="1">
      <c r="A479" s="259"/>
      <c r="B479" s="259"/>
      <c r="C479" s="259"/>
      <c r="D479" s="259"/>
      <c r="E479" s="259"/>
      <c r="F479" s="259"/>
      <c r="G479" s="259"/>
    </row>
    <row r="480" spans="1:18" ht="14.25" customHeight="1">
      <c r="A480" s="262" t="s">
        <v>280</v>
      </c>
      <c r="B480" s="263"/>
      <c r="C480" s="263"/>
      <c r="D480" s="263"/>
      <c r="E480" s="263"/>
      <c r="F480" s="263"/>
      <c r="G480" s="263"/>
      <c r="H480" s="88"/>
      <c r="I480" s="88"/>
      <c r="J480" s="88"/>
      <c r="K480" s="88"/>
      <c r="L480" s="88"/>
      <c r="M480" s="88"/>
      <c r="N480" s="88"/>
      <c r="O480" s="88"/>
      <c r="P480" s="88"/>
      <c r="Q480" s="88"/>
      <c r="R480" s="89"/>
    </row>
    <row r="481" spans="1:18" ht="14.25" customHeight="1">
      <c r="A481" s="104" t="s">
        <v>281</v>
      </c>
      <c r="E481" t="s">
        <v>282</v>
      </c>
      <c r="R481" s="94"/>
    </row>
    <row r="482" spans="1:18" ht="14.25" customHeight="1">
      <c r="A482" s="104" t="s">
        <v>283</v>
      </c>
      <c r="B482" t="s">
        <v>284</v>
      </c>
      <c r="E482" t="s">
        <v>285</v>
      </c>
      <c r="R482" s="94"/>
    </row>
    <row r="483" spans="1:18" ht="14.25" customHeight="1">
      <c r="A483" s="104"/>
      <c r="B483" s="308">
        <f>(3^(1/40)-1)*4</f>
        <v>0.11138382260676405</v>
      </c>
      <c r="R483" s="94"/>
    </row>
    <row r="484" spans="1:18" ht="14.25" customHeight="1">
      <c r="A484" s="104"/>
      <c r="R484" s="94"/>
    </row>
    <row r="485" spans="1:18" ht="14.25" customHeight="1">
      <c r="A485" s="105"/>
      <c r="B485" s="97"/>
      <c r="C485" s="97"/>
      <c r="D485" s="97"/>
      <c r="E485" s="97"/>
      <c r="F485" s="97"/>
      <c r="G485" s="97"/>
      <c r="H485" s="97"/>
      <c r="I485" s="97"/>
      <c r="J485" s="97"/>
      <c r="K485" s="97"/>
      <c r="L485" s="97"/>
      <c r="M485" s="97"/>
      <c r="N485" s="97"/>
      <c r="O485" s="97"/>
      <c r="P485" s="97"/>
      <c r="Q485" s="97"/>
      <c r="R485" s="98"/>
    </row>
    <row r="486" spans="1:18" ht="14.25" customHeight="1">
      <c r="A486" s="42"/>
    </row>
    <row r="487" spans="1:18" ht="14.25" customHeight="1">
      <c r="A487" s="42"/>
    </row>
    <row r="488" spans="1:18" ht="14.25" customHeight="1">
      <c r="A488" s="43"/>
    </row>
    <row r="489" spans="1:18" ht="14.25" customHeight="1">
      <c r="A489" s="45"/>
    </row>
    <row r="490" spans="1:18" ht="14.25" customHeight="1">
      <c r="A490" s="29"/>
    </row>
    <row r="491" spans="1:18" ht="14.25" customHeight="1">
      <c r="A491" s="33"/>
    </row>
    <row r="492" spans="1:18" ht="14.25" customHeight="1">
      <c r="A492" s="28"/>
    </row>
    <row r="493" spans="1:18" ht="14.25" customHeight="1">
      <c r="A493" s="28"/>
    </row>
    <row r="494" spans="1:18" ht="14.25" customHeight="1">
      <c r="A494" s="28"/>
    </row>
    <row r="495" spans="1:18" ht="14.25" customHeight="1">
      <c r="A495" s="28"/>
    </row>
    <row r="496" spans="1:18" ht="14.25" customHeight="1">
      <c r="A496" s="32"/>
    </row>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ht="14.25" customHeight="1"/>
    <row r="1074" ht="14.25" customHeight="1"/>
    <row r="1075" ht="14.25" customHeight="1"/>
    <row r="1076" ht="14.25" customHeight="1"/>
    <row r="1077" ht="14.25" customHeight="1"/>
    <row r="1078" ht="14.25" customHeight="1"/>
    <row r="1079" ht="14.25" customHeight="1"/>
    <row r="1080" ht="14.25" customHeight="1"/>
    <row r="1081" ht="14.25" customHeight="1"/>
    <row r="1082" ht="14.25" customHeight="1"/>
    <row r="1083" ht="14.25" customHeight="1"/>
    <row r="1084" ht="14.25" customHeight="1"/>
    <row r="1085" ht="14.25" customHeight="1"/>
    <row r="1086" ht="14.25" customHeight="1"/>
    <row r="1087" ht="14.25" customHeight="1"/>
    <row r="1088"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row r="1099" ht="14.25" customHeight="1"/>
    <row r="1100" ht="14.25" customHeight="1"/>
    <row r="1101" ht="14.25" customHeight="1"/>
    <row r="1102" ht="14.25" customHeight="1"/>
    <row r="1103" ht="14.25" customHeight="1"/>
    <row r="1104" ht="14.25" customHeight="1"/>
    <row r="1105" ht="14.25" customHeight="1"/>
    <row r="1106" ht="14.25" customHeight="1"/>
    <row r="1107" ht="14.25" customHeight="1"/>
    <row r="1108" ht="14.25" customHeight="1"/>
    <row r="1109" ht="14.25" customHeight="1"/>
    <row r="1110" ht="14.25" customHeight="1"/>
    <row r="1111" ht="14.25" customHeight="1"/>
    <row r="1112" ht="14.25" customHeight="1"/>
    <row r="1113" ht="14.25" customHeight="1"/>
    <row r="1114" ht="14.25" customHeight="1"/>
    <row r="1115" ht="14.25" customHeight="1"/>
    <row r="1116" ht="14.25" customHeight="1"/>
    <row r="1117" ht="14.25" customHeight="1"/>
    <row r="1118" ht="14.25" customHeight="1"/>
    <row r="1119" ht="14.25" customHeight="1"/>
    <row r="1120" ht="14.25" customHeight="1"/>
    <row r="1121" ht="14.25" customHeight="1"/>
    <row r="1122" ht="14.25" customHeight="1"/>
    <row r="1123" ht="14.25" customHeight="1"/>
    <row r="1124" ht="14.25" customHeight="1"/>
    <row r="1125" ht="14.25" customHeight="1"/>
    <row r="1126" ht="14.25" customHeight="1"/>
    <row r="1127" ht="14.25" customHeight="1"/>
    <row r="1128" ht="14.25" customHeight="1"/>
    <row r="1129" ht="14.25" customHeight="1"/>
    <row r="1130" ht="14.25" customHeight="1"/>
    <row r="1131" ht="14.25" customHeight="1"/>
    <row r="1132" ht="14.25" customHeight="1"/>
    <row r="1133" ht="14.25" customHeight="1"/>
    <row r="1134" ht="14.25" customHeight="1"/>
    <row r="1135" ht="14.25" customHeight="1"/>
    <row r="1136" ht="14.25" customHeight="1"/>
    <row r="1137" ht="14.25" customHeight="1"/>
    <row r="1138" ht="14.25" customHeight="1"/>
    <row r="1139" ht="14.25" customHeight="1"/>
    <row r="1140" ht="14.25" customHeight="1"/>
    <row r="1141" ht="14.25" customHeight="1"/>
    <row r="1142" ht="14.25" customHeight="1"/>
    <row r="1143" ht="14.25" customHeight="1"/>
    <row r="1144" ht="14.25" customHeight="1"/>
    <row r="1145" ht="14.25" customHeight="1"/>
    <row r="1146" ht="14.25" customHeight="1"/>
    <row r="1147" ht="14.25" customHeight="1"/>
    <row r="1148" ht="14.25" customHeight="1"/>
    <row r="1149" ht="14.25" customHeight="1"/>
    <row r="1150" ht="14.25" customHeight="1"/>
    <row r="1151" ht="14.25" customHeight="1"/>
    <row r="1152" ht="14.25" customHeight="1"/>
    <row r="1153" ht="14.25" customHeight="1"/>
    <row r="1154" ht="14.25" customHeight="1"/>
    <row r="1155" ht="14.25" customHeight="1"/>
    <row r="1156" ht="14.25" customHeight="1"/>
    <row r="1157" ht="14.25" customHeight="1"/>
    <row r="1158" ht="14.25" customHeight="1"/>
    <row r="1159" ht="14.25" customHeight="1"/>
    <row r="1160" ht="14.25" customHeight="1"/>
    <row r="1161" ht="14.25" customHeight="1"/>
    <row r="1162" ht="14.25" customHeight="1"/>
    <row r="1163" ht="14.25" customHeight="1"/>
    <row r="1164" ht="14.25" customHeight="1"/>
    <row r="1165" ht="14.25" customHeight="1"/>
    <row r="1166" ht="14.25" customHeight="1"/>
    <row r="1167" ht="14.25" customHeight="1"/>
    <row r="1168" ht="14.25" customHeight="1"/>
    <row r="1169" ht="14.25" customHeight="1"/>
    <row r="1170" ht="14.25" customHeight="1"/>
    <row r="1171" ht="14.25" customHeight="1"/>
    <row r="1172" ht="14.25" customHeight="1"/>
    <row r="1173" ht="14.25" customHeight="1"/>
    <row r="1174" ht="14.25" customHeight="1"/>
    <row r="1175" ht="14.25" customHeight="1"/>
    <row r="1176" ht="14.25" customHeight="1"/>
    <row r="1177" ht="14.25" customHeight="1"/>
    <row r="1178" ht="14.25" customHeight="1"/>
    <row r="1179" ht="14.25" customHeight="1"/>
    <row r="1180" ht="14.25" customHeight="1"/>
    <row r="1181" ht="14.25" customHeight="1"/>
    <row r="1182" ht="14.25" customHeight="1"/>
    <row r="1183" ht="14.25" customHeight="1"/>
    <row r="1184" ht="14.25" customHeight="1"/>
    <row r="1185" ht="14.25" customHeight="1"/>
    <row r="1186" ht="14.25" customHeight="1"/>
    <row r="1187" ht="14.25" customHeight="1"/>
    <row r="1188" ht="14.25" customHeight="1"/>
    <row r="1189" ht="14.25" customHeight="1"/>
    <row r="1190" ht="14.25" customHeight="1"/>
    <row r="1191" ht="14.25" customHeight="1"/>
    <row r="1192" ht="14.25" customHeight="1"/>
    <row r="1193" ht="14.25" customHeight="1"/>
    <row r="1194" ht="14.25" customHeight="1"/>
    <row r="1195" ht="14.25" customHeight="1"/>
    <row r="1196" ht="14.25" customHeight="1"/>
    <row r="1197" ht="14.25" customHeight="1"/>
    <row r="1198" ht="14.25" customHeight="1"/>
    <row r="1199" ht="14.25" customHeight="1"/>
    <row r="1200" ht="14.25" customHeight="1"/>
    <row r="1201" ht="14.25" customHeight="1"/>
    <row r="1202" ht="14.25" customHeight="1"/>
    <row r="1203" ht="14.25" customHeight="1"/>
    <row r="1204" ht="14.25" customHeight="1"/>
    <row r="1205" ht="14.25" customHeight="1"/>
    <row r="1206" ht="14.25" customHeight="1"/>
    <row r="1207" ht="14.25" customHeight="1"/>
    <row r="1208" ht="14.25" customHeight="1"/>
    <row r="1209" ht="14.25" customHeight="1"/>
    <row r="1210" ht="14.25" customHeight="1"/>
    <row r="1211" ht="14.25" customHeight="1"/>
    <row r="1212" ht="14.25" customHeight="1"/>
    <row r="1213" ht="14.25" customHeight="1"/>
    <row r="1214" ht="14.25" customHeight="1"/>
    <row r="1215" ht="14.25" customHeight="1"/>
    <row r="1216" ht="14.25" customHeight="1"/>
    <row r="1217" ht="14.25" customHeight="1"/>
    <row r="1218" ht="14.25" customHeight="1"/>
    <row r="1219" ht="14.25" customHeight="1"/>
    <row r="1220" ht="14.25" customHeight="1"/>
    <row r="1221" ht="14.25" customHeight="1"/>
    <row r="1222" ht="14.25" customHeight="1"/>
    <row r="1223" ht="14.25" customHeight="1"/>
    <row r="1224" ht="14.25" customHeight="1"/>
    <row r="1225" ht="14.25" customHeight="1"/>
    <row r="1226" ht="14.25" customHeight="1"/>
    <row r="1227" ht="14.25" customHeight="1"/>
    <row r="1228" ht="14.25" customHeight="1"/>
    <row r="1229" ht="14.25" customHeight="1"/>
    <row r="1230" ht="14.25" customHeight="1"/>
    <row r="1231" ht="14.25" customHeight="1"/>
    <row r="1232" ht="14.25" customHeight="1"/>
    <row r="1233" ht="14.25" customHeight="1"/>
    <row r="1234" ht="14.25" customHeight="1"/>
    <row r="1235" ht="14.25" customHeight="1"/>
    <row r="1236" ht="14.25" customHeight="1"/>
    <row r="1237" ht="14.25" customHeight="1"/>
    <row r="1238" ht="14.25" customHeight="1"/>
    <row r="1239" ht="14.25" customHeight="1"/>
    <row r="1240" ht="14.25" customHeight="1"/>
    <row r="1241" ht="14.25" customHeight="1"/>
    <row r="1242" ht="14.25" customHeight="1"/>
    <row r="1243" ht="14.25" customHeight="1"/>
    <row r="1244" ht="14.25" customHeight="1"/>
    <row r="1245" ht="14.25" customHeight="1"/>
    <row r="1246" ht="14.25" customHeight="1"/>
    <row r="1247" ht="14.25" customHeight="1"/>
    <row r="1248" ht="14.25" customHeight="1"/>
    <row r="1249" ht="14.25" customHeight="1"/>
    <row r="1250" ht="14.25" customHeight="1"/>
    <row r="1251" ht="14.25" customHeight="1"/>
    <row r="1252" ht="14.25" customHeight="1"/>
    <row r="1253" ht="14.25" customHeight="1"/>
    <row r="1254" ht="14.25" customHeight="1"/>
    <row r="1255" ht="14.25" customHeight="1"/>
    <row r="1256" ht="14.25" customHeight="1"/>
    <row r="1257" ht="14.25" customHeight="1"/>
    <row r="1258" ht="14.25" customHeight="1"/>
    <row r="1259" ht="14.25" customHeight="1"/>
    <row r="1260" ht="14.25" customHeight="1"/>
    <row r="1261" ht="14.25" customHeight="1"/>
    <row r="1262" ht="14.25" customHeight="1"/>
    <row r="1263" ht="14.25" customHeight="1"/>
    <row r="1264" ht="14.25" customHeight="1"/>
    <row r="1265" ht="14.25" customHeight="1"/>
    <row r="1266" ht="14.25" customHeight="1"/>
    <row r="1267" ht="14.25" customHeight="1"/>
    <row r="1268" ht="14.25" customHeight="1"/>
    <row r="1269" ht="14.25" customHeight="1"/>
    <row r="1270" ht="14.25" customHeight="1"/>
    <row r="1271" ht="14.25" customHeight="1"/>
    <row r="1272" ht="14.25" customHeight="1"/>
    <row r="1273" ht="14.25" customHeight="1"/>
    <row r="1274" ht="14.25" customHeight="1"/>
    <row r="1275" ht="14.25" customHeight="1"/>
    <row r="1276" ht="14.25" customHeight="1"/>
    <row r="1277" ht="14.25" customHeight="1"/>
    <row r="1278" ht="14.25" customHeight="1"/>
    <row r="1279" ht="14.25" customHeight="1"/>
    <row r="1280" ht="14.25" customHeight="1"/>
    <row r="1281" ht="14.25" customHeight="1"/>
    <row r="1282" ht="14.25" customHeight="1"/>
    <row r="1283" ht="14.25" customHeight="1"/>
    <row r="1284" ht="14.25" customHeight="1"/>
    <row r="1285" ht="14.25" customHeight="1"/>
    <row r="1286" ht="14.25" customHeight="1"/>
    <row r="1287" ht="14.25" customHeight="1"/>
    <row r="1288" ht="14.25" customHeight="1"/>
    <row r="1289" ht="14.25" customHeight="1"/>
    <row r="1290" ht="14.25" customHeight="1"/>
    <row r="1291" ht="14.25" customHeight="1"/>
    <row r="1292" ht="14.25" customHeight="1"/>
    <row r="1293" ht="14.25" customHeight="1"/>
    <row r="1294" ht="14.25" customHeight="1"/>
    <row r="1295" ht="14.25" customHeight="1"/>
    <row r="1296" ht="14.25" customHeight="1"/>
    <row r="1297" ht="14.25" customHeight="1"/>
    <row r="1298" ht="14.25" customHeight="1"/>
    <row r="1299" ht="14.25" customHeight="1"/>
    <row r="1300" ht="14.25" customHeight="1"/>
    <row r="1301" ht="14.25" customHeight="1"/>
    <row r="1302" ht="14.25" customHeight="1"/>
    <row r="1303" ht="14.25" customHeight="1"/>
    <row r="1304" ht="14.25" customHeight="1"/>
    <row r="1305" ht="14.25" customHeight="1"/>
    <row r="1306" ht="14.25" customHeight="1"/>
    <row r="1307" ht="14.25" customHeight="1"/>
    <row r="1308" ht="14.25" customHeight="1"/>
    <row r="1309" ht="14.25" customHeight="1"/>
    <row r="1310" ht="14.25" customHeight="1"/>
    <row r="1311" ht="14.25" customHeight="1"/>
    <row r="1312" ht="14.25" customHeight="1"/>
    <row r="1313" ht="14.25" customHeight="1"/>
    <row r="1314" ht="14.25" customHeight="1"/>
    <row r="1315" ht="14.25" customHeight="1"/>
    <row r="1316" ht="14.25" customHeight="1"/>
    <row r="1317" ht="14.25" customHeight="1"/>
    <row r="1318" ht="14.25" customHeight="1"/>
    <row r="1319" ht="14.25" customHeight="1"/>
    <row r="1320" ht="14.25" customHeight="1"/>
    <row r="1321" ht="14.25" customHeight="1"/>
    <row r="1322" ht="14.25" customHeight="1"/>
    <row r="1323" ht="14.25" customHeight="1"/>
    <row r="1324" ht="14.25" customHeight="1"/>
    <row r="1325" ht="14.25" customHeight="1"/>
    <row r="1326" ht="14.25" customHeight="1"/>
    <row r="1327" ht="14.25" customHeight="1"/>
    <row r="1328" ht="14.25" customHeight="1"/>
    <row r="1329" ht="14.25" customHeight="1"/>
    <row r="1330" ht="14.25" customHeight="1"/>
    <row r="1331" ht="14.25" customHeight="1"/>
    <row r="1332" ht="14.25" customHeight="1"/>
    <row r="1333" ht="14.25" customHeight="1"/>
    <row r="1334" ht="14.25" customHeight="1"/>
    <row r="1335" ht="14.25" customHeight="1"/>
    <row r="1336" ht="14.25" customHeight="1"/>
    <row r="1337" ht="14.25" customHeight="1"/>
    <row r="1338" ht="14.25" customHeight="1"/>
    <row r="1339" ht="14.25" customHeight="1"/>
    <row r="1340" ht="14.25" customHeight="1"/>
    <row r="1341" ht="14.25" customHeight="1"/>
    <row r="1342" ht="14.25" customHeight="1"/>
    <row r="1343" ht="14.25" customHeight="1"/>
    <row r="1344" ht="14.25" customHeight="1"/>
    <row r="1345" ht="14.25" customHeight="1"/>
    <row r="1346" ht="14.25" customHeight="1"/>
    <row r="1347" ht="14.25" customHeight="1"/>
    <row r="1348" ht="14.25" customHeight="1"/>
    <row r="1349" ht="14.25" customHeight="1"/>
    <row r="1350" ht="14.25" customHeight="1"/>
    <row r="1351" ht="14.25" customHeight="1"/>
    <row r="1352" ht="14.25" customHeight="1"/>
    <row r="1353" ht="14.25" customHeight="1"/>
  </sheetData>
  <mergeCells count="1">
    <mergeCell ref="E355:K360"/>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101E-C5AD-4AF6-914A-1D34114014FA}">
  <dimension ref="A1:I1039"/>
  <sheetViews>
    <sheetView topLeftCell="A185" workbookViewId="0">
      <selection activeCell="G215" sqref="G215"/>
    </sheetView>
  </sheetViews>
  <sheetFormatPr defaultColWidth="14.42578125" defaultRowHeight="15" customHeight="1"/>
  <cols>
    <col min="1" max="1" width="36.5703125" customWidth="1"/>
    <col min="2" max="2" width="14.28515625" customWidth="1"/>
    <col min="3" max="3" width="12" bestFit="1" customWidth="1"/>
    <col min="4" max="49" width="8.7109375" customWidth="1"/>
  </cols>
  <sheetData>
    <row r="1" spans="1:5" ht="30">
      <c r="A1" s="46" t="s">
        <v>286</v>
      </c>
    </row>
    <row r="2" spans="1:5">
      <c r="A2" s="46" t="s">
        <v>287</v>
      </c>
    </row>
    <row r="3" spans="1:5" ht="124.5" customHeight="1">
      <c r="A3" s="404" t="s">
        <v>288</v>
      </c>
      <c r="B3" s="405"/>
      <c r="C3" s="405"/>
      <c r="D3" s="405"/>
      <c r="E3" s="405"/>
    </row>
    <row r="4" spans="1:5">
      <c r="A4" s="46" t="s">
        <v>151</v>
      </c>
    </row>
    <row r="5" spans="1:5">
      <c r="A5" s="47" t="s">
        <v>97</v>
      </c>
      <c r="B5" s="27">
        <v>250000</v>
      </c>
    </row>
    <row r="6" spans="1:5">
      <c r="A6" s="47" t="s">
        <v>43</v>
      </c>
      <c r="B6" s="27">
        <v>0.18</v>
      </c>
    </row>
    <row r="7" spans="1:5">
      <c r="A7" s="47" t="s">
        <v>289</v>
      </c>
      <c r="B7" s="27">
        <v>365</v>
      </c>
    </row>
    <row r="8" spans="1:5">
      <c r="A8" s="47" t="s">
        <v>290</v>
      </c>
      <c r="B8" s="27">
        <v>170</v>
      </c>
    </row>
    <row r="9" spans="1:5">
      <c r="A9" s="47"/>
    </row>
    <row r="10" spans="1:5">
      <c r="A10" s="47" t="s">
        <v>291</v>
      </c>
    </row>
    <row r="11" spans="1:5">
      <c r="A11" s="47" t="s">
        <v>292</v>
      </c>
      <c r="B11" s="27">
        <f>B8/B7</f>
        <v>0.46575342465753422</v>
      </c>
    </row>
    <row r="12" spans="1:5">
      <c r="A12" s="47" t="s">
        <v>293</v>
      </c>
      <c r="B12" s="85">
        <f>B5/(1+B11*B6)</f>
        <v>230662.28513650151</v>
      </c>
    </row>
    <row r="13" spans="1:5">
      <c r="A13" s="47"/>
    </row>
    <row r="14" spans="1:5" ht="130.5" customHeight="1">
      <c r="A14" s="406" t="s">
        <v>294</v>
      </c>
      <c r="B14" s="405"/>
    </row>
    <row r="15" spans="1:5">
      <c r="A15" s="46" t="s">
        <v>153</v>
      </c>
    </row>
    <row r="16" spans="1:5">
      <c r="A16" s="47" t="s">
        <v>97</v>
      </c>
      <c r="B16" s="27">
        <v>710000</v>
      </c>
    </row>
    <row r="17" spans="1:3">
      <c r="A17" s="47" t="s">
        <v>48</v>
      </c>
      <c r="B17" s="27">
        <v>2</v>
      </c>
    </row>
    <row r="18" spans="1:3">
      <c r="A18" s="47" t="s">
        <v>43</v>
      </c>
      <c r="B18" s="27">
        <v>0.14000000000000001</v>
      </c>
    </row>
    <row r="19" spans="1:3">
      <c r="A19" s="47"/>
    </row>
    <row r="20" spans="1:3">
      <c r="A20" s="47" t="s">
        <v>295</v>
      </c>
    </row>
    <row r="21" spans="1:3">
      <c r="A21" s="47" t="s">
        <v>296</v>
      </c>
      <c r="B21" s="27">
        <f>B16/(1+B18)^B17</f>
        <v>546321.94521391182</v>
      </c>
    </row>
    <row r="22" spans="1:3">
      <c r="A22" s="47" t="s">
        <v>297</v>
      </c>
      <c r="B22" s="31">
        <f>B16-B21</f>
        <v>163678.05478608818</v>
      </c>
    </row>
    <row r="23" spans="1:3" ht="116.25" customHeight="1">
      <c r="A23" s="48" t="s">
        <v>298</v>
      </c>
    </row>
    <row r="24" spans="1:3">
      <c r="A24" s="46" t="s">
        <v>161</v>
      </c>
    </row>
    <row r="25" spans="1:3" ht="15.75" customHeight="1">
      <c r="A25" s="47" t="s">
        <v>97</v>
      </c>
      <c r="B25" s="27">
        <v>13500000</v>
      </c>
    </row>
    <row r="26" spans="1:3" ht="15.75" customHeight="1">
      <c r="A26" s="47" t="s">
        <v>107</v>
      </c>
      <c r="B26" s="27">
        <v>12000000</v>
      </c>
    </row>
    <row r="27" spans="1:3" ht="15.75" customHeight="1">
      <c r="A27" s="47" t="s">
        <v>48</v>
      </c>
      <c r="B27" s="27">
        <v>1</v>
      </c>
    </row>
    <row r="28" spans="1:3" ht="15.75" customHeight="1">
      <c r="A28" s="47"/>
    </row>
    <row r="29" spans="1:3" ht="15.75" customHeight="1">
      <c r="A29" s="47" t="s">
        <v>299</v>
      </c>
      <c r="C29" s="49">
        <f>(B25/B26-1)/B27</f>
        <v>0.125</v>
      </c>
    </row>
    <row r="30" spans="1:3" ht="15.75" customHeight="1">
      <c r="A30" s="47"/>
    </row>
    <row r="31" spans="1:3" ht="15.75" customHeight="1">
      <c r="A31" s="47" t="s">
        <v>300</v>
      </c>
      <c r="C31" s="37">
        <f>(1-B26/B25)/B27</f>
        <v>0.11111111111111116</v>
      </c>
    </row>
    <row r="32" spans="1:3" ht="183" customHeight="1">
      <c r="A32" s="48" t="s">
        <v>301</v>
      </c>
    </row>
    <row r="33" spans="1:2" ht="15.75" customHeight="1">
      <c r="A33" s="46" t="s">
        <v>302</v>
      </c>
    </row>
    <row r="34" spans="1:2" ht="15.75" customHeight="1">
      <c r="A34" s="47" t="s">
        <v>97</v>
      </c>
      <c r="B34" s="27">
        <v>625000</v>
      </c>
    </row>
    <row r="35" spans="1:2" ht="15.75" customHeight="1">
      <c r="A35" s="47" t="s">
        <v>48</v>
      </c>
      <c r="B35" s="27">
        <v>5</v>
      </c>
    </row>
    <row r="36" spans="1:2" ht="15.75" customHeight="1">
      <c r="A36" s="47" t="s">
        <v>303</v>
      </c>
      <c r="B36" s="30">
        <v>0.22500000000000001</v>
      </c>
    </row>
    <row r="37" spans="1:2" ht="15.75" customHeight="1">
      <c r="A37" s="47"/>
    </row>
    <row r="38" spans="1:2" ht="15.75" customHeight="1">
      <c r="A38" s="47" t="s">
        <v>304</v>
      </c>
      <c r="B38" s="31">
        <f>B34*(1-B36)^B35</f>
        <v>174738.47045898443</v>
      </c>
    </row>
    <row r="39" spans="1:2" ht="176.25" customHeight="1">
      <c r="A39" s="48" t="s">
        <v>305</v>
      </c>
    </row>
    <row r="40" spans="1:2" ht="15.75" customHeight="1">
      <c r="A40" s="46" t="s">
        <v>183</v>
      </c>
    </row>
    <row r="41" spans="1:2" ht="15.75" customHeight="1">
      <c r="A41" s="47" t="s">
        <v>97</v>
      </c>
      <c r="B41" s="27">
        <v>800000</v>
      </c>
    </row>
    <row r="42" spans="1:2" ht="15.75" customHeight="1">
      <c r="A42" s="50">
        <v>43515</v>
      </c>
    </row>
    <row r="43" spans="1:2" ht="15.75" customHeight="1">
      <c r="A43" s="50">
        <v>43830</v>
      </c>
    </row>
    <row r="44" spans="1:2" ht="15.75" customHeight="1">
      <c r="A44" s="47" t="s">
        <v>303</v>
      </c>
      <c r="B44" s="27">
        <v>0.21</v>
      </c>
    </row>
    <row r="45" spans="1:2" ht="15.75" customHeight="1">
      <c r="A45" s="47"/>
    </row>
    <row r="46" spans="1:2" ht="15.75" customHeight="1">
      <c r="A46" s="47" t="s">
        <v>290</v>
      </c>
      <c r="B46" s="27">
        <f>_xlfn.DAYS(A43,A42)</f>
        <v>315</v>
      </c>
    </row>
    <row r="47" spans="1:2" ht="15.75" customHeight="1">
      <c r="A47" s="47" t="s">
        <v>289</v>
      </c>
      <c r="B47" s="27">
        <v>365</v>
      </c>
    </row>
    <row r="48" spans="1:2" ht="15.75" customHeight="1">
      <c r="A48" s="47" t="s">
        <v>292</v>
      </c>
      <c r="B48" s="27">
        <f>B46/B47</f>
        <v>0.86301369863013699</v>
      </c>
    </row>
    <row r="49" spans="1:2" ht="15.75" customHeight="1">
      <c r="A49" s="47"/>
    </row>
    <row r="50" spans="1:2" ht="15.75" customHeight="1">
      <c r="A50" s="47" t="s">
        <v>306</v>
      </c>
      <c r="B50" s="31">
        <f>B41*(1-B48*B44)</f>
        <v>655013.69863013702</v>
      </c>
    </row>
    <row r="51" spans="1:2" ht="184.5" customHeight="1">
      <c r="A51" s="48" t="s">
        <v>307</v>
      </c>
    </row>
    <row r="52" spans="1:2" ht="15.75" customHeight="1">
      <c r="A52" s="46" t="s">
        <v>189</v>
      </c>
    </row>
    <row r="53" spans="1:2" ht="15.75" customHeight="1">
      <c r="A53" s="47" t="s">
        <v>97</v>
      </c>
      <c r="B53" s="27">
        <v>15000</v>
      </c>
    </row>
    <row r="54" spans="1:2" ht="15.75" customHeight="1">
      <c r="A54" s="50">
        <v>43842</v>
      </c>
    </row>
    <row r="55" spans="1:2" ht="15.75" customHeight="1">
      <c r="A55" s="50">
        <v>44024</v>
      </c>
    </row>
    <row r="56" spans="1:2" ht="15.75" customHeight="1">
      <c r="A56" s="47" t="s">
        <v>303</v>
      </c>
      <c r="B56" s="27">
        <v>7.0000000000000007E-2</v>
      </c>
    </row>
    <row r="57" spans="1:2" ht="15.75" customHeight="1">
      <c r="A57" s="47"/>
    </row>
    <row r="58" spans="1:2" ht="15.75" customHeight="1">
      <c r="A58" s="47" t="s">
        <v>290</v>
      </c>
      <c r="B58" s="27">
        <f>_xlfn.DAYS(A55,A54)</f>
        <v>182</v>
      </c>
    </row>
    <row r="59" spans="1:2" ht="15.75" customHeight="1">
      <c r="A59" s="47" t="s">
        <v>289</v>
      </c>
      <c r="B59" s="27">
        <v>366</v>
      </c>
    </row>
    <row r="60" spans="1:2" ht="15.75" customHeight="1">
      <c r="A60" s="47" t="s">
        <v>292</v>
      </c>
      <c r="B60" s="27">
        <f>B58/B59</f>
        <v>0.49726775956284153</v>
      </c>
    </row>
    <row r="61" spans="1:2" ht="15.75" customHeight="1">
      <c r="A61" s="47"/>
    </row>
    <row r="62" spans="1:2" ht="15.75" customHeight="1">
      <c r="A62" s="47" t="s">
        <v>308</v>
      </c>
      <c r="B62" s="40">
        <f>B53*(1-B56)^B60</f>
        <v>14468.34464888593</v>
      </c>
    </row>
    <row r="63" spans="1:2" ht="185.25" customHeight="1">
      <c r="A63" s="48" t="s">
        <v>309</v>
      </c>
    </row>
    <row r="64" spans="1:2" ht="15.75" customHeight="1">
      <c r="A64" s="46" t="s">
        <v>205</v>
      </c>
    </row>
    <row r="65" spans="1:3" ht="15.75" customHeight="1">
      <c r="A65" s="47" t="s">
        <v>48</v>
      </c>
      <c r="B65" s="27">
        <v>6</v>
      </c>
    </row>
    <row r="66" spans="1:3" ht="15.75" customHeight="1">
      <c r="A66" s="47" t="s">
        <v>107</v>
      </c>
      <c r="B66" s="27">
        <v>225375</v>
      </c>
    </row>
    <row r="67" spans="1:3" ht="15.75" customHeight="1">
      <c r="A67" s="47" t="s">
        <v>303</v>
      </c>
      <c r="B67" s="27">
        <v>0.12</v>
      </c>
    </row>
    <row r="68" spans="1:3" ht="15.75" customHeight="1">
      <c r="A68" s="47"/>
    </row>
    <row r="69" spans="1:3" ht="15.75" customHeight="1">
      <c r="A69" s="47" t="s">
        <v>310</v>
      </c>
      <c r="C69" s="31">
        <f>B66/(1-B67)^B65</f>
        <v>485299.34686992684</v>
      </c>
    </row>
    <row r="70" spans="1:3" ht="130.5" customHeight="1">
      <c r="A70" s="48" t="s">
        <v>311</v>
      </c>
    </row>
    <row r="71" spans="1:3" ht="15.75" customHeight="1">
      <c r="A71" s="46" t="s">
        <v>214</v>
      </c>
    </row>
    <row r="72" spans="1:3" ht="15.75" customHeight="1">
      <c r="A72" s="47" t="s">
        <v>312</v>
      </c>
      <c r="B72" s="27">
        <v>0.08</v>
      </c>
    </row>
    <row r="73" spans="1:3" ht="15.75" customHeight="1">
      <c r="A73" s="47" t="s">
        <v>42</v>
      </c>
      <c r="B73" s="27">
        <v>12</v>
      </c>
    </row>
    <row r="74" spans="1:3" ht="15.75" customHeight="1">
      <c r="A74" s="47"/>
    </row>
    <row r="75" spans="1:3" ht="15.75" customHeight="1">
      <c r="A75" s="47" t="s">
        <v>313</v>
      </c>
    </row>
    <row r="76" spans="1:3" ht="15.75" customHeight="1">
      <c r="A76" s="47"/>
    </row>
    <row r="77" spans="1:3" ht="15.75" customHeight="1">
      <c r="A77" s="47" t="s">
        <v>314</v>
      </c>
    </row>
    <row r="78" spans="1:3" ht="15.75" customHeight="1">
      <c r="A78" s="47"/>
    </row>
    <row r="79" spans="1:3" ht="15.75" customHeight="1">
      <c r="A79" s="47" t="s">
        <v>315</v>
      </c>
    </row>
    <row r="80" spans="1:3" ht="15.75" customHeight="1">
      <c r="A80" s="47" t="s">
        <v>316</v>
      </c>
    </row>
    <row r="81" spans="1:4" ht="15.75" customHeight="1">
      <c r="A81" s="47"/>
    </row>
    <row r="82" spans="1:4" ht="15.75" customHeight="1">
      <c r="A82" s="47" t="s">
        <v>303</v>
      </c>
      <c r="B82" s="37">
        <f>1-(1-B72/B73)^B73</f>
        <v>7.713088442304683E-2</v>
      </c>
    </row>
    <row r="83" spans="1:4" ht="192" customHeight="1">
      <c r="A83" s="48" t="s">
        <v>317</v>
      </c>
    </row>
    <row r="84" spans="1:4" ht="15.75" customHeight="1">
      <c r="A84" s="46" t="s">
        <v>219</v>
      </c>
    </row>
    <row r="85" spans="1:4" ht="15.75" customHeight="1">
      <c r="A85" s="47" t="s">
        <v>97</v>
      </c>
      <c r="B85" s="27">
        <v>2170</v>
      </c>
    </row>
    <row r="86" spans="1:4" ht="15.75" customHeight="1">
      <c r="A86" s="47" t="s">
        <v>107</v>
      </c>
      <c r="B86" s="27">
        <v>2000</v>
      </c>
    </row>
    <row r="87" spans="1:4" ht="15.75" customHeight="1">
      <c r="A87" s="47" t="s">
        <v>43</v>
      </c>
      <c r="B87" s="27">
        <v>0.08</v>
      </c>
    </row>
    <row r="88" spans="1:4" ht="15.75" customHeight="1">
      <c r="A88" s="47" t="s">
        <v>48</v>
      </c>
      <c r="B88" s="27">
        <v>1</v>
      </c>
    </row>
    <row r="89" spans="1:4" ht="15.75" customHeight="1">
      <c r="A89" s="47"/>
    </row>
    <row r="90" spans="1:4" ht="15.75" customHeight="1">
      <c r="A90" s="47" t="s">
        <v>318</v>
      </c>
      <c r="B90" s="27">
        <f>B86*(1+B88*B87)</f>
        <v>2160</v>
      </c>
      <c r="C90" s="27" t="s">
        <v>319</v>
      </c>
      <c r="D90" s="27" t="s">
        <v>76</v>
      </c>
    </row>
    <row r="91" spans="1:4" ht="15.75" customHeight="1">
      <c r="A91" s="47"/>
    </row>
    <row r="92" spans="1:4" ht="15.75" customHeight="1">
      <c r="A92" s="47" t="s">
        <v>320</v>
      </c>
      <c r="B92" s="30">
        <f>(B85/B86-1)/B88</f>
        <v>8.4999999999999964E-2</v>
      </c>
    </row>
    <row r="93" spans="1:4" ht="219.75" customHeight="1">
      <c r="A93" s="48" t="s">
        <v>321</v>
      </c>
    </row>
    <row r="94" spans="1:4" ht="15.75" customHeight="1">
      <c r="A94" s="46" t="s">
        <v>227</v>
      </c>
    </row>
    <row r="95" spans="1:4" ht="15.75" customHeight="1">
      <c r="A95" s="47" t="s">
        <v>322</v>
      </c>
      <c r="B95" s="27">
        <v>300</v>
      </c>
    </row>
    <row r="96" spans="1:4" ht="15.75" customHeight="1">
      <c r="A96" s="47" t="s">
        <v>323</v>
      </c>
      <c r="B96" s="27">
        <v>7.0000000000000007E-2</v>
      </c>
    </row>
    <row r="97" spans="1:2" ht="15.75" customHeight="1">
      <c r="A97" s="47" t="s">
        <v>324</v>
      </c>
      <c r="B97" s="27">
        <v>0.06</v>
      </c>
    </row>
    <row r="98" spans="1:2" ht="15.75" customHeight="1">
      <c r="A98" s="47" t="s">
        <v>289</v>
      </c>
      <c r="B98" s="27">
        <v>365</v>
      </c>
    </row>
    <row r="99" spans="1:2" ht="15.75" customHeight="1">
      <c r="A99" s="47"/>
    </row>
    <row r="100" spans="1:2" ht="15.75" customHeight="1">
      <c r="A100" s="47" t="s">
        <v>325</v>
      </c>
    </row>
    <row r="101" spans="1:2" ht="15.75" customHeight="1">
      <c r="A101" s="47" t="s">
        <v>326</v>
      </c>
    </row>
    <row r="102" spans="1:2" ht="15.75" customHeight="1">
      <c r="A102" s="47"/>
    </row>
    <row r="103" spans="1:2" ht="15.75" customHeight="1">
      <c r="A103" s="47" t="s">
        <v>327</v>
      </c>
    </row>
    <row r="104" spans="1:2" ht="15.75" customHeight="1">
      <c r="A104" s="47"/>
    </row>
    <row r="105" spans="1:2" ht="15.75" customHeight="1">
      <c r="A105" s="47" t="s">
        <v>328</v>
      </c>
      <c r="B105" s="27">
        <v>290</v>
      </c>
    </row>
    <row r="106" spans="1:2" ht="15.75" customHeight="1">
      <c r="A106" s="47" t="s">
        <v>329</v>
      </c>
      <c r="B106" s="27">
        <f>B95/B98</f>
        <v>0.82191780821917804</v>
      </c>
    </row>
    <row r="107" spans="1:2" ht="15.75" customHeight="1">
      <c r="A107" s="47" t="s">
        <v>330</v>
      </c>
      <c r="B107" s="27">
        <f>B105/B98</f>
        <v>0.79452054794520544</v>
      </c>
    </row>
    <row r="108" spans="1:2" ht="15.75" customHeight="1">
      <c r="A108" s="47"/>
    </row>
    <row r="109" spans="1:2" ht="15.75" customHeight="1">
      <c r="A109" s="47" t="s">
        <v>331</v>
      </c>
      <c r="B109" s="27">
        <f t="shared" ref="B109:B110" si="0">1-B106*B96</f>
        <v>0.94246575342465755</v>
      </c>
    </row>
    <row r="110" spans="1:2" ht="15.75" customHeight="1">
      <c r="A110" s="47" t="s">
        <v>332</v>
      </c>
      <c r="B110" s="27">
        <f t="shared" si="0"/>
        <v>0.95232876712328762</v>
      </c>
    </row>
    <row r="111" spans="1:2" ht="15.75" customHeight="1">
      <c r="A111" s="47"/>
    </row>
    <row r="112" spans="1:2" ht="15.75" customHeight="1">
      <c r="A112" s="47" t="s">
        <v>333</v>
      </c>
      <c r="B112" s="27">
        <f>10/B98</f>
        <v>2.7397260273972601E-2</v>
      </c>
    </row>
    <row r="113" spans="1:3" ht="15.75" customHeight="1">
      <c r="A113" s="47"/>
    </row>
    <row r="114" spans="1:3" ht="15.75" customHeight="1">
      <c r="A114" s="47" t="s">
        <v>43</v>
      </c>
      <c r="B114" s="36">
        <f>(B110/B109-1)/B112</f>
        <v>0.38197674418604233</v>
      </c>
    </row>
    <row r="115" spans="1:3" ht="157.5" customHeight="1">
      <c r="A115" s="406" t="s">
        <v>334</v>
      </c>
      <c r="B115" s="405"/>
    </row>
    <row r="116" spans="1:3" ht="15.75" customHeight="1">
      <c r="A116" s="46" t="s">
        <v>237</v>
      </c>
    </row>
    <row r="117" spans="1:3" ht="15.75" customHeight="1">
      <c r="A117" s="47"/>
    </row>
    <row r="118" spans="1:3" ht="15.75" customHeight="1">
      <c r="A118" s="47" t="s">
        <v>107</v>
      </c>
      <c r="B118" s="27">
        <v>20000</v>
      </c>
    </row>
    <row r="119" spans="1:3" ht="15.75" customHeight="1">
      <c r="A119" s="47" t="s">
        <v>97</v>
      </c>
      <c r="B119" s="27">
        <v>30000</v>
      </c>
    </row>
    <row r="120" spans="1:3" ht="15.75" customHeight="1">
      <c r="A120" s="47" t="s">
        <v>303</v>
      </c>
      <c r="B120" s="27">
        <v>0.11</v>
      </c>
    </row>
    <row r="121" spans="1:3" ht="15.75" customHeight="1">
      <c r="A121" s="47"/>
    </row>
    <row r="122" spans="1:3" ht="15.75" customHeight="1">
      <c r="A122" s="47" t="s">
        <v>335</v>
      </c>
      <c r="C122" s="27">
        <f>(1-B118/B119)/B120</f>
        <v>3.0303030303030307</v>
      </c>
    </row>
    <row r="123" spans="1:3" ht="160.5" customHeight="1">
      <c r="A123" s="406" t="s">
        <v>336</v>
      </c>
      <c r="B123" s="405"/>
    </row>
    <row r="124" spans="1:3" ht="15.75" customHeight="1">
      <c r="A124" s="46" t="s">
        <v>249</v>
      </c>
    </row>
    <row r="125" spans="1:3" ht="15.75" customHeight="1">
      <c r="A125" s="47"/>
    </row>
    <row r="126" spans="1:3" ht="15.75" customHeight="1">
      <c r="A126" s="47"/>
    </row>
    <row r="127" spans="1:3" ht="15.75" customHeight="1">
      <c r="A127" s="47" t="s">
        <v>337</v>
      </c>
      <c r="B127" s="27">
        <v>5000</v>
      </c>
    </row>
    <row r="128" spans="1:3" ht="15.75" customHeight="1">
      <c r="A128" s="47" t="s">
        <v>133</v>
      </c>
      <c r="B128" s="27">
        <v>2.5</v>
      </c>
    </row>
    <row r="129" spans="1:2" ht="15.75" customHeight="1">
      <c r="A129" s="47" t="s">
        <v>338</v>
      </c>
      <c r="B129" s="34">
        <v>0.09</v>
      </c>
    </row>
    <row r="130" spans="1:2" ht="15.75" customHeight="1">
      <c r="A130" s="47"/>
    </row>
    <row r="131" spans="1:2" ht="15.75" customHeight="1">
      <c r="A131" s="47" t="s">
        <v>339</v>
      </c>
    </row>
    <row r="132" spans="1:2" ht="15.75" customHeight="1">
      <c r="A132" s="47" t="s">
        <v>107</v>
      </c>
      <c r="B132" s="27">
        <f>B127*(1-0.09)^B128</f>
        <v>3949.7852634668639</v>
      </c>
    </row>
    <row r="133" spans="1:2" ht="15.75" customHeight="1">
      <c r="A133" s="47" t="s">
        <v>340</v>
      </c>
      <c r="B133" s="51">
        <f>B127-B132</f>
        <v>1050.2147365331361</v>
      </c>
    </row>
    <row r="134" spans="1:2" ht="15.75" customHeight="1">
      <c r="A134" s="47"/>
    </row>
    <row r="135" spans="1:2" ht="15.75" customHeight="1">
      <c r="A135" s="47"/>
      <c r="B135" s="52" t="s">
        <v>341</v>
      </c>
    </row>
    <row r="136" spans="1:2" ht="15.75" customHeight="1">
      <c r="A136" t="s">
        <v>342</v>
      </c>
    </row>
    <row r="137" spans="1:2" ht="15.75" customHeight="1">
      <c r="A137" s="46"/>
    </row>
    <row r="138" spans="1:2" ht="15.75" customHeight="1">
      <c r="A138" s="46" t="s">
        <v>260</v>
      </c>
    </row>
    <row r="139" spans="1:2" ht="15.75" customHeight="1">
      <c r="A139" s="47" t="s">
        <v>343</v>
      </c>
      <c r="B139" s="27">
        <v>0.04</v>
      </c>
    </row>
    <row r="140" spans="1:2" ht="15.75" customHeight="1">
      <c r="A140" s="47" t="s">
        <v>344</v>
      </c>
    </row>
    <row r="141" spans="1:2" ht="15.75" customHeight="1">
      <c r="A141" s="47"/>
    </row>
    <row r="142" spans="1:2" ht="15.75" customHeight="1">
      <c r="A142" s="47" t="s">
        <v>345</v>
      </c>
      <c r="B142" s="30">
        <f>(1+B139)^12-1</f>
        <v>0.60103221856768174</v>
      </c>
    </row>
    <row r="143" spans="1:2" ht="15.75" customHeight="1">
      <c r="A143" t="s">
        <v>346</v>
      </c>
    </row>
    <row r="144" spans="1:2" ht="15.75" customHeight="1">
      <c r="A144" s="46" t="s">
        <v>270</v>
      </c>
    </row>
    <row r="145" spans="1:2" ht="15.75" customHeight="1">
      <c r="A145" s="47" t="s">
        <v>345</v>
      </c>
      <c r="B145" s="27">
        <v>0.09</v>
      </c>
    </row>
    <row r="146" spans="1:2" ht="15.75" customHeight="1">
      <c r="A146" s="47"/>
    </row>
    <row r="147" spans="1:2" ht="15.75" customHeight="1">
      <c r="A147" s="47" t="s">
        <v>347</v>
      </c>
    </row>
    <row r="148" spans="1:2" ht="15.75" customHeight="1">
      <c r="A148" s="47"/>
    </row>
    <row r="149" spans="1:2" ht="15.75" customHeight="1">
      <c r="A149" s="47" t="s">
        <v>348</v>
      </c>
      <c r="B149" s="36">
        <f>(1+B145)^0.25-1</f>
        <v>2.1778180864641117E-2</v>
      </c>
    </row>
    <row r="150" spans="1:2" ht="15.75" customHeight="1">
      <c r="A150" t="s">
        <v>349</v>
      </c>
    </row>
    <row r="151" spans="1:2" ht="15.75" customHeight="1">
      <c r="A151" s="46" t="s">
        <v>280</v>
      </c>
    </row>
    <row r="152" spans="1:2" ht="15.75" customHeight="1">
      <c r="A152" s="47"/>
    </row>
    <row r="153" spans="1:2" ht="15.75" customHeight="1">
      <c r="A153" s="47" t="s">
        <v>350</v>
      </c>
    </row>
    <row r="154" spans="1:2" ht="15.75" customHeight="1">
      <c r="A154" s="47" t="s">
        <v>351</v>
      </c>
    </row>
    <row r="155" spans="1:2" ht="15.75" customHeight="1">
      <c r="A155" s="47"/>
    </row>
    <row r="156" spans="1:2" ht="15.75" customHeight="1">
      <c r="A156" s="47" t="s">
        <v>352</v>
      </c>
    </row>
    <row r="157" spans="1:2" ht="15.75" customHeight="1">
      <c r="A157" s="47"/>
    </row>
    <row r="158" spans="1:2" ht="15.75" customHeight="1">
      <c r="A158" s="47" t="s">
        <v>353</v>
      </c>
      <c r="B158" s="27">
        <v>0.4</v>
      </c>
    </row>
    <row r="159" spans="1:2" ht="15.75" customHeight="1">
      <c r="A159" s="47"/>
    </row>
    <row r="160" spans="1:2" ht="15.75" customHeight="1">
      <c r="A160" s="47"/>
      <c r="B160" s="27">
        <f>25*25</f>
        <v>625</v>
      </c>
    </row>
    <row r="161" spans="1:3" ht="15.75" customHeight="1">
      <c r="A161" s="47"/>
      <c r="B161" s="27">
        <f>B160+240</f>
        <v>865</v>
      </c>
    </row>
    <row r="162" spans="1:3" ht="15.75" customHeight="1">
      <c r="A162" s="47"/>
      <c r="B162" s="27">
        <f>B161^0.5</f>
        <v>29.410882339705484</v>
      </c>
    </row>
    <row r="163" spans="1:3" ht="15.75" customHeight="1">
      <c r="A163" s="47" t="s">
        <v>350</v>
      </c>
      <c r="B163" s="27">
        <f>(-25+B162)/30</f>
        <v>0.14702941132351613</v>
      </c>
    </row>
    <row r="164" spans="1:3" ht="15.75" customHeight="1">
      <c r="A164" s="47" t="s">
        <v>354</v>
      </c>
      <c r="B164" s="27">
        <f>1.5*B163</f>
        <v>0.22054411698527421</v>
      </c>
    </row>
    <row r="165" spans="1:3" ht="126.75" customHeight="1">
      <c r="A165" s="406" t="s">
        <v>355</v>
      </c>
      <c r="B165" s="405"/>
    </row>
    <row r="166" spans="1:3" ht="15.75" customHeight="1">
      <c r="A166" s="46" t="s">
        <v>356</v>
      </c>
    </row>
    <row r="167" spans="1:3" ht="15.75" customHeight="1">
      <c r="A167" s="47" t="s">
        <v>350</v>
      </c>
      <c r="B167" s="30">
        <v>2E-3</v>
      </c>
    </row>
    <row r="168" spans="1:3" ht="15.75" customHeight="1">
      <c r="A168" s="47" t="s">
        <v>354</v>
      </c>
      <c r="B168" s="30">
        <v>3.0000000000000001E-3</v>
      </c>
    </row>
    <row r="169" spans="1:3" ht="15.75" customHeight="1">
      <c r="A169" s="47" t="s">
        <v>43</v>
      </c>
      <c r="B169" s="34">
        <v>0.1</v>
      </c>
    </row>
    <row r="170" spans="1:3" ht="15.75" customHeight="1">
      <c r="A170" s="47"/>
    </row>
    <row r="171" spans="1:3" ht="15.75" customHeight="1">
      <c r="A171" s="47" t="s">
        <v>357</v>
      </c>
    </row>
    <row r="172" spans="1:3" ht="15.75" customHeight="1">
      <c r="A172" s="47"/>
    </row>
    <row r="173" spans="1:3" ht="15.75" customHeight="1">
      <c r="A173" s="47" t="s">
        <v>353</v>
      </c>
      <c r="B173" s="36">
        <f>(1+B167)^6*(1+B168)^6-1</f>
        <v>3.0414418989762604E-2</v>
      </c>
    </row>
    <row r="174" spans="1:3" ht="15.75" customHeight="1">
      <c r="A174" s="47"/>
    </row>
    <row r="175" spans="1:3" ht="15.75" customHeight="1">
      <c r="A175" s="47" t="s">
        <v>358</v>
      </c>
      <c r="C175" s="36">
        <f>(B169-B173)/(1+B173)</f>
        <v>6.7531645256342976E-2</v>
      </c>
    </row>
    <row r="176" spans="1:3" ht="15.75" customHeight="1">
      <c r="A176" s="47" t="s">
        <v>359</v>
      </c>
    </row>
    <row r="177" spans="1:8" ht="15.75" customHeight="1">
      <c r="A177" s="47"/>
    </row>
    <row r="178" spans="1:8" ht="15.75" customHeight="1">
      <c r="A178" s="47" t="s">
        <v>360</v>
      </c>
    </row>
    <row r="179" spans="1:8" ht="15.75" customHeight="1">
      <c r="A179" s="47"/>
    </row>
    <row r="180" spans="1:8" ht="15.75" customHeight="1">
      <c r="A180" s="47" t="s">
        <v>361</v>
      </c>
      <c r="B180" s="36">
        <f>1+C175</f>
        <v>1.067531645256343</v>
      </c>
    </row>
    <row r="181" spans="1:8" ht="117" customHeight="1">
      <c r="A181" s="53" t="s">
        <v>362</v>
      </c>
      <c r="B181" s="54" t="s">
        <v>363</v>
      </c>
    </row>
    <row r="182" spans="1:8" ht="117" customHeight="1">
      <c r="A182" s="55" t="s">
        <v>364</v>
      </c>
    </row>
    <row r="183" spans="1:8" ht="15.75" customHeight="1">
      <c r="A183" s="46" t="s">
        <v>365</v>
      </c>
    </row>
    <row r="184" spans="1:8" ht="15.75" customHeight="1">
      <c r="A184" s="47" t="s">
        <v>366</v>
      </c>
      <c r="B184" s="27">
        <v>0.4</v>
      </c>
    </row>
    <row r="185" spans="1:8" ht="15.75" customHeight="1">
      <c r="A185" s="47" t="s">
        <v>367</v>
      </c>
    </row>
    <row r="186" spans="1:8" ht="15.75" customHeight="1">
      <c r="A186" s="47" t="s">
        <v>368</v>
      </c>
      <c r="B186" s="27" t="s">
        <v>369</v>
      </c>
    </row>
    <row r="187" spans="1:8" ht="15.75" customHeight="1">
      <c r="A187" s="47" t="s">
        <v>370</v>
      </c>
      <c r="B187" s="27">
        <f>(203*203+100*4*37)^(1/2)</f>
        <v>236.66220653074288</v>
      </c>
    </row>
    <row r="188" spans="1:8" ht="15.75" customHeight="1">
      <c r="A188" s="47" t="s">
        <v>367</v>
      </c>
      <c r="B188" s="56">
        <f>(-203+B187)/(2*100)</f>
        <v>0.16831103265371439</v>
      </c>
      <c r="D188" s="27">
        <f>1.03-1.4</f>
        <v>-0.36999999999999988</v>
      </c>
    </row>
    <row r="189" spans="1:8" ht="15.75" customHeight="1">
      <c r="A189" t="s">
        <v>371</v>
      </c>
      <c r="H189" s="57"/>
    </row>
    <row r="190" spans="1:8" ht="15.75" customHeight="1">
      <c r="A190" s="58"/>
    </row>
    <row r="191" spans="1:8" ht="15.75" customHeight="1">
      <c r="A191" t="s">
        <v>372</v>
      </c>
    </row>
    <row r="192" spans="1:8" ht="15.75" customHeight="1">
      <c r="A192" s="58"/>
    </row>
    <row r="193" spans="1:8" ht="15.75" customHeight="1">
      <c r="A193" t="s">
        <v>373</v>
      </c>
    </row>
    <row r="194" spans="1:8" ht="15.75" customHeight="1">
      <c r="A194" s="58"/>
    </row>
    <row r="195" spans="1:8" ht="15.75" customHeight="1">
      <c r="A195" t="s">
        <v>374</v>
      </c>
    </row>
    <row r="196" spans="1:8" ht="15.75" customHeight="1">
      <c r="A196" s="58"/>
    </row>
    <row r="197" spans="1:8" ht="15.75" customHeight="1">
      <c r="A197" t="s">
        <v>375</v>
      </c>
    </row>
    <row r="198" spans="1:8" ht="15.75" customHeight="1">
      <c r="A198" s="58"/>
    </row>
    <row r="199" spans="1:8" ht="15.75" customHeight="1">
      <c r="A199" t="s">
        <v>376</v>
      </c>
    </row>
    <row r="200" spans="1:8" ht="15.75" customHeight="1">
      <c r="A200" s="58"/>
    </row>
    <row r="201" spans="1:8" ht="15.75" customHeight="1">
      <c r="A201" t="s">
        <v>377</v>
      </c>
    </row>
    <row r="202" spans="1:8" ht="15.75" customHeight="1">
      <c r="A202" s="58"/>
    </row>
    <row r="203" spans="1:8" ht="15.75" customHeight="1">
      <c r="A203" t="s">
        <v>378</v>
      </c>
    </row>
    <row r="204" spans="1:8" ht="15.75" customHeight="1">
      <c r="A204" s="59"/>
    </row>
    <row r="205" spans="1:8" ht="15.75" customHeight="1">
      <c r="A205" s="60" t="s">
        <v>150</v>
      </c>
    </row>
    <row r="206" spans="1:8" ht="15.75" customHeight="1">
      <c r="A206" t="s">
        <v>379</v>
      </c>
    </row>
    <row r="207" spans="1:8" ht="15.75" customHeight="1">
      <c r="A207" s="46" t="s">
        <v>380</v>
      </c>
      <c r="B207" s="62">
        <f>1-POWER((1-(0.1/12)),12)</f>
        <v>9.5541625850160128E-2</v>
      </c>
      <c r="C207" s="22"/>
      <c r="D207" s="22" t="s">
        <v>381</v>
      </c>
      <c r="E207" s="63">
        <f>1-POWER((1-(0.1/12)),12)</f>
        <v>9.5541625850160128E-2</v>
      </c>
      <c r="F207" s="22"/>
      <c r="H207" s="22"/>
    </row>
    <row r="208" spans="1:8" ht="15.75" customHeight="1">
      <c r="A208" t="s">
        <v>382</v>
      </c>
    </row>
    <row r="209" spans="1:9" ht="15.75" customHeight="1">
      <c r="A209" s="47"/>
    </row>
    <row r="210" spans="1:9" ht="15.75" customHeight="1">
      <c r="A210" s="46" t="s">
        <v>383</v>
      </c>
      <c r="B210" s="22"/>
      <c r="C210" s="22"/>
      <c r="D210" s="22"/>
      <c r="E210" s="22"/>
    </row>
    <row r="211" spans="1:9" ht="15.75" customHeight="1">
      <c r="A211" s="46"/>
      <c r="B211" s="22"/>
      <c r="C211" s="22"/>
      <c r="D211" s="22"/>
      <c r="E211" s="22"/>
    </row>
    <row r="212" spans="1:9" ht="15.75" customHeight="1">
      <c r="A212" s="46" t="s">
        <v>384</v>
      </c>
      <c r="B212" s="62">
        <v>10000</v>
      </c>
      <c r="C212" s="22"/>
      <c r="D212" s="22" t="s">
        <v>385</v>
      </c>
      <c r="E212" s="64">
        <f>(B213/B212-1)/B215</f>
        <v>0.43800000000000039</v>
      </c>
    </row>
    <row r="213" spans="1:9" ht="15.75" customHeight="1">
      <c r="A213" s="46" t="s">
        <v>386</v>
      </c>
      <c r="B213" s="62">
        <v>11200</v>
      </c>
      <c r="C213" s="22"/>
      <c r="D213" s="22"/>
      <c r="E213" s="22"/>
    </row>
    <row r="214" spans="1:9" ht="15.75" customHeight="1">
      <c r="A214" s="46" t="s">
        <v>387</v>
      </c>
      <c r="B214" s="22" t="s">
        <v>388</v>
      </c>
      <c r="C214" s="22"/>
      <c r="D214" s="22"/>
      <c r="E214" s="22"/>
    </row>
    <row r="215" spans="1:9" ht="15.75" customHeight="1">
      <c r="A215" s="46" t="s">
        <v>273</v>
      </c>
      <c r="B215" s="62">
        <f>100/365</f>
        <v>0.27397260273972601</v>
      </c>
      <c r="C215" s="22"/>
      <c r="D215" s="22"/>
      <c r="E215" s="22"/>
    </row>
    <row r="216" spans="1:9" ht="15.75" customHeight="1">
      <c r="A216" s="46"/>
      <c r="B216" s="22"/>
      <c r="C216" s="22"/>
      <c r="D216" s="22"/>
      <c r="E216" s="22"/>
    </row>
    <row r="217" spans="1:9" ht="15.75" customHeight="1">
      <c r="A217" s="46" t="s">
        <v>389</v>
      </c>
      <c r="B217" s="22"/>
      <c r="C217" s="22"/>
      <c r="D217" s="22"/>
      <c r="E217" s="22"/>
    </row>
    <row r="218" spans="1:9" ht="15.75" customHeight="1">
      <c r="A218" s="46"/>
      <c r="B218" s="22"/>
      <c r="C218" s="22"/>
      <c r="D218" s="22"/>
      <c r="E218" s="22"/>
    </row>
    <row r="219" spans="1:9" ht="15.75" customHeight="1">
      <c r="A219" s="46" t="s">
        <v>385</v>
      </c>
      <c r="B219" s="64">
        <f>((B213/B212)^(1/B215))-1</f>
        <v>0.51232726791616479</v>
      </c>
      <c r="C219" s="22"/>
      <c r="D219" s="22"/>
      <c r="E219" s="22"/>
    </row>
    <row r="220" spans="1:9" ht="15.75" customHeight="1">
      <c r="A220" s="47"/>
    </row>
    <row r="221" spans="1:9" ht="15.75" customHeight="1">
      <c r="A221" t="s">
        <v>390</v>
      </c>
    </row>
    <row r="222" spans="1:9" ht="15.75" customHeight="1">
      <c r="A222" s="46" t="s">
        <v>391</v>
      </c>
      <c r="B222" s="22"/>
      <c r="C222" s="22"/>
      <c r="D222" s="22"/>
      <c r="E222" s="22"/>
      <c r="F222" s="22"/>
      <c r="G222" s="22"/>
      <c r="H222" s="22" t="s">
        <v>392</v>
      </c>
      <c r="I222" s="22"/>
    </row>
    <row r="223" spans="1:9" ht="15.75" customHeight="1">
      <c r="A223" s="46" t="s">
        <v>393</v>
      </c>
      <c r="B223" s="22"/>
      <c r="C223" s="22"/>
      <c r="D223" s="22"/>
      <c r="E223" s="22"/>
      <c r="F223" s="22"/>
      <c r="G223" s="22"/>
      <c r="H223" s="22"/>
      <c r="I223" s="22"/>
    </row>
    <row r="224" spans="1:9" ht="15.75" customHeight="1">
      <c r="A224" s="65">
        <v>5000000</v>
      </c>
      <c r="B224" s="66">
        <v>1</v>
      </c>
      <c r="C224" s="22"/>
      <c r="D224" s="22"/>
      <c r="E224" s="22"/>
      <c r="F224" s="22"/>
      <c r="G224" s="22"/>
      <c r="H224" s="22" t="s">
        <v>394</v>
      </c>
      <c r="I224" s="67">
        <f>((5.45-5)/5.45)*100</f>
        <v>8.256880733944957</v>
      </c>
    </row>
    <row r="225" spans="1:9" ht="15.75" customHeight="1">
      <c r="A225" s="65">
        <v>5450000</v>
      </c>
      <c r="B225" s="22" t="s">
        <v>395</v>
      </c>
      <c r="C225" s="22"/>
      <c r="D225" s="22"/>
      <c r="E225" s="22"/>
      <c r="F225" s="22"/>
      <c r="G225" s="22"/>
      <c r="H225" s="22"/>
      <c r="I225" s="22"/>
    </row>
    <row r="226" spans="1:9" ht="15.75" customHeight="1">
      <c r="A226" s="46"/>
      <c r="B226" s="22"/>
      <c r="C226" s="22"/>
      <c r="D226" s="22"/>
      <c r="E226" s="22"/>
      <c r="F226" s="22"/>
      <c r="G226" s="22"/>
      <c r="H226" s="22"/>
      <c r="I226" s="22"/>
    </row>
    <row r="227" spans="1:9" ht="15.75" customHeight="1">
      <c r="A227" s="46" t="s">
        <v>396</v>
      </c>
      <c r="B227" s="22"/>
      <c r="C227" s="22"/>
      <c r="D227" s="22"/>
      <c r="E227" s="22"/>
      <c r="F227" s="22"/>
      <c r="G227" s="22"/>
      <c r="H227" s="22"/>
      <c r="I227" s="22"/>
    </row>
    <row r="228" spans="1:9" ht="15.75" customHeight="1">
      <c r="A228" s="46"/>
      <c r="B228" s="22"/>
      <c r="C228" s="22"/>
      <c r="D228" s="22"/>
      <c r="E228" s="22"/>
      <c r="F228" s="22"/>
      <c r="G228" s="22"/>
      <c r="H228" s="22"/>
      <c r="I228" s="22"/>
    </row>
    <row r="229" spans="1:9" ht="15.75" customHeight="1">
      <c r="A229" s="46" t="s">
        <v>397</v>
      </c>
      <c r="B229" s="22"/>
      <c r="C229" s="22"/>
      <c r="D229" s="22"/>
      <c r="E229" s="22"/>
      <c r="F229" s="22"/>
      <c r="G229" s="22"/>
      <c r="H229" s="22"/>
      <c r="I229" s="22"/>
    </row>
    <row r="230" spans="1:9" ht="15.75" customHeight="1">
      <c r="A230" s="46"/>
      <c r="B230" s="22"/>
      <c r="C230" s="22"/>
      <c r="D230" s="22"/>
      <c r="E230" s="22"/>
      <c r="F230" s="22"/>
      <c r="G230" s="22"/>
      <c r="H230" s="22"/>
      <c r="I230" s="22"/>
    </row>
    <row r="231" spans="1:9" ht="15.75" customHeight="1">
      <c r="A231" s="46" t="s">
        <v>398</v>
      </c>
      <c r="B231" s="22"/>
      <c r="C231" s="22"/>
      <c r="D231" s="22"/>
      <c r="E231" s="22"/>
      <c r="F231" s="62">
        <f>545000000 - 500000000</f>
        <v>45000000</v>
      </c>
      <c r="G231" s="22"/>
      <c r="H231" s="22"/>
      <c r="I231" s="22"/>
    </row>
    <row r="232" spans="1:9" ht="15.75" customHeight="1">
      <c r="A232" s="46"/>
      <c r="B232" s="22"/>
      <c r="C232" s="22"/>
      <c r="D232" s="22"/>
      <c r="E232" s="22"/>
      <c r="F232" s="22"/>
      <c r="G232" s="22"/>
      <c r="H232" s="22"/>
      <c r="I232" s="22"/>
    </row>
    <row r="233" spans="1:9" ht="15.75" customHeight="1">
      <c r="A233" s="46" t="s">
        <v>399</v>
      </c>
      <c r="B233" s="64">
        <f>F231/5000000</f>
        <v>9</v>
      </c>
      <c r="C233" s="22"/>
      <c r="D233" s="22"/>
      <c r="E233" s="22"/>
      <c r="F233" s="22"/>
      <c r="G233" s="22"/>
      <c r="H233" s="22"/>
      <c r="I233" s="22"/>
    </row>
    <row r="234" spans="1:9" ht="15.75" customHeight="1">
      <c r="A234" s="46"/>
      <c r="B234" s="22"/>
      <c r="C234" s="22"/>
      <c r="D234" s="22"/>
      <c r="E234" s="22"/>
      <c r="F234" s="22"/>
      <c r="G234" s="22"/>
      <c r="H234" s="22"/>
      <c r="I234" s="22"/>
    </row>
    <row r="235" spans="1:9" ht="15.75" customHeight="1">
      <c r="A235" s="46" t="s">
        <v>400</v>
      </c>
      <c r="B235" s="22"/>
      <c r="C235" s="22"/>
      <c r="D235" s="22"/>
      <c r="E235" s="22"/>
      <c r="F235" s="22"/>
      <c r="G235" s="22"/>
      <c r="H235" s="22"/>
      <c r="I235" s="22"/>
    </row>
    <row r="236" spans="1:9" ht="15.75" customHeight="1">
      <c r="A236" s="46"/>
      <c r="B236" s="22"/>
      <c r="C236" s="22"/>
      <c r="D236" s="22"/>
      <c r="E236" s="22"/>
      <c r="F236" s="22"/>
      <c r="G236" s="22"/>
      <c r="H236" s="22"/>
      <c r="I236" s="22"/>
    </row>
    <row r="237" spans="1:9" ht="15.75" customHeight="1">
      <c r="A237" s="46" t="s">
        <v>394</v>
      </c>
      <c r="B237" s="64">
        <f>((5.45-5)/5)*100</f>
        <v>9.0000000000000036</v>
      </c>
      <c r="C237" s="22"/>
      <c r="D237" s="22"/>
      <c r="E237" s="22"/>
      <c r="F237" s="22"/>
      <c r="G237" s="22"/>
      <c r="H237" s="22"/>
      <c r="I237" s="22"/>
    </row>
    <row r="238" spans="1:9" ht="15.75" customHeight="1">
      <c r="A238" t="s">
        <v>401</v>
      </c>
    </row>
    <row r="239" spans="1:9" ht="15.75" customHeight="1">
      <c r="A239" s="46" t="s">
        <v>48</v>
      </c>
      <c r="B239" s="62">
        <v>7</v>
      </c>
      <c r="C239" s="22"/>
    </row>
    <row r="240" spans="1:9" ht="15.75" customHeight="1">
      <c r="A240" s="46"/>
      <c r="B240" s="22"/>
      <c r="C240" s="22"/>
    </row>
    <row r="241" spans="1:3" ht="15.75" customHeight="1">
      <c r="A241" s="46" t="s">
        <v>402</v>
      </c>
      <c r="B241" s="64">
        <f>70/B239</f>
        <v>10</v>
      </c>
      <c r="C241" s="22"/>
    </row>
    <row r="242" spans="1:3" ht="15.75" customHeight="1">
      <c r="A242" s="46" t="s">
        <v>403</v>
      </c>
      <c r="B242" s="63">
        <f>2^(1/7)-1</f>
        <v>0.10408951367381225</v>
      </c>
      <c r="C242" s="22"/>
    </row>
    <row r="243" spans="1:3" ht="15.75" customHeight="1">
      <c r="A243" t="s">
        <v>404</v>
      </c>
    </row>
    <row r="244" spans="1:3" ht="15.75" customHeight="1">
      <c r="A244" s="46" t="s">
        <v>97</v>
      </c>
      <c r="B244" s="62">
        <v>550000</v>
      </c>
      <c r="C244" s="22"/>
    </row>
    <row r="245" spans="1:3" ht="15.75" customHeight="1">
      <c r="A245" s="46" t="s">
        <v>48</v>
      </c>
      <c r="B245" s="62">
        <v>3</v>
      </c>
      <c r="C245" s="22"/>
    </row>
    <row r="246" spans="1:3" ht="15.75" customHeight="1">
      <c r="A246" s="46" t="s">
        <v>303</v>
      </c>
      <c r="B246" s="62">
        <v>0.12</v>
      </c>
      <c r="C246" s="22"/>
    </row>
    <row r="247" spans="1:3" ht="15.75" customHeight="1">
      <c r="A247" s="46"/>
      <c r="B247" s="22"/>
      <c r="C247" s="22"/>
    </row>
    <row r="248" spans="1:3" ht="15.75" customHeight="1">
      <c r="A248" s="46" t="s">
        <v>107</v>
      </c>
      <c r="B248" s="64">
        <f>B244*(1-B246)^B245</f>
        <v>374809.59999999998</v>
      </c>
      <c r="C248" s="22"/>
    </row>
    <row r="249" spans="1:3" ht="15.75" customHeight="1">
      <c r="A249" s="46" t="s">
        <v>370</v>
      </c>
      <c r="B249" s="64">
        <f>B244-B248</f>
        <v>175190.40000000002</v>
      </c>
      <c r="C249" s="22"/>
    </row>
    <row r="250" spans="1:3" ht="15.75" customHeight="1">
      <c r="A250" t="s">
        <v>405</v>
      </c>
    </row>
    <row r="251" spans="1:3" ht="15.75" customHeight="1">
      <c r="A251" s="68" t="s">
        <v>189</v>
      </c>
      <c r="B251" s="41"/>
    </row>
    <row r="252" spans="1:3" ht="15.75" customHeight="1">
      <c r="A252" s="69" t="s">
        <v>97</v>
      </c>
      <c r="B252" s="70">
        <v>20000</v>
      </c>
    </row>
    <row r="253" spans="1:3" ht="15.75" customHeight="1">
      <c r="A253" s="71">
        <v>42118</v>
      </c>
      <c r="B253" s="38"/>
    </row>
    <row r="254" spans="1:3" ht="15.75" customHeight="1">
      <c r="A254" s="71">
        <v>42259</v>
      </c>
      <c r="B254" s="38"/>
    </row>
    <row r="255" spans="1:3" ht="15.75" customHeight="1">
      <c r="A255" s="69" t="s">
        <v>303</v>
      </c>
      <c r="B255" s="70">
        <v>0.1</v>
      </c>
    </row>
    <row r="256" spans="1:3" ht="15.75" customHeight="1">
      <c r="A256" s="69"/>
      <c r="B256" s="38"/>
    </row>
    <row r="257" spans="1:9" ht="15.75" customHeight="1">
      <c r="A257" s="69" t="s">
        <v>290</v>
      </c>
      <c r="B257" s="70">
        <f>_xlfn.DAYS(A254,A253)</f>
        <v>141</v>
      </c>
    </row>
    <row r="258" spans="1:9" ht="15.75" customHeight="1">
      <c r="A258" s="69" t="s">
        <v>289</v>
      </c>
      <c r="B258" s="70">
        <v>365</v>
      </c>
    </row>
    <row r="259" spans="1:9" ht="15.75" customHeight="1">
      <c r="A259" s="69" t="s">
        <v>292</v>
      </c>
      <c r="B259" s="70">
        <f>B257/B258</f>
        <v>0.38630136986301372</v>
      </c>
    </row>
    <row r="260" spans="1:9" ht="15.75" customHeight="1">
      <c r="A260" s="69"/>
      <c r="B260" s="38"/>
    </row>
    <row r="261" spans="1:9" ht="15.75" customHeight="1">
      <c r="A261" s="69" t="s">
        <v>308</v>
      </c>
      <c r="B261" s="72">
        <f>B252*(1-B255)^B259</f>
        <v>19202.32493420169</v>
      </c>
    </row>
    <row r="262" spans="1:9" ht="15.75" customHeight="1">
      <c r="A262" s="47"/>
    </row>
    <row r="263" spans="1:9" ht="15.75" customHeight="1">
      <c r="A263" s="402" t="s">
        <v>406</v>
      </c>
      <c r="B263" s="402"/>
      <c r="C263" s="402"/>
      <c r="D263" s="402"/>
      <c r="E263" s="402"/>
      <c r="F263" s="402"/>
      <c r="G263" s="402"/>
      <c r="H263" s="402"/>
      <c r="I263" s="402"/>
    </row>
    <row r="264" spans="1:9" ht="15.75" customHeight="1">
      <c r="A264" s="402"/>
      <c r="B264" s="402"/>
      <c r="C264" s="402"/>
      <c r="D264" s="402"/>
      <c r="E264" s="402"/>
      <c r="F264" s="402"/>
      <c r="G264" s="402"/>
      <c r="H264" s="402"/>
      <c r="I264" s="402"/>
    </row>
    <row r="265" spans="1:9" ht="15.75" customHeight="1">
      <c r="A265" s="402"/>
      <c r="B265" s="402"/>
      <c r="C265" s="402"/>
      <c r="D265" s="402"/>
      <c r="E265" s="402"/>
      <c r="F265" s="402"/>
      <c r="G265" s="402"/>
      <c r="H265" s="402"/>
      <c r="I265" s="402"/>
    </row>
    <row r="266" spans="1:9" ht="15.75" customHeight="1">
      <c r="A266" s="402"/>
      <c r="B266" s="402"/>
      <c r="C266" s="402"/>
      <c r="D266" s="402"/>
      <c r="E266" s="402"/>
      <c r="F266" s="402"/>
      <c r="G266" s="402"/>
      <c r="H266" s="402"/>
      <c r="I266" s="402"/>
    </row>
    <row r="267" spans="1:9" ht="15.75" customHeight="1">
      <c r="A267" s="402"/>
      <c r="B267" s="402"/>
      <c r="C267" s="402"/>
      <c r="D267" s="402"/>
      <c r="E267" s="402"/>
      <c r="F267" s="402"/>
      <c r="G267" s="402"/>
      <c r="H267" s="402"/>
      <c r="I267" s="402"/>
    </row>
    <row r="268" spans="1:9" ht="15.75" customHeight="1">
      <c r="A268" s="402"/>
      <c r="B268" s="402"/>
      <c r="C268" s="402"/>
      <c r="D268" s="402"/>
      <c r="E268" s="402"/>
      <c r="F268" s="402"/>
      <c r="G268" s="402"/>
      <c r="H268" s="402"/>
      <c r="I268" s="402"/>
    </row>
    <row r="269" spans="1:9" ht="15.75" customHeight="1">
      <c r="A269" s="402"/>
      <c r="B269" s="402"/>
      <c r="C269" s="402"/>
      <c r="D269" s="402"/>
      <c r="E269" s="402"/>
      <c r="F269" s="402"/>
      <c r="G269" s="402"/>
      <c r="H269" s="402"/>
      <c r="I269" s="402"/>
    </row>
    <row r="270" spans="1:9" ht="15.75" customHeight="1">
      <c r="A270" t="s">
        <v>407</v>
      </c>
      <c r="C270" s="22"/>
      <c r="D270" s="22"/>
    </row>
    <row r="271" spans="1:9" ht="15.75" customHeight="1">
      <c r="A271" s="61"/>
      <c r="H271" s="22"/>
    </row>
    <row r="272" spans="1:9" ht="15.75" customHeight="1">
      <c r="A272" s="46" t="s">
        <v>290</v>
      </c>
      <c r="B272" s="62">
        <v>0.4</v>
      </c>
      <c r="C272" s="22"/>
      <c r="D272" s="22"/>
    </row>
    <row r="273" spans="1:9" ht="15.75" customHeight="1">
      <c r="A273" s="46" t="s">
        <v>322</v>
      </c>
      <c r="B273" s="22" t="s">
        <v>408</v>
      </c>
      <c r="C273" s="22"/>
      <c r="D273" s="22"/>
    </row>
    <row r="274" spans="1:9" ht="15.75" customHeight="1">
      <c r="A274" s="46" t="s">
        <v>328</v>
      </c>
      <c r="B274" s="22" t="s">
        <v>409</v>
      </c>
      <c r="C274" s="22"/>
      <c r="D274" s="22"/>
    </row>
    <row r="275" spans="1:9" ht="15.75" customHeight="1">
      <c r="A275" s="46"/>
      <c r="B275" s="22"/>
      <c r="C275" s="22"/>
      <c r="D275" s="22"/>
    </row>
    <row r="276" spans="1:9" ht="15.75" customHeight="1">
      <c r="A276" s="46" t="s">
        <v>322</v>
      </c>
      <c r="B276" s="22" t="s">
        <v>410</v>
      </c>
      <c r="C276" s="22"/>
      <c r="D276" s="22"/>
    </row>
    <row r="277" spans="1:9" ht="15.75" customHeight="1">
      <c r="A277" s="46"/>
      <c r="B277" s="22" t="s">
        <v>411</v>
      </c>
      <c r="C277" s="22"/>
      <c r="D277" s="22"/>
    </row>
    <row r="278" spans="1:9" ht="15.75" customHeight="1">
      <c r="A278" s="46"/>
      <c r="B278" s="22" t="s">
        <v>412</v>
      </c>
      <c r="C278" s="22"/>
      <c r="D278" s="22"/>
    </row>
    <row r="279" spans="1:9" ht="15.75" customHeight="1">
      <c r="A279" s="46"/>
      <c r="B279" s="22"/>
      <c r="C279" s="22"/>
      <c r="D279" s="22"/>
    </row>
    <row r="280" spans="1:9" ht="15.75" customHeight="1">
      <c r="A280" s="46" t="s">
        <v>322</v>
      </c>
      <c r="B280" s="63">
        <v>0.16871</v>
      </c>
      <c r="C280" s="22"/>
      <c r="D280" s="22"/>
    </row>
    <row r="281" spans="1:9" ht="15.75" customHeight="1">
      <c r="A281" s="46" t="s">
        <v>328</v>
      </c>
      <c r="B281" s="63">
        <f>B280*1.173</f>
        <v>0.19789683</v>
      </c>
      <c r="C281" s="22"/>
      <c r="D281" s="22"/>
    </row>
    <row r="282" spans="1:9" ht="15.75" customHeight="1">
      <c r="A282" s="47"/>
    </row>
    <row r="283" spans="1:9" ht="15.75" customHeight="1">
      <c r="A283" t="s">
        <v>413</v>
      </c>
    </row>
    <row r="284" spans="1:9" ht="15.75" customHeight="1">
      <c r="A284" s="46" t="s">
        <v>414</v>
      </c>
      <c r="B284" s="22"/>
      <c r="C284" s="22"/>
      <c r="D284" s="22" t="s">
        <v>415</v>
      </c>
      <c r="E284" s="22"/>
      <c r="F284" s="22"/>
      <c r="G284" s="22" t="s">
        <v>416</v>
      </c>
      <c r="H284" s="22"/>
      <c r="I284" s="22"/>
    </row>
    <row r="285" spans="1:9" ht="15.75" customHeight="1">
      <c r="A285" s="73">
        <f>((1+0.03)^4)-1</f>
        <v>0.12550880999999992</v>
      </c>
      <c r="B285" s="22"/>
      <c r="C285" s="22"/>
      <c r="D285" s="63">
        <f>((1+0.03)^6)-1</f>
        <v>0.19405229652899991</v>
      </c>
      <c r="E285" s="22"/>
      <c r="F285" s="22"/>
      <c r="G285" s="63">
        <f>((1+0.03)^12)-1</f>
        <v>0.42576088684617863</v>
      </c>
      <c r="H285" s="22"/>
      <c r="I285" s="22"/>
    </row>
    <row r="286" spans="1:9" ht="15.75" customHeight="1">
      <c r="A286" s="47"/>
    </row>
    <row r="287" spans="1:9" ht="15.75" customHeight="1">
      <c r="A287" t="s">
        <v>417</v>
      </c>
    </row>
    <row r="288" spans="1:9" ht="15.75" customHeight="1">
      <c r="A288" s="46" t="s">
        <v>418</v>
      </c>
      <c r="B288" s="66">
        <v>0.2</v>
      </c>
      <c r="C288" s="22"/>
      <c r="D288" s="22"/>
    </row>
    <row r="289" spans="1:5" ht="15.75" customHeight="1">
      <c r="A289" s="46"/>
      <c r="B289" s="22"/>
      <c r="C289" s="22"/>
      <c r="D289" s="22"/>
    </row>
    <row r="290" spans="1:5" ht="15.75" customHeight="1">
      <c r="A290" s="46" t="s">
        <v>419</v>
      </c>
      <c r="B290" s="22"/>
      <c r="C290" s="22"/>
      <c r="D290" s="22"/>
    </row>
    <row r="291" spans="1:5" ht="15.75" customHeight="1">
      <c r="A291" s="46"/>
      <c r="B291" s="22"/>
      <c r="C291" s="22"/>
      <c r="D291" s="22"/>
    </row>
    <row r="292" spans="1:5" ht="15.75" customHeight="1">
      <c r="A292" s="46" t="s">
        <v>420</v>
      </c>
      <c r="B292" s="63">
        <f>(1+B288)^(1/4)-1</f>
        <v>4.6635139392105618E-2</v>
      </c>
      <c r="C292" s="22"/>
      <c r="D292" s="22"/>
    </row>
    <row r="293" spans="1:5" ht="15.75" customHeight="1">
      <c r="A293" t="s">
        <v>421</v>
      </c>
    </row>
    <row r="294" spans="1:5" ht="15.75" customHeight="1">
      <c r="A294" s="46" t="s">
        <v>422</v>
      </c>
      <c r="B294" s="66">
        <v>0.08</v>
      </c>
      <c r="C294" s="22"/>
    </row>
    <row r="295" spans="1:5" ht="15.75" customHeight="1">
      <c r="A295" s="46" t="s">
        <v>82</v>
      </c>
      <c r="B295" s="66">
        <v>0.1</v>
      </c>
      <c r="C295" s="22"/>
    </row>
    <row r="296" spans="1:5" ht="15.75" customHeight="1">
      <c r="A296" s="46" t="s">
        <v>160</v>
      </c>
      <c r="B296" s="74">
        <f>B295+B294*(1+B295)</f>
        <v>0.188</v>
      </c>
      <c r="C296" s="22"/>
    </row>
    <row r="297" spans="1:5" ht="15.75" customHeight="1">
      <c r="A297" t="s">
        <v>423</v>
      </c>
    </row>
    <row r="298" spans="1:5" ht="15.75" customHeight="1">
      <c r="A298" s="47"/>
    </row>
    <row r="299" spans="1:5" ht="15.75" customHeight="1">
      <c r="A299" s="46" t="s">
        <v>424</v>
      </c>
      <c r="B299" s="62">
        <v>1.1000000000000001</v>
      </c>
      <c r="C299" s="22"/>
      <c r="D299" s="22"/>
      <c r="E299" s="22"/>
    </row>
    <row r="300" spans="1:5" ht="15.75" customHeight="1">
      <c r="A300" s="46" t="s">
        <v>43</v>
      </c>
      <c r="B300" s="62">
        <v>0.15</v>
      </c>
      <c r="C300" s="22"/>
      <c r="D300" s="22"/>
      <c r="E300" s="22"/>
    </row>
    <row r="301" spans="1:5" ht="15.75" customHeight="1">
      <c r="A301" s="46"/>
      <c r="B301" s="22"/>
      <c r="C301" s="22"/>
      <c r="D301" s="22"/>
      <c r="E301" s="22"/>
    </row>
    <row r="302" spans="1:5" ht="15.75" customHeight="1">
      <c r="A302" s="46" t="s">
        <v>425</v>
      </c>
      <c r="B302" s="62">
        <v>0.15</v>
      </c>
      <c r="C302" s="22"/>
      <c r="D302" s="22"/>
      <c r="E302" s="22"/>
    </row>
    <row r="303" spans="1:5" ht="15.75" customHeight="1">
      <c r="A303" s="46" t="s">
        <v>426</v>
      </c>
      <c r="B303" s="75">
        <v>0.161</v>
      </c>
      <c r="C303" s="62">
        <v>12</v>
      </c>
      <c r="D303" s="63">
        <f>(1+B303)/B299-1</f>
        <v>5.5454545454545423E-2</v>
      </c>
      <c r="E303" s="22"/>
    </row>
    <row r="304" spans="1:5" ht="15.75" customHeight="1">
      <c r="A304" s="46"/>
      <c r="B304" s="75">
        <v>0.16200000000000001</v>
      </c>
      <c r="C304" s="62">
        <v>365</v>
      </c>
      <c r="D304" s="63">
        <f>(1+B304)/B299-1</f>
        <v>5.6363636363636171E-2</v>
      </c>
      <c r="E304" s="22"/>
    </row>
    <row r="305" spans="1:5" ht="15.75" customHeight="1">
      <c r="A305" s="46"/>
      <c r="B305" s="75">
        <v>0.15865041503906308</v>
      </c>
      <c r="C305" s="62">
        <v>4</v>
      </c>
      <c r="D305" s="63">
        <f>(1+B305)/B299-1</f>
        <v>5.3318559126420917E-2</v>
      </c>
      <c r="E305" s="22"/>
    </row>
    <row r="306" spans="1:5" ht="15.75" customHeight="1">
      <c r="A306" s="47"/>
    </row>
    <row r="307" spans="1:5" ht="15.75" customHeight="1">
      <c r="A307" t="s">
        <v>427</v>
      </c>
    </row>
    <row r="308" spans="1:5" ht="15.75" customHeight="1">
      <c r="A308" s="22" t="s">
        <v>107</v>
      </c>
      <c r="B308" s="62">
        <v>120000</v>
      </c>
    </row>
    <row r="309" spans="1:5" ht="15.75" customHeight="1">
      <c r="A309" s="22" t="s">
        <v>43</v>
      </c>
      <c r="B309" s="66">
        <v>0.1</v>
      </c>
    </row>
    <row r="310" spans="1:5" ht="15.75" customHeight="1">
      <c r="A310" s="22" t="s">
        <v>428</v>
      </c>
      <c r="B310" s="66">
        <v>7.0000000000000007E-2</v>
      </c>
    </row>
    <row r="311" spans="1:5" ht="15.75" customHeight="1">
      <c r="A311" s="22"/>
      <c r="B311" s="22"/>
    </row>
    <row r="312" spans="1:5" ht="15.75" customHeight="1">
      <c r="A312" s="22" t="s">
        <v>425</v>
      </c>
      <c r="B312" s="63">
        <f>(1+B309)/(1+B310)-1</f>
        <v>2.8037383177570208E-2</v>
      </c>
    </row>
    <row r="313" spans="1:5" ht="15.75" customHeight="1">
      <c r="A313" s="22" t="s">
        <v>97</v>
      </c>
      <c r="B313" s="76">
        <f>B308*(1+B312*1/2)</f>
        <v>121682.24299065419</v>
      </c>
    </row>
    <row r="314" spans="1:5" ht="15.75" customHeight="1">
      <c r="A314" t="s">
        <v>429</v>
      </c>
    </row>
    <row r="315" spans="1:5" ht="15.75" customHeight="1">
      <c r="A315" s="26"/>
    </row>
    <row r="316" spans="1:5" ht="15.75" customHeight="1">
      <c r="A316" s="22" t="s">
        <v>430</v>
      </c>
      <c r="B316" s="62">
        <f>((1+0.03)^2)-1</f>
        <v>6.0899999999999954E-2</v>
      </c>
      <c r="C316" s="22"/>
      <c r="D316" s="22"/>
      <c r="E316" s="22"/>
    </row>
    <row r="317" spans="1:5" ht="15.75" customHeight="1">
      <c r="A317" s="22"/>
      <c r="B317" s="22"/>
      <c r="C317" s="22"/>
      <c r="D317" s="22"/>
      <c r="E317" s="22"/>
    </row>
    <row r="318" spans="1:5" ht="15.75" customHeight="1">
      <c r="A318" s="22" t="s">
        <v>431</v>
      </c>
      <c r="B318" s="62">
        <f>((1+(0.12/4))^4) -1</f>
        <v>0.12550880999999992</v>
      </c>
      <c r="C318" s="22"/>
      <c r="D318" s="22"/>
      <c r="E318" s="22"/>
    </row>
    <row r="319" spans="1:5" ht="15.75" customHeight="1">
      <c r="A319" s="22"/>
      <c r="B319" s="22"/>
      <c r="C319" s="22"/>
      <c r="D319" s="22"/>
      <c r="E319" s="22"/>
    </row>
    <row r="320" spans="1:5" ht="15.75" customHeight="1">
      <c r="A320" s="22" t="s">
        <v>432</v>
      </c>
      <c r="B320" s="62">
        <f>D320/E320</f>
        <v>6.0899999999999968E-2</v>
      </c>
      <c r="C320" s="22"/>
      <c r="D320" s="62">
        <f>B318-B316</f>
        <v>6.4608809999999961E-2</v>
      </c>
      <c r="E320" s="62">
        <f>1+B316</f>
        <v>1.0609</v>
      </c>
    </row>
    <row r="321" spans="1:5" ht="15.75" customHeight="1">
      <c r="A321" s="22"/>
      <c r="B321" s="22"/>
      <c r="C321" s="22"/>
      <c r="D321" s="22"/>
      <c r="E321" s="22"/>
    </row>
    <row r="322" spans="1:5" ht="15.75" customHeight="1">
      <c r="A322" s="22" t="s">
        <v>420</v>
      </c>
      <c r="B322" s="64">
        <f>(1000000*(1+B320)^5) -1000000</f>
        <v>343916.37934412179</v>
      </c>
      <c r="C322" s="22"/>
      <c r="D322" s="22"/>
      <c r="E322" s="22"/>
    </row>
    <row r="323" spans="1:5" ht="15.75" customHeight="1">
      <c r="A323" s="47"/>
    </row>
    <row r="324" spans="1:5" ht="15.75" customHeight="1">
      <c r="A324" t="s">
        <v>433</v>
      </c>
    </row>
    <row r="325" spans="1:5" ht="15.75" customHeight="1">
      <c r="A325" s="22" t="s">
        <v>82</v>
      </c>
      <c r="B325" s="62">
        <v>0.28000000000000003</v>
      </c>
      <c r="C325" s="22"/>
    </row>
    <row r="326" spans="1:5" ht="15.75" customHeight="1">
      <c r="A326" s="77">
        <v>2.5000000000000001E-2</v>
      </c>
      <c r="B326" s="22" t="s">
        <v>434</v>
      </c>
      <c r="C326" s="62">
        <f>1500000*((1+B325/(12/100))-A326)</f>
        <v>4962500</v>
      </c>
    </row>
    <row r="327" spans="1:5" ht="15.75" customHeight="1">
      <c r="A327" s="66">
        <v>0.02</v>
      </c>
      <c r="B327" s="22" t="s">
        <v>435</v>
      </c>
      <c r="C327" s="62">
        <f>1500000*((1+B325/(12/100))-A327)</f>
        <v>4970000</v>
      </c>
    </row>
    <row r="328" spans="1:5" ht="15.75" customHeight="1">
      <c r="A328" s="75">
        <v>1.7999999999999999E-2</v>
      </c>
      <c r="B328" s="22" t="s">
        <v>436</v>
      </c>
      <c r="C328" s="62">
        <f>1500000*((1+B325/(12/100))-A328)</f>
        <v>4973000.0000000009</v>
      </c>
    </row>
    <row r="329" spans="1:5" ht="15.75" customHeight="1">
      <c r="A329" s="22"/>
      <c r="B329" s="22"/>
      <c r="C329" s="22"/>
    </row>
    <row r="330" spans="1:5" ht="15.75" customHeight="1">
      <c r="A330" s="22"/>
      <c r="B330" s="22" t="s">
        <v>160</v>
      </c>
      <c r="C330" s="67">
        <f>SUM(C326:C328)</f>
        <v>14905500</v>
      </c>
    </row>
    <row r="331" spans="1:5" ht="15.75" customHeight="1">
      <c r="A331" s="78" t="s">
        <v>73</v>
      </c>
    </row>
    <row r="332" spans="1:5" ht="15.75" customHeight="1">
      <c r="A332" s="25"/>
    </row>
    <row r="333" spans="1:5" ht="15.75" customHeight="1">
      <c r="A333" s="407" t="s">
        <v>437</v>
      </c>
      <c r="B333" s="407"/>
      <c r="C333" s="407"/>
      <c r="D333" s="407"/>
      <c r="E333" s="407"/>
    </row>
    <row r="334" spans="1:5" ht="15.75" customHeight="1">
      <c r="A334" s="407"/>
      <c r="B334" s="407"/>
      <c r="C334" s="407"/>
      <c r="D334" s="407"/>
      <c r="E334" s="407"/>
    </row>
    <row r="335" spans="1:5" ht="15.75" customHeight="1">
      <c r="A335" s="407"/>
      <c r="B335" s="407"/>
      <c r="C335" s="407"/>
      <c r="D335" s="407"/>
      <c r="E335" s="407"/>
    </row>
    <row r="336" spans="1:5" ht="15.75" customHeight="1">
      <c r="A336" s="407"/>
      <c r="B336" s="407"/>
      <c r="C336" s="407"/>
      <c r="D336" s="407"/>
      <c r="E336" s="407"/>
    </row>
    <row r="337" spans="1:5" ht="15.75" customHeight="1">
      <c r="A337" s="407"/>
      <c r="B337" s="407"/>
      <c r="C337" s="407"/>
      <c r="D337" s="407"/>
      <c r="E337" s="407"/>
    </row>
    <row r="338" spans="1:5" ht="15.75" customHeight="1">
      <c r="A338" s="407"/>
      <c r="B338" s="407"/>
      <c r="C338" s="407"/>
      <c r="D338" s="407"/>
      <c r="E338" s="407"/>
    </row>
    <row r="339" spans="1:5" ht="15.75" customHeight="1">
      <c r="A339" s="407"/>
      <c r="B339" s="407"/>
      <c r="C339" s="407"/>
      <c r="D339" s="407"/>
      <c r="E339" s="407"/>
    </row>
    <row r="340" spans="1:5" ht="15.75" customHeight="1">
      <c r="A340" s="373" t="s">
        <v>394</v>
      </c>
      <c r="B340" s="373">
        <v>100</v>
      </c>
      <c r="C340" s="373"/>
      <c r="D340" s="373"/>
      <c r="E340" s="373"/>
    </row>
    <row r="341" spans="1:5" ht="15.75" customHeight="1">
      <c r="A341" s="373" t="s">
        <v>76</v>
      </c>
      <c r="B341" s="373">
        <v>36000</v>
      </c>
      <c r="C341" s="373"/>
      <c r="D341" s="373"/>
      <c r="E341" s="374"/>
    </row>
    <row r="342" spans="1:5" ht="15.75" customHeight="1">
      <c r="A342" s="373" t="s">
        <v>82</v>
      </c>
      <c r="B342" s="373">
        <v>0.14000000000000001</v>
      </c>
      <c r="C342" s="373"/>
      <c r="D342" s="373"/>
      <c r="E342" s="373"/>
    </row>
    <row r="343" spans="1:5" ht="15.75" customHeight="1">
      <c r="A343" s="373" t="s">
        <v>192</v>
      </c>
      <c r="B343" s="373">
        <f>B340/365</f>
        <v>0.27397260273972601</v>
      </c>
      <c r="C343" s="373"/>
      <c r="D343" s="373"/>
      <c r="E343" s="373"/>
    </row>
    <row r="344" spans="1:5" ht="15.75" customHeight="1">
      <c r="A344" s="373" t="s">
        <v>75</v>
      </c>
      <c r="B344" s="373">
        <f>B341/(1+B343*B342)</f>
        <v>34670.184696569915</v>
      </c>
      <c r="C344" s="373"/>
      <c r="D344" s="373"/>
      <c r="E344" s="373"/>
    </row>
    <row r="345" spans="1:5" ht="15.75" customHeight="1">
      <c r="A345" s="373" t="s">
        <v>438</v>
      </c>
      <c r="B345" s="373">
        <f>B341-B344</f>
        <v>1329.8153034300849</v>
      </c>
      <c r="C345" s="373"/>
      <c r="D345" s="373"/>
      <c r="E345" s="373"/>
    </row>
    <row r="346" spans="1:5" ht="15.75" customHeight="1">
      <c r="A346" s="373"/>
      <c r="B346" s="373"/>
      <c r="C346" s="373"/>
      <c r="D346" s="21"/>
      <c r="E346" s="373"/>
    </row>
    <row r="347" spans="1:5" ht="15.75" customHeight="1">
      <c r="A347" s="373"/>
      <c r="B347" s="373"/>
      <c r="C347" s="373"/>
      <c r="D347" s="373"/>
      <c r="E347" s="373"/>
    </row>
    <row r="348" spans="1:5" ht="15.75" customHeight="1">
      <c r="A348" s="373"/>
      <c r="B348" s="373"/>
      <c r="C348" s="373"/>
      <c r="D348" s="373"/>
      <c r="E348" s="373"/>
    </row>
    <row r="349" spans="1:5" ht="15.75" customHeight="1">
      <c r="A349" s="373"/>
      <c r="B349" s="373"/>
      <c r="C349" s="373"/>
      <c r="D349" s="21"/>
      <c r="E349" s="373"/>
    </row>
    <row r="350" spans="1:5" ht="15.75" customHeight="1">
      <c r="A350" s="23"/>
    </row>
    <row r="351" spans="1:5" ht="15.75" customHeight="1">
      <c r="A351" s="24" t="s">
        <v>439</v>
      </c>
    </row>
    <row r="352" spans="1:5" ht="15.75" customHeight="1">
      <c r="A352" t="s">
        <v>394</v>
      </c>
      <c r="B352" s="2">
        <v>0.2</v>
      </c>
    </row>
    <row r="353" spans="1:6" ht="15.75" customHeight="1">
      <c r="A353" t="s">
        <v>192</v>
      </c>
      <c r="B353">
        <v>30</v>
      </c>
      <c r="F353" t="s">
        <v>440</v>
      </c>
    </row>
    <row r="354" spans="1:6" ht="15.75" customHeight="1"/>
    <row r="355" spans="1:6" ht="15.75" customHeight="1">
      <c r="A355" t="s">
        <v>441</v>
      </c>
      <c r="D355" t="s">
        <v>442</v>
      </c>
      <c r="E355">
        <f>1-B352*B353/365</f>
        <v>0.98356164383561639</v>
      </c>
    </row>
    <row r="356" spans="1:6" ht="15.75" customHeight="1">
      <c r="A356" t="s">
        <v>82</v>
      </c>
      <c r="B356" s="16">
        <f>(1-E355)/(E355*(30/365))</f>
        <v>0.20334261838440165</v>
      </c>
      <c r="D356" t="s">
        <v>443</v>
      </c>
    </row>
    <row r="357" spans="1:6" ht="15.75" customHeight="1">
      <c r="A357" s="24" t="s">
        <v>444</v>
      </c>
    </row>
    <row r="358" spans="1:6" ht="15.75" customHeight="1">
      <c r="A358" t="s">
        <v>76</v>
      </c>
      <c r="B358">
        <v>200000</v>
      </c>
    </row>
    <row r="359" spans="1:6" ht="15.75" customHeight="1">
      <c r="A359" t="s">
        <v>192</v>
      </c>
      <c r="B359">
        <v>3</v>
      </c>
    </row>
    <row r="360" spans="1:6" ht="15.75" customHeight="1">
      <c r="A360" t="s">
        <v>394</v>
      </c>
      <c r="B360" s="2">
        <v>0.17</v>
      </c>
    </row>
    <row r="361" spans="1:6" ht="15.75" customHeight="1"/>
    <row r="362" spans="1:6" ht="15.75" customHeight="1">
      <c r="A362" t="s">
        <v>445</v>
      </c>
      <c r="B362" s="16">
        <f>B358*(1-B360)^B359</f>
        <v>114357.39999999998</v>
      </c>
    </row>
    <row r="363" spans="1:6" ht="15.75" customHeight="1">
      <c r="A363" t="s">
        <v>438</v>
      </c>
      <c r="B363" s="16">
        <f>B358-B362</f>
        <v>85642.60000000002</v>
      </c>
    </row>
    <row r="364" spans="1:6" ht="15.75" customHeight="1">
      <c r="A364" s="23"/>
    </row>
    <row r="365" spans="1:6" ht="15.75" customHeight="1">
      <c r="A365" s="24" t="s">
        <v>446</v>
      </c>
    </row>
    <row r="366" spans="1:6" ht="15.75" customHeight="1">
      <c r="A366" s="24"/>
    </row>
    <row r="367" spans="1:6" ht="15.75" customHeight="1">
      <c r="A367" t="s">
        <v>76</v>
      </c>
      <c r="B367">
        <v>200000</v>
      </c>
    </row>
    <row r="368" spans="1:6" ht="15.75" customHeight="1">
      <c r="A368" t="s">
        <v>394</v>
      </c>
      <c r="B368" s="2">
        <v>0.1</v>
      </c>
    </row>
    <row r="369" spans="1:7" ht="15.75" customHeight="1">
      <c r="A369" s="20">
        <v>42047</v>
      </c>
    </row>
    <row r="370" spans="1:7" ht="15.75" customHeight="1">
      <c r="A370" s="20">
        <v>42226</v>
      </c>
    </row>
    <row r="371" spans="1:7" ht="15.75" customHeight="1">
      <c r="A371">
        <f>_xlfn.DAYS(A370,A369)</f>
        <v>179</v>
      </c>
    </row>
    <row r="372" spans="1:7" ht="15.75" customHeight="1">
      <c r="A372" s="16">
        <f>B367*(1-B368)^(A371/365)</f>
        <v>189928.44862191542</v>
      </c>
    </row>
    <row r="373" spans="1:7" ht="15.75" customHeight="1">
      <c r="A373" s="402" t="s">
        <v>447</v>
      </c>
      <c r="B373" s="402"/>
      <c r="C373" s="402"/>
      <c r="D373" s="402"/>
      <c r="E373" s="402"/>
      <c r="F373" s="402"/>
    </row>
    <row r="374" spans="1:7" ht="15.75" customHeight="1">
      <c r="A374" s="402"/>
      <c r="B374" s="402"/>
      <c r="C374" s="402"/>
      <c r="D374" s="402"/>
      <c r="E374" s="402"/>
      <c r="F374" s="402"/>
    </row>
    <row r="375" spans="1:7" ht="15.75" customHeight="1">
      <c r="A375" s="402"/>
      <c r="B375" s="402"/>
      <c r="C375" s="402"/>
      <c r="D375" s="402"/>
      <c r="E375" s="402"/>
      <c r="F375" s="402"/>
    </row>
    <row r="376" spans="1:7" ht="15.75" customHeight="1">
      <c r="A376" s="402"/>
      <c r="B376" s="402"/>
      <c r="C376" s="402"/>
      <c r="D376" s="402"/>
      <c r="E376" s="402"/>
      <c r="F376" s="402"/>
    </row>
    <row r="377" spans="1:7" ht="15.75" customHeight="1">
      <c r="A377" t="s">
        <v>448</v>
      </c>
      <c r="B377" s="2">
        <v>0.05</v>
      </c>
    </row>
    <row r="378" spans="1:7" ht="15.75" customHeight="1">
      <c r="A378" t="s">
        <v>192</v>
      </c>
      <c r="B378">
        <v>2</v>
      </c>
      <c r="F378" t="s">
        <v>449</v>
      </c>
      <c r="G378">
        <f>(1-B377)^B378</f>
        <v>0.90249999999999997</v>
      </c>
    </row>
    <row r="379" spans="1:7" ht="15.75" customHeight="1">
      <c r="A379" t="s">
        <v>450</v>
      </c>
      <c r="D379" t="s">
        <v>451</v>
      </c>
    </row>
    <row r="380" spans="1:7" ht="15.75" customHeight="1">
      <c r="D380" t="s">
        <v>452</v>
      </c>
      <c r="E380" s="16">
        <f>(G378-1)/-B378</f>
        <v>4.8750000000000016E-2</v>
      </c>
    </row>
    <row r="381" spans="1:7" ht="15.75" customHeight="1">
      <c r="A381" s="24"/>
    </row>
    <row r="382" spans="1:7" ht="15.75" customHeight="1">
      <c r="A382" s="403" t="s">
        <v>453</v>
      </c>
      <c r="B382" s="403"/>
      <c r="C382" s="403"/>
      <c r="D382" s="403"/>
      <c r="E382" s="403"/>
      <c r="F382" s="403"/>
    </row>
    <row r="383" spans="1:7" ht="15.75" customHeight="1">
      <c r="A383" s="403"/>
      <c r="B383" s="403"/>
      <c r="C383" s="403"/>
      <c r="D383" s="403"/>
      <c r="E383" s="403"/>
      <c r="F383" s="403"/>
    </row>
    <row r="384" spans="1:7" ht="15.75" customHeight="1">
      <c r="A384" s="403"/>
      <c r="B384" s="403"/>
      <c r="C384" s="403"/>
      <c r="D384" s="403"/>
      <c r="E384" s="403"/>
      <c r="F384" s="403"/>
    </row>
    <row r="385" spans="1:7" ht="15.75" customHeight="1">
      <c r="A385" s="403"/>
      <c r="B385" s="403"/>
      <c r="C385" s="403"/>
      <c r="D385" s="403"/>
      <c r="E385" s="403"/>
      <c r="F385" s="403"/>
    </row>
    <row r="386" spans="1:7" ht="15.75" customHeight="1">
      <c r="A386" s="403"/>
      <c r="B386" s="403"/>
      <c r="C386" s="403"/>
      <c r="D386" s="403"/>
      <c r="E386" s="403"/>
      <c r="F386" s="403"/>
    </row>
    <row r="387" spans="1:7" ht="15.75" customHeight="1">
      <c r="A387" s="403"/>
      <c r="B387" s="403"/>
      <c r="C387" s="403"/>
      <c r="D387" s="403"/>
      <c r="E387" s="403"/>
      <c r="F387" s="403"/>
    </row>
    <row r="388" spans="1:7" ht="15.75" customHeight="1">
      <c r="A388" s="47"/>
    </row>
    <row r="389" spans="1:7" ht="15.75" customHeight="1">
      <c r="A389" s="47"/>
      <c r="F389" t="s">
        <v>454</v>
      </c>
      <c r="G389">
        <v>100</v>
      </c>
    </row>
    <row r="390" spans="1:7" ht="15.75" customHeight="1">
      <c r="A390" s="47"/>
      <c r="F390" t="s">
        <v>455</v>
      </c>
      <c r="G390">
        <v>112</v>
      </c>
    </row>
    <row r="391" spans="1:7" ht="15.75" customHeight="1">
      <c r="A391" s="47"/>
      <c r="F391" t="s">
        <v>456</v>
      </c>
      <c r="G391" s="2">
        <v>0.14000000000000001</v>
      </c>
    </row>
    <row r="392" spans="1:7" ht="15.75" customHeight="1">
      <c r="A392" s="47"/>
      <c r="G392" s="309"/>
    </row>
    <row r="393" spans="1:7" ht="15.75" customHeight="1">
      <c r="A393" s="47"/>
      <c r="F393" t="s">
        <v>457</v>
      </c>
    </row>
    <row r="394" spans="1:7" ht="15.75" customHeight="1">
      <c r="A394" s="47"/>
      <c r="F394" t="s">
        <v>458</v>
      </c>
      <c r="G394">
        <f>G389/(1+G391)</f>
        <v>87.719298245614027</v>
      </c>
    </row>
    <row r="395" spans="1:7" ht="15.75" customHeight="1">
      <c r="A395" s="47"/>
    </row>
    <row r="396" spans="1:7" ht="15.75" customHeight="1">
      <c r="A396" s="47"/>
    </row>
    <row r="397" spans="1:7" ht="15.75" customHeight="1">
      <c r="A397" s="47"/>
    </row>
    <row r="398" spans="1:7" ht="15.75" customHeight="1">
      <c r="A398" s="47"/>
    </row>
    <row r="399" spans="1:7" ht="15.75" customHeight="1">
      <c r="A399" s="47"/>
      <c r="F399" t="s">
        <v>82</v>
      </c>
      <c r="G399">
        <f>G390/G389-1</f>
        <v>0.12000000000000011</v>
      </c>
    </row>
    <row r="400" spans="1:7" ht="15.75" customHeight="1">
      <c r="A400" s="47"/>
      <c r="F400" t="s">
        <v>459</v>
      </c>
      <c r="G400" s="2">
        <f>(G399-G391)/(1+G391)</f>
        <v>-1.7543859649122723E-2</v>
      </c>
    </row>
    <row r="401" spans="1:8" ht="15.75" customHeight="1">
      <c r="A401" s="47"/>
      <c r="F401" t="s">
        <v>460</v>
      </c>
      <c r="G401" s="3">
        <f>(G399-10%)/(1+10%)</f>
        <v>1.8181818181818271E-2</v>
      </c>
      <c r="H401" t="s">
        <v>461</v>
      </c>
    </row>
    <row r="402" spans="1:8" ht="15.75" customHeight="1">
      <c r="A402" s="47"/>
    </row>
    <row r="403" spans="1:8" ht="15.75" customHeight="1">
      <c r="A403" s="47"/>
    </row>
    <row r="404" spans="1:8" ht="15.75" customHeight="1">
      <c r="A404" s="47"/>
    </row>
    <row r="405" spans="1:8" ht="15.75" customHeight="1">
      <c r="A405" s="47"/>
    </row>
    <row r="406" spans="1:8" ht="15.75" customHeight="1">
      <c r="A406" s="47"/>
    </row>
    <row r="407" spans="1:8" ht="15.75" customHeight="1">
      <c r="A407" s="47"/>
    </row>
    <row r="408" spans="1:8" ht="15.75" customHeight="1">
      <c r="A408" s="47"/>
    </row>
    <row r="409" spans="1:8" ht="15.75" customHeight="1">
      <c r="A409" s="47"/>
    </row>
    <row r="410" spans="1:8" ht="15.75" customHeight="1">
      <c r="A410" s="47"/>
    </row>
    <row r="411" spans="1:8" ht="15.75" customHeight="1">
      <c r="A411" s="47"/>
    </row>
    <row r="412" spans="1:8" ht="15.75" customHeight="1">
      <c r="A412" s="47"/>
    </row>
    <row r="413" spans="1:8" ht="15.75" customHeight="1">
      <c r="A413" s="47"/>
    </row>
    <row r="414" spans="1:8" ht="15.75" customHeight="1">
      <c r="A414" s="47"/>
    </row>
    <row r="415" spans="1:8" ht="15.75" customHeight="1">
      <c r="A415" s="47"/>
    </row>
    <row r="416" spans="1:8" ht="15.75" customHeight="1">
      <c r="A416" s="47"/>
    </row>
    <row r="417" spans="1:1" ht="15.75" customHeight="1">
      <c r="A417" s="47"/>
    </row>
    <row r="418" spans="1:1" ht="15.75" customHeight="1">
      <c r="A418" s="47"/>
    </row>
    <row r="419" spans="1:1" ht="15.75" customHeight="1">
      <c r="A419" s="47"/>
    </row>
    <row r="420" spans="1:1" ht="15.75" customHeight="1">
      <c r="A420" s="47"/>
    </row>
    <row r="421" spans="1:1" ht="15.75" customHeight="1">
      <c r="A421" s="47"/>
    </row>
    <row r="422" spans="1:1" ht="15.75" customHeight="1">
      <c r="A422" s="47"/>
    </row>
    <row r="423" spans="1:1" ht="15.75" customHeight="1">
      <c r="A423" s="47"/>
    </row>
    <row r="424" spans="1:1" ht="15.75" customHeight="1">
      <c r="A424" s="47"/>
    </row>
    <row r="425" spans="1:1" ht="15.75" customHeight="1">
      <c r="A425" s="47"/>
    </row>
    <row r="426" spans="1:1" ht="15.75" customHeight="1">
      <c r="A426" s="47"/>
    </row>
    <row r="427" spans="1:1" ht="15.75" customHeight="1">
      <c r="A427" s="47"/>
    </row>
    <row r="428" spans="1:1" ht="15.75" customHeight="1">
      <c r="A428" s="47"/>
    </row>
    <row r="429" spans="1:1" ht="15.75" customHeight="1">
      <c r="A429" s="47"/>
    </row>
    <row r="430" spans="1:1" ht="15.75" customHeight="1">
      <c r="A430" s="47"/>
    </row>
    <row r="431" spans="1:1" ht="15.75" customHeight="1">
      <c r="A431" s="47"/>
    </row>
    <row r="432" spans="1:1" ht="15.75" customHeight="1">
      <c r="A432" s="47"/>
    </row>
    <row r="433" spans="1:1" ht="15.75" customHeight="1">
      <c r="A433" s="47"/>
    </row>
    <row r="434" spans="1:1" ht="15.75" customHeight="1">
      <c r="A434" s="47"/>
    </row>
    <row r="435" spans="1:1" ht="15.75" customHeight="1">
      <c r="A435" s="47"/>
    </row>
    <row r="436" spans="1:1" ht="15.75" customHeight="1">
      <c r="A436" s="47"/>
    </row>
    <row r="437" spans="1:1" ht="15.75" customHeight="1">
      <c r="A437" s="47"/>
    </row>
    <row r="438" spans="1:1" ht="15.75" customHeight="1">
      <c r="A438" s="47"/>
    </row>
    <row r="439" spans="1:1" ht="15.75" customHeight="1">
      <c r="A439" s="47"/>
    </row>
    <row r="440" spans="1:1" ht="15.75" customHeight="1">
      <c r="A440" s="47"/>
    </row>
    <row r="441" spans="1:1" ht="15.75" customHeight="1">
      <c r="A441" s="47"/>
    </row>
    <row r="442" spans="1:1" ht="15.75" customHeight="1">
      <c r="A442" s="47"/>
    </row>
    <row r="443" spans="1:1" ht="15.75" customHeight="1">
      <c r="A443" s="47"/>
    </row>
    <row r="444" spans="1:1" ht="15.75" customHeight="1">
      <c r="A444" s="47"/>
    </row>
    <row r="445" spans="1:1" ht="15.75" customHeight="1">
      <c r="A445" s="47"/>
    </row>
    <row r="446" spans="1:1" ht="15.75" customHeight="1">
      <c r="A446" s="47"/>
    </row>
    <row r="447" spans="1:1" ht="15.75" customHeight="1">
      <c r="A447" s="47"/>
    </row>
    <row r="448" spans="1:1" ht="15.75" customHeight="1">
      <c r="A448" s="47"/>
    </row>
    <row r="449" spans="1:1" ht="15.75" customHeight="1">
      <c r="A449" s="47"/>
    </row>
    <row r="450" spans="1:1" ht="15.75" customHeight="1">
      <c r="A450" s="47"/>
    </row>
    <row r="451" spans="1:1" ht="15.75" customHeight="1">
      <c r="A451" s="47"/>
    </row>
    <row r="452" spans="1:1" ht="15.75" customHeight="1">
      <c r="A452" s="47"/>
    </row>
    <row r="453" spans="1:1" ht="15.75" customHeight="1">
      <c r="A453" s="47"/>
    </row>
    <row r="454" spans="1:1" ht="15.75" customHeight="1">
      <c r="A454" s="47"/>
    </row>
    <row r="455" spans="1:1" ht="15.75" customHeight="1">
      <c r="A455" s="47"/>
    </row>
    <row r="456" spans="1:1" ht="15.75" customHeight="1">
      <c r="A456" s="47"/>
    </row>
    <row r="457" spans="1:1" ht="15.75" customHeight="1">
      <c r="A457" s="47"/>
    </row>
    <row r="458" spans="1:1" ht="15.75" customHeight="1">
      <c r="A458" s="47"/>
    </row>
    <row r="459" spans="1:1" ht="15.75" customHeight="1">
      <c r="A459" s="47"/>
    </row>
    <row r="460" spans="1:1" ht="15.75" customHeight="1">
      <c r="A460" s="47"/>
    </row>
    <row r="461" spans="1:1" ht="15.75" customHeight="1">
      <c r="A461" s="47"/>
    </row>
    <row r="462" spans="1:1" ht="15.75" customHeight="1">
      <c r="A462" s="47"/>
    </row>
    <row r="463" spans="1:1" ht="15.75" customHeight="1">
      <c r="A463" s="47"/>
    </row>
    <row r="464" spans="1:1" ht="15.75" customHeight="1">
      <c r="A464" s="47"/>
    </row>
    <row r="465" spans="1:1" ht="15.75" customHeight="1">
      <c r="A465" s="47"/>
    </row>
    <row r="466" spans="1:1" ht="15.75" customHeight="1">
      <c r="A466" s="47"/>
    </row>
    <row r="467" spans="1:1" ht="15.75" customHeight="1">
      <c r="A467" s="47"/>
    </row>
    <row r="468" spans="1:1" ht="15.75" customHeight="1">
      <c r="A468" s="47"/>
    </row>
    <row r="469" spans="1:1" ht="15.75" customHeight="1">
      <c r="A469" s="47"/>
    </row>
    <row r="470" spans="1:1" ht="15.75" customHeight="1">
      <c r="A470" s="47"/>
    </row>
    <row r="471" spans="1:1" ht="15.75" customHeight="1">
      <c r="A471" s="47"/>
    </row>
    <row r="472" spans="1:1" ht="15.75" customHeight="1">
      <c r="A472" s="47"/>
    </row>
    <row r="473" spans="1:1" ht="15.75" customHeight="1">
      <c r="A473" s="47"/>
    </row>
    <row r="474" spans="1:1" ht="15.75" customHeight="1">
      <c r="A474" s="47"/>
    </row>
    <row r="475" spans="1:1" ht="15.75" customHeight="1">
      <c r="A475" s="47"/>
    </row>
    <row r="476" spans="1:1" ht="15.75" customHeight="1">
      <c r="A476" s="47"/>
    </row>
    <row r="477" spans="1:1" ht="15.75" customHeight="1">
      <c r="A477" s="47"/>
    </row>
    <row r="478" spans="1:1" ht="15.75" customHeight="1">
      <c r="A478" s="47"/>
    </row>
    <row r="479" spans="1:1" ht="15.75" customHeight="1">
      <c r="A479" s="47"/>
    </row>
    <row r="480" spans="1:1" ht="15.75" customHeight="1">
      <c r="A480" s="47"/>
    </row>
    <row r="481" spans="1:1" ht="15.75" customHeight="1">
      <c r="A481" s="47"/>
    </row>
    <row r="482" spans="1:1" ht="15.75" customHeight="1">
      <c r="A482" s="47"/>
    </row>
    <row r="483" spans="1:1" ht="15.75" customHeight="1">
      <c r="A483" s="47"/>
    </row>
    <row r="484" spans="1:1" ht="15.75" customHeight="1">
      <c r="A484" s="47"/>
    </row>
    <row r="485" spans="1:1" ht="15.75" customHeight="1">
      <c r="A485" s="47"/>
    </row>
    <row r="486" spans="1:1" ht="15.75" customHeight="1">
      <c r="A486" s="47"/>
    </row>
    <row r="487" spans="1:1" ht="15.75" customHeight="1">
      <c r="A487" s="47"/>
    </row>
    <row r="488" spans="1:1" ht="15.75" customHeight="1">
      <c r="A488" s="47"/>
    </row>
    <row r="489" spans="1:1" ht="15.75" customHeight="1">
      <c r="A489" s="47"/>
    </row>
    <row r="490" spans="1:1" ht="15.75" customHeight="1">
      <c r="A490" s="47"/>
    </row>
    <row r="491" spans="1:1" ht="15.75" customHeight="1">
      <c r="A491" s="47"/>
    </row>
    <row r="492" spans="1:1" ht="15.75" customHeight="1">
      <c r="A492" s="47"/>
    </row>
    <row r="493" spans="1:1" ht="15.75" customHeight="1">
      <c r="A493" s="47"/>
    </row>
    <row r="494" spans="1:1" ht="15.75" customHeight="1">
      <c r="A494" s="47"/>
    </row>
    <row r="495" spans="1:1" ht="15.75" customHeight="1">
      <c r="A495" s="47"/>
    </row>
    <row r="496" spans="1:1" ht="15.75" customHeight="1">
      <c r="A496" s="47"/>
    </row>
    <row r="497" spans="1:1" ht="15.75" customHeight="1">
      <c r="A497" s="47"/>
    </row>
    <row r="498" spans="1:1" ht="15.75" customHeight="1">
      <c r="A498" s="47"/>
    </row>
    <row r="499" spans="1:1" ht="15.75" customHeight="1">
      <c r="A499" s="47"/>
    </row>
    <row r="500" spans="1:1" ht="15.75" customHeight="1">
      <c r="A500" s="47"/>
    </row>
    <row r="501" spans="1:1" ht="15.75" customHeight="1">
      <c r="A501" s="47"/>
    </row>
    <row r="502" spans="1:1" ht="15.75" customHeight="1">
      <c r="A502" s="47"/>
    </row>
    <row r="503" spans="1:1" ht="15.75" customHeight="1">
      <c r="A503" s="47"/>
    </row>
    <row r="504" spans="1:1" ht="15.75" customHeight="1">
      <c r="A504" s="47"/>
    </row>
    <row r="505" spans="1:1" ht="15.75" customHeight="1">
      <c r="A505" s="47"/>
    </row>
    <row r="506" spans="1:1" ht="15.75" customHeight="1">
      <c r="A506" s="47"/>
    </row>
    <row r="507" spans="1:1" ht="15.75" customHeight="1">
      <c r="A507" s="47"/>
    </row>
    <row r="508" spans="1:1" ht="15.75" customHeight="1">
      <c r="A508" s="47"/>
    </row>
    <row r="509" spans="1:1" ht="15.75" customHeight="1">
      <c r="A509" s="47"/>
    </row>
    <row r="510" spans="1:1" ht="15.75" customHeight="1">
      <c r="A510" s="47"/>
    </row>
    <row r="511" spans="1:1" ht="15.75" customHeight="1">
      <c r="A511" s="47"/>
    </row>
    <row r="512" spans="1:1" ht="15.75" customHeight="1">
      <c r="A512" s="47"/>
    </row>
    <row r="513" spans="1:1" ht="15.75" customHeight="1">
      <c r="A513" s="47"/>
    </row>
    <row r="514" spans="1:1" ht="15.75" customHeight="1">
      <c r="A514" s="47"/>
    </row>
    <row r="515" spans="1:1" ht="15.75" customHeight="1">
      <c r="A515" s="47"/>
    </row>
    <row r="516" spans="1:1" ht="15.75" customHeight="1">
      <c r="A516" s="47"/>
    </row>
    <row r="517" spans="1:1" ht="15.75" customHeight="1">
      <c r="A517" s="47"/>
    </row>
    <row r="518" spans="1:1" ht="15.75" customHeight="1">
      <c r="A518" s="47"/>
    </row>
    <row r="519" spans="1:1" ht="15.75" customHeight="1">
      <c r="A519" s="47"/>
    </row>
    <row r="520" spans="1:1" ht="15.75" customHeight="1">
      <c r="A520" s="47"/>
    </row>
    <row r="521" spans="1:1" ht="15.75" customHeight="1">
      <c r="A521" s="47"/>
    </row>
    <row r="522" spans="1:1" ht="15.75" customHeight="1">
      <c r="A522" s="47"/>
    </row>
    <row r="523" spans="1:1" ht="15.75" customHeight="1">
      <c r="A523" s="47"/>
    </row>
    <row r="524" spans="1:1" ht="15.75" customHeight="1">
      <c r="A524" s="47"/>
    </row>
    <row r="525" spans="1:1" ht="15.75" customHeight="1">
      <c r="A525" s="47"/>
    </row>
    <row r="526" spans="1:1" ht="15.75" customHeight="1">
      <c r="A526" s="47"/>
    </row>
    <row r="527" spans="1:1" ht="15.75" customHeight="1">
      <c r="A527" s="47"/>
    </row>
    <row r="528" spans="1:1" ht="15.75" customHeight="1">
      <c r="A528" s="47"/>
    </row>
    <row r="529" spans="1:1" ht="15.75" customHeight="1">
      <c r="A529" s="47"/>
    </row>
    <row r="530" spans="1:1" ht="15.75" customHeight="1">
      <c r="A530" s="47"/>
    </row>
    <row r="531" spans="1:1" ht="15.75" customHeight="1">
      <c r="A531" s="47"/>
    </row>
    <row r="532" spans="1:1" ht="15.75" customHeight="1">
      <c r="A532" s="47"/>
    </row>
    <row r="533" spans="1:1" ht="15.75" customHeight="1">
      <c r="A533" s="47"/>
    </row>
    <row r="534" spans="1:1" ht="15.75" customHeight="1">
      <c r="A534" s="47"/>
    </row>
    <row r="535" spans="1:1" ht="15.75" customHeight="1">
      <c r="A535" s="47"/>
    </row>
    <row r="536" spans="1:1" ht="15.75" customHeight="1">
      <c r="A536" s="47"/>
    </row>
    <row r="537" spans="1:1" ht="15.75" customHeight="1">
      <c r="A537" s="47"/>
    </row>
    <row r="538" spans="1:1" ht="15.75" customHeight="1">
      <c r="A538" s="47"/>
    </row>
    <row r="539" spans="1:1" ht="15.75" customHeight="1">
      <c r="A539" s="47"/>
    </row>
    <row r="540" spans="1:1" ht="15.75" customHeight="1">
      <c r="A540" s="47"/>
    </row>
    <row r="541" spans="1:1" ht="15.75" customHeight="1">
      <c r="A541" s="47"/>
    </row>
    <row r="542" spans="1:1" ht="15.75" customHeight="1">
      <c r="A542" s="47"/>
    </row>
    <row r="543" spans="1:1" ht="15.75" customHeight="1">
      <c r="A543" s="47"/>
    </row>
    <row r="544" spans="1:1" ht="15.75" customHeight="1">
      <c r="A544" s="47"/>
    </row>
    <row r="545" spans="1:1" ht="15.75" customHeight="1">
      <c r="A545" s="47"/>
    </row>
    <row r="546" spans="1:1" ht="15.75" customHeight="1">
      <c r="A546" s="47"/>
    </row>
    <row r="547" spans="1:1" ht="15.75" customHeight="1">
      <c r="A547" s="47"/>
    </row>
    <row r="548" spans="1:1" ht="15.75" customHeight="1">
      <c r="A548" s="47"/>
    </row>
    <row r="549" spans="1:1" ht="15.75" customHeight="1">
      <c r="A549" s="47"/>
    </row>
    <row r="550" spans="1:1" ht="15.75" customHeight="1">
      <c r="A550" s="47"/>
    </row>
    <row r="551" spans="1:1" ht="15.75" customHeight="1">
      <c r="A551" s="47"/>
    </row>
    <row r="552" spans="1:1" ht="15.75" customHeight="1">
      <c r="A552" s="47"/>
    </row>
    <row r="553" spans="1:1" ht="15.75" customHeight="1">
      <c r="A553" s="47"/>
    </row>
    <row r="554" spans="1:1" ht="15.75" customHeight="1">
      <c r="A554" s="47"/>
    </row>
    <row r="555" spans="1:1" ht="15.75" customHeight="1">
      <c r="A555" s="47"/>
    </row>
    <row r="556" spans="1:1" ht="15.75" customHeight="1">
      <c r="A556" s="47"/>
    </row>
    <row r="557" spans="1:1" ht="15.75" customHeight="1">
      <c r="A557" s="47"/>
    </row>
    <row r="558" spans="1:1" ht="15.75" customHeight="1">
      <c r="A558" s="47"/>
    </row>
    <row r="559" spans="1:1" ht="15.75" customHeight="1">
      <c r="A559" s="47"/>
    </row>
    <row r="560" spans="1:1" ht="15.75" customHeight="1">
      <c r="A560" s="47"/>
    </row>
    <row r="561" spans="1:1" ht="15.75" customHeight="1">
      <c r="A561" s="47"/>
    </row>
    <row r="562" spans="1:1" ht="15.75" customHeight="1">
      <c r="A562" s="47"/>
    </row>
    <row r="563" spans="1:1" ht="15.75" customHeight="1">
      <c r="A563" s="47"/>
    </row>
    <row r="564" spans="1:1" ht="15.75" customHeight="1">
      <c r="A564" s="47"/>
    </row>
    <row r="565" spans="1:1" ht="15.75" customHeight="1">
      <c r="A565" s="47"/>
    </row>
    <row r="566" spans="1:1" ht="15.75" customHeight="1">
      <c r="A566" s="47"/>
    </row>
    <row r="567" spans="1:1" ht="15.75" customHeight="1">
      <c r="A567" s="47"/>
    </row>
    <row r="568" spans="1:1" ht="15.75" customHeight="1">
      <c r="A568" s="47"/>
    </row>
    <row r="569" spans="1:1" ht="15.75" customHeight="1">
      <c r="A569" s="47"/>
    </row>
    <row r="570" spans="1:1" ht="15.75" customHeight="1">
      <c r="A570" s="47"/>
    </row>
    <row r="571" spans="1:1" ht="15.75" customHeight="1">
      <c r="A571" s="47"/>
    </row>
    <row r="572" spans="1:1" ht="15.75" customHeight="1">
      <c r="A572" s="47"/>
    </row>
    <row r="573" spans="1:1" ht="15.75" customHeight="1">
      <c r="A573" s="47"/>
    </row>
    <row r="574" spans="1:1" ht="15.75" customHeight="1">
      <c r="A574" s="47"/>
    </row>
    <row r="575" spans="1:1" ht="15.75" customHeight="1">
      <c r="A575" s="47"/>
    </row>
    <row r="576" spans="1:1" ht="15.75" customHeight="1">
      <c r="A576" s="47"/>
    </row>
    <row r="577" spans="1:1" ht="15.75" customHeight="1">
      <c r="A577" s="47"/>
    </row>
    <row r="578" spans="1:1" ht="15.75" customHeight="1">
      <c r="A578" s="47"/>
    </row>
    <row r="579" spans="1:1" ht="15.75" customHeight="1">
      <c r="A579" s="47"/>
    </row>
    <row r="580" spans="1:1" ht="15.75" customHeight="1">
      <c r="A580" s="47"/>
    </row>
    <row r="581" spans="1:1" ht="15.75" customHeight="1">
      <c r="A581" s="47"/>
    </row>
    <row r="582" spans="1:1" ht="15.75" customHeight="1">
      <c r="A582" s="47"/>
    </row>
    <row r="583" spans="1:1" ht="15.75" customHeight="1">
      <c r="A583" s="47"/>
    </row>
    <row r="584" spans="1:1" ht="15.75" customHeight="1">
      <c r="A584" s="47"/>
    </row>
    <row r="585" spans="1:1" ht="15.75" customHeight="1">
      <c r="A585" s="47"/>
    </row>
    <row r="586" spans="1:1" ht="15.75" customHeight="1">
      <c r="A586" s="47"/>
    </row>
    <row r="587" spans="1:1" ht="15.75" customHeight="1">
      <c r="A587" s="47"/>
    </row>
    <row r="588" spans="1:1" ht="15.75" customHeight="1">
      <c r="A588" s="47"/>
    </row>
    <row r="589" spans="1:1" ht="15.75" customHeight="1">
      <c r="A589" s="47"/>
    </row>
    <row r="590" spans="1:1" ht="15.75" customHeight="1">
      <c r="A590" s="47"/>
    </row>
    <row r="591" spans="1:1" ht="15.75" customHeight="1">
      <c r="A591" s="47"/>
    </row>
    <row r="592" spans="1:1" ht="15.75" customHeight="1">
      <c r="A592" s="47"/>
    </row>
    <row r="593" spans="1:1" ht="15.75" customHeight="1">
      <c r="A593" s="47"/>
    </row>
    <row r="594" spans="1:1" ht="15.75" customHeight="1">
      <c r="A594" s="47"/>
    </row>
    <row r="595" spans="1:1" ht="15.75" customHeight="1">
      <c r="A595" s="47"/>
    </row>
    <row r="596" spans="1:1" ht="15.75" customHeight="1">
      <c r="A596" s="47"/>
    </row>
    <row r="597" spans="1:1" ht="15.75" customHeight="1">
      <c r="A597" s="47"/>
    </row>
    <row r="598" spans="1:1" ht="15.75" customHeight="1">
      <c r="A598" s="47"/>
    </row>
    <row r="599" spans="1:1" ht="15.75" customHeight="1">
      <c r="A599" s="47"/>
    </row>
    <row r="600" spans="1:1" ht="15.75" customHeight="1">
      <c r="A600" s="47"/>
    </row>
    <row r="601" spans="1:1" ht="15.75" customHeight="1">
      <c r="A601" s="47"/>
    </row>
    <row r="602" spans="1:1" ht="15.75" customHeight="1">
      <c r="A602" s="47"/>
    </row>
    <row r="603" spans="1:1" ht="15.75" customHeight="1">
      <c r="A603" s="47"/>
    </row>
    <row r="604" spans="1:1" ht="15.75" customHeight="1">
      <c r="A604" s="47"/>
    </row>
    <row r="605" spans="1:1" ht="15.75" customHeight="1">
      <c r="A605" s="47"/>
    </row>
    <row r="606" spans="1:1" ht="15.75" customHeight="1">
      <c r="A606" s="47"/>
    </row>
    <row r="607" spans="1:1" ht="15.75" customHeight="1">
      <c r="A607" s="47"/>
    </row>
    <row r="608" spans="1:1" ht="15.75" customHeight="1">
      <c r="A608" s="47"/>
    </row>
    <row r="609" spans="1:1" ht="15.75" customHeight="1">
      <c r="A609" s="47"/>
    </row>
    <row r="610" spans="1:1" ht="15.75" customHeight="1">
      <c r="A610" s="47"/>
    </row>
    <row r="611" spans="1:1" ht="15.75" customHeight="1">
      <c r="A611" s="47"/>
    </row>
    <row r="612" spans="1:1" ht="15.75" customHeight="1">
      <c r="A612" s="47"/>
    </row>
    <row r="613" spans="1:1" ht="15.75" customHeight="1">
      <c r="A613" s="47"/>
    </row>
    <row r="614" spans="1:1" ht="15.75" customHeight="1">
      <c r="A614" s="47"/>
    </row>
    <row r="615" spans="1:1" ht="15.75" customHeight="1">
      <c r="A615" s="47"/>
    </row>
    <row r="616" spans="1:1" ht="15.75" customHeight="1">
      <c r="A616" s="47"/>
    </row>
    <row r="617" spans="1:1" ht="15.75" customHeight="1">
      <c r="A617" s="47"/>
    </row>
    <row r="618" spans="1:1" ht="15.75" customHeight="1">
      <c r="A618" s="47"/>
    </row>
    <row r="619" spans="1:1" ht="15.75" customHeight="1">
      <c r="A619" s="47"/>
    </row>
    <row r="620" spans="1:1" ht="15.75" customHeight="1">
      <c r="A620" s="47"/>
    </row>
    <row r="621" spans="1:1" ht="15.75" customHeight="1">
      <c r="A621" s="47"/>
    </row>
    <row r="622" spans="1:1" ht="15.75" customHeight="1">
      <c r="A622" s="47"/>
    </row>
    <row r="623" spans="1:1" ht="15.75" customHeight="1">
      <c r="A623" s="47"/>
    </row>
    <row r="624" spans="1:1" ht="15.75" customHeight="1">
      <c r="A624" s="47"/>
    </row>
    <row r="625" spans="1:1" ht="15.75" customHeight="1">
      <c r="A625" s="47"/>
    </row>
    <row r="626" spans="1:1" ht="15.75" customHeight="1">
      <c r="A626" s="47"/>
    </row>
    <row r="627" spans="1:1" ht="15.75" customHeight="1">
      <c r="A627" s="47"/>
    </row>
    <row r="628" spans="1:1" ht="15.75" customHeight="1">
      <c r="A628" s="47"/>
    </row>
    <row r="629" spans="1:1" ht="15.75" customHeight="1">
      <c r="A629" s="47"/>
    </row>
    <row r="630" spans="1:1" ht="15.75" customHeight="1">
      <c r="A630" s="47"/>
    </row>
    <row r="631" spans="1:1" ht="15.75" customHeight="1">
      <c r="A631" s="47"/>
    </row>
    <row r="632" spans="1:1" ht="15.75" customHeight="1">
      <c r="A632" s="47"/>
    </row>
    <row r="633" spans="1:1" ht="15.75" customHeight="1">
      <c r="A633" s="47"/>
    </row>
    <row r="634" spans="1:1" ht="15.75" customHeight="1">
      <c r="A634" s="47"/>
    </row>
    <row r="635" spans="1:1" ht="15.75" customHeight="1">
      <c r="A635" s="47"/>
    </row>
    <row r="636" spans="1:1" ht="15.75" customHeight="1">
      <c r="A636" s="47"/>
    </row>
    <row r="637" spans="1:1" ht="15.75" customHeight="1">
      <c r="A637" s="47"/>
    </row>
    <row r="638" spans="1:1" ht="15.75" customHeight="1">
      <c r="A638" s="47"/>
    </row>
    <row r="639" spans="1:1" ht="15.75" customHeight="1">
      <c r="A639" s="47"/>
    </row>
    <row r="640" spans="1:1" ht="15.75" customHeight="1">
      <c r="A640" s="47"/>
    </row>
    <row r="641" spans="1:1" ht="15.75" customHeight="1">
      <c r="A641" s="47"/>
    </row>
    <row r="642" spans="1:1" ht="15.75" customHeight="1">
      <c r="A642" s="47"/>
    </row>
    <row r="643" spans="1:1" ht="15.75" customHeight="1">
      <c r="A643" s="47"/>
    </row>
    <row r="644" spans="1:1" ht="15.75" customHeight="1">
      <c r="A644" s="47"/>
    </row>
    <row r="645" spans="1:1" ht="15.75" customHeight="1">
      <c r="A645" s="47"/>
    </row>
    <row r="646" spans="1:1" ht="15.75" customHeight="1">
      <c r="A646" s="47"/>
    </row>
    <row r="647" spans="1:1" ht="15.75" customHeight="1">
      <c r="A647" s="47"/>
    </row>
    <row r="648" spans="1:1" ht="15.75" customHeight="1">
      <c r="A648" s="47"/>
    </row>
    <row r="649" spans="1:1" ht="15.75" customHeight="1">
      <c r="A649" s="47"/>
    </row>
    <row r="650" spans="1:1" ht="15.75" customHeight="1">
      <c r="A650" s="47"/>
    </row>
    <row r="651" spans="1:1" ht="15.75" customHeight="1">
      <c r="A651" s="47"/>
    </row>
    <row r="652" spans="1:1" ht="15.75" customHeight="1">
      <c r="A652" s="47"/>
    </row>
    <row r="653" spans="1:1" ht="15.75" customHeight="1">
      <c r="A653" s="47"/>
    </row>
    <row r="654" spans="1:1" ht="15.75" customHeight="1">
      <c r="A654" s="47"/>
    </row>
    <row r="655" spans="1:1" ht="15.75" customHeight="1">
      <c r="A655" s="47"/>
    </row>
    <row r="656" spans="1:1" ht="15.75" customHeight="1">
      <c r="A656" s="47"/>
    </row>
    <row r="657" spans="1:1" ht="15.75" customHeight="1">
      <c r="A657" s="47"/>
    </row>
    <row r="658" spans="1:1" ht="15.75" customHeight="1">
      <c r="A658" s="47"/>
    </row>
    <row r="659" spans="1:1" ht="15.75" customHeight="1">
      <c r="A659" s="47"/>
    </row>
    <row r="660" spans="1:1" ht="15.75" customHeight="1">
      <c r="A660" s="47"/>
    </row>
    <row r="661" spans="1:1" ht="15.75" customHeight="1">
      <c r="A661" s="47"/>
    </row>
    <row r="662" spans="1:1" ht="15.75" customHeight="1">
      <c r="A662" s="47"/>
    </row>
    <row r="663" spans="1:1" ht="15.75" customHeight="1">
      <c r="A663" s="47"/>
    </row>
    <row r="664" spans="1:1" ht="15.75" customHeight="1">
      <c r="A664" s="47"/>
    </row>
    <row r="665" spans="1:1" ht="15.75" customHeight="1">
      <c r="A665" s="47"/>
    </row>
    <row r="666" spans="1:1" ht="15.75" customHeight="1">
      <c r="A666" s="47"/>
    </row>
    <row r="667" spans="1:1" ht="15.75" customHeight="1">
      <c r="A667" s="47"/>
    </row>
    <row r="668" spans="1:1" ht="15.75" customHeight="1">
      <c r="A668" s="47"/>
    </row>
    <row r="669" spans="1:1" ht="15.75" customHeight="1">
      <c r="A669" s="47"/>
    </row>
    <row r="670" spans="1:1" ht="15.75" customHeight="1">
      <c r="A670" s="47"/>
    </row>
    <row r="671" spans="1:1" ht="15.75" customHeight="1">
      <c r="A671" s="47"/>
    </row>
    <row r="672" spans="1:1" ht="15.75" customHeight="1">
      <c r="A672" s="47"/>
    </row>
    <row r="673" spans="1:1" ht="15.75" customHeight="1">
      <c r="A673" s="47"/>
    </row>
    <row r="674" spans="1:1" ht="15.75" customHeight="1">
      <c r="A674" s="47"/>
    </row>
    <row r="675" spans="1:1" ht="15.75" customHeight="1">
      <c r="A675" s="47"/>
    </row>
    <row r="676" spans="1:1" ht="15.75" customHeight="1">
      <c r="A676" s="47"/>
    </row>
    <row r="677" spans="1:1" ht="15.75" customHeight="1">
      <c r="A677" s="47"/>
    </row>
    <row r="678" spans="1:1" ht="15.75" customHeight="1">
      <c r="A678" s="47"/>
    </row>
    <row r="679" spans="1:1" ht="15.75" customHeight="1">
      <c r="A679" s="47"/>
    </row>
    <row r="680" spans="1:1" ht="15.75" customHeight="1">
      <c r="A680" s="47"/>
    </row>
    <row r="681" spans="1:1" ht="15.75" customHeight="1">
      <c r="A681" s="47"/>
    </row>
    <row r="682" spans="1:1" ht="15.75" customHeight="1">
      <c r="A682" s="47"/>
    </row>
    <row r="683" spans="1:1" ht="15.75" customHeight="1">
      <c r="A683" s="47"/>
    </row>
    <row r="684" spans="1:1" ht="15.75" customHeight="1">
      <c r="A684" s="47"/>
    </row>
    <row r="685" spans="1:1" ht="15.75" customHeight="1">
      <c r="A685" s="47"/>
    </row>
    <row r="686" spans="1:1" ht="15.75" customHeight="1">
      <c r="A686" s="47"/>
    </row>
    <row r="687" spans="1:1" ht="15.75" customHeight="1">
      <c r="A687" s="47"/>
    </row>
    <row r="688" spans="1:1" ht="15.75" customHeight="1">
      <c r="A688" s="47"/>
    </row>
    <row r="689" spans="1:1" ht="15.75" customHeight="1">
      <c r="A689" s="47"/>
    </row>
    <row r="690" spans="1:1" ht="15.75" customHeight="1">
      <c r="A690" s="47"/>
    </row>
    <row r="691" spans="1:1" ht="15.75" customHeight="1">
      <c r="A691" s="47"/>
    </row>
    <row r="692" spans="1:1" ht="15.75" customHeight="1">
      <c r="A692" s="47"/>
    </row>
    <row r="693" spans="1:1" ht="15.75" customHeight="1">
      <c r="A693" s="47"/>
    </row>
    <row r="694" spans="1:1" ht="15.75" customHeight="1">
      <c r="A694" s="47"/>
    </row>
    <row r="695" spans="1:1" ht="15.75" customHeight="1">
      <c r="A695" s="47"/>
    </row>
    <row r="696" spans="1:1" ht="15.75" customHeight="1">
      <c r="A696" s="47"/>
    </row>
    <row r="697" spans="1:1" ht="15.75" customHeight="1">
      <c r="A697" s="47"/>
    </row>
    <row r="698" spans="1:1" ht="15.75" customHeight="1">
      <c r="A698" s="47"/>
    </row>
    <row r="699" spans="1:1" ht="15.75" customHeight="1">
      <c r="A699" s="47"/>
    </row>
    <row r="700" spans="1:1" ht="15.75" customHeight="1">
      <c r="A700" s="47"/>
    </row>
    <row r="701" spans="1:1" ht="15.75" customHeight="1">
      <c r="A701" s="47"/>
    </row>
    <row r="702" spans="1:1" ht="15.75" customHeight="1">
      <c r="A702" s="47"/>
    </row>
    <row r="703" spans="1:1" ht="15.75" customHeight="1">
      <c r="A703" s="47"/>
    </row>
    <row r="704" spans="1:1" ht="15.75" customHeight="1">
      <c r="A704" s="47"/>
    </row>
    <row r="705" spans="1:1" ht="15.75" customHeight="1">
      <c r="A705" s="47"/>
    </row>
    <row r="706" spans="1:1" ht="15.75" customHeight="1">
      <c r="A706" s="47"/>
    </row>
    <row r="707" spans="1:1" ht="15.75" customHeight="1">
      <c r="A707" s="47"/>
    </row>
    <row r="708" spans="1:1" ht="15.75" customHeight="1">
      <c r="A708" s="47"/>
    </row>
    <row r="709" spans="1:1" ht="15.75" customHeight="1">
      <c r="A709" s="47"/>
    </row>
    <row r="710" spans="1:1" ht="15.75" customHeight="1">
      <c r="A710" s="47"/>
    </row>
    <row r="711" spans="1:1" ht="15.75" customHeight="1">
      <c r="A711" s="47"/>
    </row>
    <row r="712" spans="1:1" ht="15.75" customHeight="1">
      <c r="A712" s="47"/>
    </row>
    <row r="713" spans="1:1" ht="15.75" customHeight="1">
      <c r="A713" s="47"/>
    </row>
    <row r="714" spans="1:1" ht="15.75" customHeight="1">
      <c r="A714" s="47"/>
    </row>
    <row r="715" spans="1:1" ht="15.75" customHeight="1">
      <c r="A715" s="47"/>
    </row>
    <row r="716" spans="1:1" ht="15.75" customHeight="1">
      <c r="A716" s="47"/>
    </row>
    <row r="717" spans="1:1" ht="15.75" customHeight="1">
      <c r="A717" s="47"/>
    </row>
    <row r="718" spans="1:1" ht="15.75" customHeight="1">
      <c r="A718" s="47"/>
    </row>
    <row r="719" spans="1:1" ht="15.75" customHeight="1">
      <c r="A719" s="47"/>
    </row>
    <row r="720" spans="1:1" ht="15.75" customHeight="1">
      <c r="A720" s="47"/>
    </row>
    <row r="721" spans="1:1" ht="15.75" customHeight="1">
      <c r="A721" s="47"/>
    </row>
    <row r="722" spans="1:1" ht="15.75" customHeight="1">
      <c r="A722" s="47"/>
    </row>
    <row r="723" spans="1:1" ht="15.75" customHeight="1">
      <c r="A723" s="47"/>
    </row>
    <row r="724" spans="1:1" ht="15.75" customHeight="1">
      <c r="A724" s="47"/>
    </row>
    <row r="725" spans="1:1" ht="15.75" customHeight="1">
      <c r="A725" s="47"/>
    </row>
    <row r="726" spans="1:1" ht="15.75" customHeight="1">
      <c r="A726" s="47"/>
    </row>
    <row r="727" spans="1:1" ht="15.75" customHeight="1">
      <c r="A727" s="47"/>
    </row>
    <row r="728" spans="1:1" ht="15.75" customHeight="1">
      <c r="A728" s="47"/>
    </row>
    <row r="729" spans="1:1" ht="15.75" customHeight="1">
      <c r="A729" s="47"/>
    </row>
    <row r="730" spans="1:1" ht="15.75" customHeight="1">
      <c r="A730" s="47"/>
    </row>
    <row r="731" spans="1:1" ht="15.75" customHeight="1">
      <c r="A731" s="47"/>
    </row>
    <row r="732" spans="1:1" ht="15.75" customHeight="1">
      <c r="A732" s="47"/>
    </row>
    <row r="733" spans="1:1" ht="15.75" customHeight="1">
      <c r="A733" s="47"/>
    </row>
    <row r="734" spans="1:1" ht="15.75" customHeight="1">
      <c r="A734" s="47"/>
    </row>
    <row r="735" spans="1:1" ht="15.75" customHeight="1">
      <c r="A735" s="47"/>
    </row>
    <row r="736" spans="1:1" ht="15.75" customHeight="1">
      <c r="A736" s="47"/>
    </row>
    <row r="737" spans="1:1" ht="15.75" customHeight="1">
      <c r="A737" s="47"/>
    </row>
    <row r="738" spans="1:1" ht="15.75" customHeight="1">
      <c r="A738" s="47"/>
    </row>
    <row r="739" spans="1:1" ht="15.75" customHeight="1">
      <c r="A739" s="47"/>
    </row>
    <row r="740" spans="1:1" ht="15.75" customHeight="1">
      <c r="A740" s="47"/>
    </row>
    <row r="741" spans="1:1" ht="15.75" customHeight="1">
      <c r="A741" s="47"/>
    </row>
    <row r="742" spans="1:1" ht="15.75" customHeight="1">
      <c r="A742" s="47"/>
    </row>
    <row r="743" spans="1:1" ht="15.75" customHeight="1">
      <c r="A743" s="47"/>
    </row>
    <row r="744" spans="1:1" ht="15.75" customHeight="1">
      <c r="A744" s="47"/>
    </row>
    <row r="745" spans="1:1" ht="15.75" customHeight="1">
      <c r="A745" s="47"/>
    </row>
    <row r="746" spans="1:1" ht="15.75" customHeight="1">
      <c r="A746" s="47"/>
    </row>
    <row r="747" spans="1:1" ht="15.75" customHeight="1">
      <c r="A747" s="47"/>
    </row>
    <row r="748" spans="1:1" ht="15.75" customHeight="1">
      <c r="A748" s="47"/>
    </row>
    <row r="749" spans="1:1" ht="15.75" customHeight="1">
      <c r="A749" s="47"/>
    </row>
    <row r="750" spans="1:1" ht="15.75" customHeight="1">
      <c r="A750" s="47"/>
    </row>
    <row r="751" spans="1:1" ht="15.75" customHeight="1">
      <c r="A751" s="47"/>
    </row>
    <row r="752" spans="1:1" ht="15.75" customHeight="1">
      <c r="A752" s="47"/>
    </row>
    <row r="753" spans="1:1" ht="15.75" customHeight="1">
      <c r="A753" s="47"/>
    </row>
    <row r="754" spans="1:1" ht="15.75" customHeight="1">
      <c r="A754" s="47"/>
    </row>
    <row r="755" spans="1:1" ht="15.75" customHeight="1">
      <c r="A755" s="47"/>
    </row>
    <row r="756" spans="1:1" ht="15.75" customHeight="1">
      <c r="A756" s="47"/>
    </row>
    <row r="757" spans="1:1" ht="15.75" customHeight="1">
      <c r="A757" s="47"/>
    </row>
    <row r="758" spans="1:1" ht="15.75" customHeight="1">
      <c r="A758" s="47"/>
    </row>
    <row r="759" spans="1:1" ht="15.75" customHeight="1">
      <c r="A759" s="47"/>
    </row>
    <row r="760" spans="1:1" ht="15.75" customHeight="1">
      <c r="A760" s="47"/>
    </row>
    <row r="761" spans="1:1" ht="15.75" customHeight="1">
      <c r="A761" s="47"/>
    </row>
    <row r="762" spans="1:1" ht="15.75" customHeight="1">
      <c r="A762" s="47"/>
    </row>
    <row r="763" spans="1:1" ht="15.75" customHeight="1">
      <c r="A763" s="47"/>
    </row>
    <row r="764" spans="1:1" ht="15.75" customHeight="1">
      <c r="A764" s="47"/>
    </row>
    <row r="765" spans="1:1" ht="15.75" customHeight="1">
      <c r="A765" s="47"/>
    </row>
    <row r="766" spans="1:1" ht="15.75" customHeight="1">
      <c r="A766" s="47"/>
    </row>
    <row r="767" spans="1:1" ht="15.75" customHeight="1">
      <c r="A767" s="47"/>
    </row>
    <row r="768" spans="1:1" ht="15.75" customHeight="1">
      <c r="A768" s="47"/>
    </row>
    <row r="769" spans="1:1" ht="15.75" customHeight="1">
      <c r="A769" s="47"/>
    </row>
    <row r="770" spans="1:1" ht="15.75" customHeight="1">
      <c r="A770" s="47"/>
    </row>
    <row r="771" spans="1:1" ht="15.75" customHeight="1">
      <c r="A771" s="47"/>
    </row>
    <row r="772" spans="1:1" ht="15.75" customHeight="1">
      <c r="A772" s="47"/>
    </row>
    <row r="773" spans="1:1" ht="15.75" customHeight="1">
      <c r="A773" s="47"/>
    </row>
    <row r="774" spans="1:1" ht="15.75" customHeight="1">
      <c r="A774" s="47"/>
    </row>
    <row r="775" spans="1:1" ht="15.75" customHeight="1">
      <c r="A775" s="47"/>
    </row>
    <row r="776" spans="1:1" ht="15.75" customHeight="1">
      <c r="A776" s="47"/>
    </row>
    <row r="777" spans="1:1" ht="15.75" customHeight="1">
      <c r="A777" s="47"/>
    </row>
    <row r="778" spans="1:1" ht="15.75" customHeight="1">
      <c r="A778" s="47"/>
    </row>
    <row r="779" spans="1:1" ht="15.75" customHeight="1">
      <c r="A779" s="47"/>
    </row>
    <row r="780" spans="1:1" ht="15.75" customHeight="1">
      <c r="A780" s="47"/>
    </row>
    <row r="781" spans="1:1" ht="15.75" customHeight="1">
      <c r="A781" s="47"/>
    </row>
    <row r="782" spans="1:1" ht="15.75" customHeight="1">
      <c r="A782" s="47"/>
    </row>
    <row r="783" spans="1:1" ht="15.75" customHeight="1">
      <c r="A783" s="47"/>
    </row>
    <row r="784" spans="1:1" ht="15.75" customHeight="1">
      <c r="A784" s="47"/>
    </row>
    <row r="785" spans="1:1" ht="15.75" customHeight="1">
      <c r="A785" s="47"/>
    </row>
    <row r="786" spans="1:1" ht="15.75" customHeight="1">
      <c r="A786" s="47"/>
    </row>
    <row r="787" spans="1:1" ht="15.75" customHeight="1">
      <c r="A787" s="47"/>
    </row>
    <row r="788" spans="1:1" ht="15.75" customHeight="1">
      <c r="A788" s="47"/>
    </row>
    <row r="789" spans="1:1" ht="15.75" customHeight="1">
      <c r="A789" s="47"/>
    </row>
    <row r="790" spans="1:1" ht="15.75" customHeight="1">
      <c r="A790" s="47"/>
    </row>
    <row r="791" spans="1:1" ht="15.75" customHeight="1">
      <c r="A791" s="47"/>
    </row>
    <row r="792" spans="1:1" ht="15.75" customHeight="1">
      <c r="A792" s="47"/>
    </row>
    <row r="793" spans="1:1" ht="15.75" customHeight="1">
      <c r="A793" s="47"/>
    </row>
    <row r="794" spans="1:1" ht="15.75" customHeight="1">
      <c r="A794" s="47"/>
    </row>
    <row r="795" spans="1:1" ht="15.75" customHeight="1">
      <c r="A795" s="47"/>
    </row>
    <row r="796" spans="1:1" ht="15.75" customHeight="1">
      <c r="A796" s="47"/>
    </row>
    <row r="797" spans="1:1" ht="15.75" customHeight="1">
      <c r="A797" s="47"/>
    </row>
    <row r="798" spans="1:1" ht="15.75" customHeight="1">
      <c r="A798" s="47"/>
    </row>
    <row r="799" spans="1:1" ht="15.75" customHeight="1">
      <c r="A799" s="47"/>
    </row>
    <row r="800" spans="1:1" ht="15.75" customHeight="1">
      <c r="A800" s="47"/>
    </row>
    <row r="801" spans="1:1" ht="15.75" customHeight="1">
      <c r="A801" s="47"/>
    </row>
    <row r="802" spans="1:1" ht="15.75" customHeight="1">
      <c r="A802" s="47"/>
    </row>
    <row r="803" spans="1:1" ht="15.75" customHeight="1">
      <c r="A803" s="47"/>
    </row>
    <row r="804" spans="1:1" ht="15.75" customHeight="1">
      <c r="A804" s="47"/>
    </row>
    <row r="805" spans="1:1" ht="15.75" customHeight="1">
      <c r="A805" s="47"/>
    </row>
    <row r="806" spans="1:1" ht="15.75" customHeight="1">
      <c r="A806" s="47"/>
    </row>
    <row r="807" spans="1:1" ht="15.75" customHeight="1">
      <c r="A807" s="47"/>
    </row>
    <row r="808" spans="1:1" ht="15.75" customHeight="1">
      <c r="A808" s="47"/>
    </row>
    <row r="809" spans="1:1" ht="15.75" customHeight="1">
      <c r="A809" s="47"/>
    </row>
    <row r="810" spans="1:1" ht="15.75" customHeight="1">
      <c r="A810" s="47"/>
    </row>
    <row r="811" spans="1:1" ht="15.75" customHeight="1">
      <c r="A811" s="47"/>
    </row>
    <row r="812" spans="1:1" ht="15.75" customHeight="1">
      <c r="A812" s="47"/>
    </row>
    <row r="813" spans="1:1" ht="15.75" customHeight="1">
      <c r="A813" s="47"/>
    </row>
    <row r="814" spans="1:1" ht="15.75" customHeight="1">
      <c r="A814" s="47"/>
    </row>
    <row r="815" spans="1:1" ht="15.75" customHeight="1">
      <c r="A815" s="47"/>
    </row>
    <row r="816" spans="1:1" ht="15.75" customHeight="1">
      <c r="A816" s="47"/>
    </row>
    <row r="817" spans="1:1" ht="15.75" customHeight="1">
      <c r="A817" s="47"/>
    </row>
    <row r="818" spans="1:1" ht="15.75" customHeight="1">
      <c r="A818" s="47"/>
    </row>
    <row r="819" spans="1:1" ht="15.75" customHeight="1">
      <c r="A819" s="47"/>
    </row>
    <row r="820" spans="1:1" ht="15.75" customHeight="1">
      <c r="A820" s="47"/>
    </row>
    <row r="821" spans="1:1" ht="15.75" customHeight="1">
      <c r="A821" s="47"/>
    </row>
    <row r="822" spans="1:1" ht="15.75" customHeight="1">
      <c r="A822" s="47"/>
    </row>
    <row r="823" spans="1:1" ht="15.75" customHeight="1">
      <c r="A823" s="47"/>
    </row>
    <row r="824" spans="1:1" ht="15.75" customHeight="1">
      <c r="A824" s="47"/>
    </row>
    <row r="825" spans="1:1" ht="15.75" customHeight="1">
      <c r="A825" s="47"/>
    </row>
    <row r="826" spans="1:1" ht="15.75" customHeight="1">
      <c r="A826" s="47"/>
    </row>
    <row r="827" spans="1:1" ht="15.75" customHeight="1">
      <c r="A827" s="47"/>
    </row>
    <row r="828" spans="1:1" ht="15.75" customHeight="1">
      <c r="A828" s="47"/>
    </row>
    <row r="829" spans="1:1" ht="15.75" customHeight="1">
      <c r="A829" s="47"/>
    </row>
    <row r="830" spans="1:1" ht="15.75" customHeight="1">
      <c r="A830" s="47"/>
    </row>
    <row r="831" spans="1:1" ht="15.75" customHeight="1">
      <c r="A831" s="47"/>
    </row>
    <row r="832" spans="1:1" ht="15.75" customHeight="1">
      <c r="A832" s="47"/>
    </row>
    <row r="833" spans="1:1" ht="15.75" customHeight="1">
      <c r="A833" s="47"/>
    </row>
    <row r="834" spans="1:1" ht="15.75" customHeight="1">
      <c r="A834" s="47"/>
    </row>
    <row r="835" spans="1:1" ht="15.75" customHeight="1">
      <c r="A835" s="47"/>
    </row>
    <row r="836" spans="1:1" ht="15.75" customHeight="1">
      <c r="A836" s="47"/>
    </row>
    <row r="837" spans="1:1" ht="15.75" customHeight="1">
      <c r="A837" s="47"/>
    </row>
    <row r="838" spans="1:1" ht="15.75" customHeight="1">
      <c r="A838" s="47"/>
    </row>
    <row r="839" spans="1:1" ht="15.75" customHeight="1">
      <c r="A839" s="47"/>
    </row>
    <row r="840" spans="1:1" ht="15.75" customHeight="1">
      <c r="A840" s="47"/>
    </row>
    <row r="841" spans="1:1" ht="15.75" customHeight="1">
      <c r="A841" s="47"/>
    </row>
    <row r="842" spans="1:1" ht="15.75" customHeight="1">
      <c r="A842" s="47"/>
    </row>
    <row r="843" spans="1:1" ht="15.75" customHeight="1">
      <c r="A843" s="47"/>
    </row>
    <row r="844" spans="1:1" ht="15.75" customHeight="1">
      <c r="A844" s="47"/>
    </row>
    <row r="845" spans="1:1" ht="15.75" customHeight="1">
      <c r="A845" s="47"/>
    </row>
    <row r="846" spans="1:1" ht="15.75" customHeight="1">
      <c r="A846" s="47"/>
    </row>
    <row r="847" spans="1:1" ht="15.75" customHeight="1">
      <c r="A847" s="47"/>
    </row>
    <row r="848" spans="1:1" ht="15.75" customHeight="1">
      <c r="A848" s="47"/>
    </row>
    <row r="849" spans="1:1" ht="15.75" customHeight="1">
      <c r="A849" s="47"/>
    </row>
    <row r="850" spans="1:1" ht="15.75" customHeight="1">
      <c r="A850" s="47"/>
    </row>
    <row r="851" spans="1:1" ht="15.75" customHeight="1">
      <c r="A851" s="47"/>
    </row>
    <row r="852" spans="1:1" ht="15.75" customHeight="1">
      <c r="A852" s="47"/>
    </row>
    <row r="853" spans="1:1" ht="15.75" customHeight="1">
      <c r="A853" s="47"/>
    </row>
    <row r="854" spans="1:1" ht="15.75" customHeight="1">
      <c r="A854" s="47"/>
    </row>
    <row r="855" spans="1:1" ht="15.75" customHeight="1">
      <c r="A855" s="47"/>
    </row>
    <row r="856" spans="1:1" ht="15.75" customHeight="1">
      <c r="A856" s="47"/>
    </row>
    <row r="857" spans="1:1" ht="15.75" customHeight="1">
      <c r="A857" s="47"/>
    </row>
    <row r="858" spans="1:1" ht="15.75" customHeight="1">
      <c r="A858" s="47"/>
    </row>
    <row r="859" spans="1:1" ht="15.75" customHeight="1">
      <c r="A859" s="47"/>
    </row>
    <row r="860" spans="1:1" ht="15.75" customHeight="1">
      <c r="A860" s="47"/>
    </row>
    <row r="861" spans="1:1" ht="15.75" customHeight="1">
      <c r="A861" s="47"/>
    </row>
    <row r="862" spans="1:1" ht="15.75" customHeight="1">
      <c r="A862" s="47"/>
    </row>
    <row r="863" spans="1:1" ht="15.75" customHeight="1">
      <c r="A863" s="47"/>
    </row>
    <row r="864" spans="1:1" ht="15.75" customHeight="1">
      <c r="A864" s="47"/>
    </row>
    <row r="865" spans="1:1" ht="15.75" customHeight="1">
      <c r="A865" s="47"/>
    </row>
    <row r="866" spans="1:1" ht="15.75" customHeight="1">
      <c r="A866" s="47"/>
    </row>
    <row r="867" spans="1:1" ht="15.75" customHeight="1">
      <c r="A867" s="47"/>
    </row>
    <row r="868" spans="1:1" ht="15.75" customHeight="1">
      <c r="A868" s="47"/>
    </row>
    <row r="869" spans="1:1" ht="15.75" customHeight="1">
      <c r="A869" s="47"/>
    </row>
    <row r="870" spans="1:1" ht="15.75" customHeight="1">
      <c r="A870" s="47"/>
    </row>
    <row r="871" spans="1:1" ht="15.75" customHeight="1">
      <c r="A871" s="47"/>
    </row>
    <row r="872" spans="1:1" ht="15.75" customHeight="1">
      <c r="A872" s="47"/>
    </row>
    <row r="873" spans="1:1" ht="15.75" customHeight="1">
      <c r="A873" s="47"/>
    </row>
    <row r="874" spans="1:1" ht="15.75" customHeight="1">
      <c r="A874" s="47"/>
    </row>
    <row r="875" spans="1:1" ht="15.75" customHeight="1">
      <c r="A875" s="47"/>
    </row>
    <row r="876" spans="1:1" ht="15.75" customHeight="1">
      <c r="A876" s="47"/>
    </row>
    <row r="877" spans="1:1" ht="15.75" customHeight="1">
      <c r="A877" s="47"/>
    </row>
    <row r="878" spans="1:1" ht="15.75" customHeight="1">
      <c r="A878" s="47"/>
    </row>
    <row r="879" spans="1:1" ht="15.75" customHeight="1">
      <c r="A879" s="47"/>
    </row>
    <row r="880" spans="1:1" ht="15.75" customHeight="1">
      <c r="A880" s="47"/>
    </row>
    <row r="881" spans="1:1" ht="15.75" customHeight="1">
      <c r="A881" s="47"/>
    </row>
    <row r="882" spans="1:1" ht="15.75" customHeight="1">
      <c r="A882" s="47"/>
    </row>
    <row r="883" spans="1:1" ht="15.75" customHeight="1">
      <c r="A883" s="47"/>
    </row>
    <row r="884" spans="1:1" ht="15.75" customHeight="1">
      <c r="A884" s="47"/>
    </row>
    <row r="885" spans="1:1" ht="15.75" customHeight="1">
      <c r="A885" s="47"/>
    </row>
    <row r="886" spans="1:1" ht="15.75" customHeight="1">
      <c r="A886" s="47"/>
    </row>
    <row r="887" spans="1:1" ht="15.75" customHeight="1">
      <c r="A887" s="47"/>
    </row>
    <row r="888" spans="1:1" ht="15.75" customHeight="1">
      <c r="A888" s="47"/>
    </row>
    <row r="889" spans="1:1" ht="15.75" customHeight="1">
      <c r="A889" s="47"/>
    </row>
    <row r="890" spans="1:1" ht="15.75" customHeight="1">
      <c r="A890" s="47"/>
    </row>
    <row r="891" spans="1:1" ht="15.75" customHeight="1">
      <c r="A891" s="47"/>
    </row>
    <row r="892" spans="1:1" ht="15.75" customHeight="1">
      <c r="A892" s="47"/>
    </row>
    <row r="893" spans="1:1" ht="15.75" customHeight="1">
      <c r="A893" s="47"/>
    </row>
    <row r="894" spans="1:1" ht="15.75" customHeight="1">
      <c r="A894" s="47"/>
    </row>
    <row r="895" spans="1:1" ht="15.75" customHeight="1">
      <c r="A895" s="47"/>
    </row>
    <row r="896" spans="1:1" ht="15.75" customHeight="1">
      <c r="A896" s="47"/>
    </row>
    <row r="897" spans="1:1" ht="15.75" customHeight="1">
      <c r="A897" s="47"/>
    </row>
    <row r="898" spans="1:1" ht="15.75" customHeight="1">
      <c r="A898" s="47"/>
    </row>
    <row r="899" spans="1:1" ht="15.75" customHeight="1">
      <c r="A899" s="47"/>
    </row>
    <row r="900" spans="1:1" ht="15.75" customHeight="1">
      <c r="A900" s="47"/>
    </row>
    <row r="901" spans="1:1" ht="15.75" customHeight="1">
      <c r="A901" s="47"/>
    </row>
    <row r="902" spans="1:1" ht="15.75" customHeight="1">
      <c r="A902" s="47"/>
    </row>
    <row r="903" spans="1:1" ht="15.75" customHeight="1">
      <c r="A903" s="47"/>
    </row>
    <row r="904" spans="1:1" ht="15.75" customHeight="1">
      <c r="A904" s="47"/>
    </row>
    <row r="905" spans="1:1" ht="15.75" customHeight="1">
      <c r="A905" s="47"/>
    </row>
    <row r="906" spans="1:1" ht="15.75" customHeight="1">
      <c r="A906" s="47"/>
    </row>
    <row r="907" spans="1:1" ht="15.75" customHeight="1">
      <c r="A907" s="47"/>
    </row>
    <row r="908" spans="1:1" ht="15.75" customHeight="1">
      <c r="A908" s="47"/>
    </row>
    <row r="909" spans="1:1" ht="15.75" customHeight="1">
      <c r="A909" s="47"/>
    </row>
    <row r="910" spans="1:1" ht="15.75" customHeight="1">
      <c r="A910" s="47"/>
    </row>
    <row r="911" spans="1:1" ht="15.75" customHeight="1">
      <c r="A911" s="47"/>
    </row>
    <row r="912" spans="1:1" ht="15.75" customHeight="1">
      <c r="A912" s="47"/>
    </row>
    <row r="913" spans="1:1" ht="15.75" customHeight="1">
      <c r="A913" s="47"/>
    </row>
    <row r="914" spans="1:1" ht="15.75" customHeight="1">
      <c r="A914" s="47"/>
    </row>
    <row r="915" spans="1:1" ht="15.75" customHeight="1">
      <c r="A915" s="47"/>
    </row>
    <row r="916" spans="1:1" ht="15.75" customHeight="1">
      <c r="A916" s="47"/>
    </row>
    <row r="917" spans="1:1" ht="15.75" customHeight="1">
      <c r="A917" s="47"/>
    </row>
    <row r="918" spans="1:1" ht="15.75" customHeight="1">
      <c r="A918" s="47"/>
    </row>
    <row r="919" spans="1:1" ht="15.75" customHeight="1">
      <c r="A919" s="47"/>
    </row>
    <row r="920" spans="1:1" ht="15.75" customHeight="1">
      <c r="A920" s="47"/>
    </row>
    <row r="921" spans="1:1" ht="15.75" customHeight="1">
      <c r="A921" s="47"/>
    </row>
    <row r="922" spans="1:1" ht="15.75" customHeight="1">
      <c r="A922" s="47"/>
    </row>
    <row r="923" spans="1:1" ht="15.75" customHeight="1">
      <c r="A923" s="47"/>
    </row>
    <row r="924" spans="1:1" ht="15.75" customHeight="1">
      <c r="A924" s="47"/>
    </row>
    <row r="925" spans="1:1" ht="15.75" customHeight="1">
      <c r="A925" s="47"/>
    </row>
    <row r="926" spans="1:1" ht="15.75" customHeight="1">
      <c r="A926" s="47"/>
    </row>
    <row r="927" spans="1:1" ht="15.75" customHeight="1">
      <c r="A927" s="47"/>
    </row>
    <row r="928" spans="1:1" ht="15.75" customHeight="1">
      <c r="A928" s="47"/>
    </row>
    <row r="929" spans="1:1" ht="15.75" customHeight="1">
      <c r="A929" s="47"/>
    </row>
    <row r="930" spans="1:1" ht="15.75" customHeight="1">
      <c r="A930" s="47"/>
    </row>
    <row r="931" spans="1:1" ht="15.75" customHeight="1">
      <c r="A931" s="47"/>
    </row>
    <row r="932" spans="1:1" ht="15.75" customHeight="1">
      <c r="A932" s="47"/>
    </row>
    <row r="933" spans="1:1" ht="15.75" customHeight="1">
      <c r="A933" s="47"/>
    </row>
    <row r="934" spans="1:1" ht="15.75" customHeight="1">
      <c r="A934" s="47"/>
    </row>
    <row r="935" spans="1:1" ht="15.75" customHeight="1">
      <c r="A935" s="47"/>
    </row>
    <row r="936" spans="1:1" ht="15.75" customHeight="1">
      <c r="A936" s="47"/>
    </row>
    <row r="937" spans="1:1" ht="15.75" customHeight="1">
      <c r="A937" s="47"/>
    </row>
    <row r="938" spans="1:1" ht="15.75" customHeight="1">
      <c r="A938" s="47"/>
    </row>
    <row r="939" spans="1:1" ht="15.75" customHeight="1">
      <c r="A939" s="47"/>
    </row>
    <row r="940" spans="1:1" ht="15.75" customHeight="1">
      <c r="A940" s="47"/>
    </row>
    <row r="941" spans="1:1" ht="15.75" customHeight="1">
      <c r="A941" s="47"/>
    </row>
    <row r="942" spans="1:1" ht="15.75" customHeight="1">
      <c r="A942" s="47"/>
    </row>
    <row r="943" spans="1:1" ht="15.75" customHeight="1">
      <c r="A943" s="47"/>
    </row>
    <row r="944" spans="1:1" ht="15.75" customHeight="1">
      <c r="A944" s="47"/>
    </row>
    <row r="945" spans="1:1" ht="15.75" customHeight="1">
      <c r="A945" s="47"/>
    </row>
    <row r="946" spans="1:1" ht="15.75" customHeight="1">
      <c r="A946" s="47"/>
    </row>
    <row r="947" spans="1:1" ht="15.75" customHeight="1">
      <c r="A947" s="47"/>
    </row>
    <row r="948" spans="1:1" ht="15.75" customHeight="1">
      <c r="A948" s="47"/>
    </row>
    <row r="949" spans="1:1" ht="15.75" customHeight="1">
      <c r="A949" s="47"/>
    </row>
    <row r="950" spans="1:1" ht="15.75" customHeight="1">
      <c r="A950" s="47"/>
    </row>
    <row r="951" spans="1:1" ht="15.75" customHeight="1">
      <c r="A951" s="47"/>
    </row>
    <row r="952" spans="1:1" ht="15.75" customHeight="1">
      <c r="A952" s="47"/>
    </row>
    <row r="953" spans="1:1" ht="15.75" customHeight="1">
      <c r="A953" s="47"/>
    </row>
    <row r="954" spans="1:1" ht="15.75" customHeight="1">
      <c r="A954" s="47"/>
    </row>
    <row r="955" spans="1:1" ht="15.75" customHeight="1">
      <c r="A955" s="47"/>
    </row>
    <row r="956" spans="1:1" ht="15.75" customHeight="1">
      <c r="A956" s="47"/>
    </row>
    <row r="957" spans="1:1" ht="15.75" customHeight="1">
      <c r="A957" s="47"/>
    </row>
    <row r="958" spans="1:1" ht="15.75" customHeight="1">
      <c r="A958" s="47"/>
    </row>
    <row r="959" spans="1:1" ht="15.75" customHeight="1">
      <c r="A959" s="47"/>
    </row>
    <row r="960" spans="1:1" ht="15.75" customHeight="1">
      <c r="A960" s="47"/>
    </row>
    <row r="961" spans="1:1" ht="15.75" customHeight="1">
      <c r="A961" s="47"/>
    </row>
    <row r="962" spans="1:1" ht="15.75" customHeight="1">
      <c r="A962" s="47"/>
    </row>
    <row r="963" spans="1:1" ht="15.75" customHeight="1">
      <c r="A963" s="47"/>
    </row>
    <row r="964" spans="1:1" ht="15.75" customHeight="1">
      <c r="A964" s="47"/>
    </row>
    <row r="965" spans="1:1" ht="15.75" customHeight="1">
      <c r="A965" s="47"/>
    </row>
    <row r="966" spans="1:1" ht="15.75" customHeight="1">
      <c r="A966" s="47"/>
    </row>
    <row r="967" spans="1:1" ht="15.75" customHeight="1">
      <c r="A967" s="47"/>
    </row>
    <row r="968" spans="1:1" ht="15.75" customHeight="1">
      <c r="A968" s="47"/>
    </row>
    <row r="969" spans="1:1" ht="15.75" customHeight="1">
      <c r="A969" s="47"/>
    </row>
    <row r="970" spans="1:1" ht="15.75" customHeight="1">
      <c r="A970" s="47"/>
    </row>
    <row r="971" spans="1:1" ht="15.75" customHeight="1">
      <c r="A971" s="47"/>
    </row>
    <row r="972" spans="1:1" ht="15.75" customHeight="1">
      <c r="A972" s="47"/>
    </row>
    <row r="973" spans="1:1" ht="15.75" customHeight="1">
      <c r="A973" s="47"/>
    </row>
    <row r="974" spans="1:1" ht="15.75" customHeight="1">
      <c r="A974" s="47"/>
    </row>
    <row r="975" spans="1:1" ht="15.75" customHeight="1">
      <c r="A975" s="47"/>
    </row>
    <row r="976" spans="1:1" ht="15.75" customHeight="1">
      <c r="A976" s="47"/>
    </row>
    <row r="977" spans="1:1" ht="15.75" customHeight="1">
      <c r="A977" s="47"/>
    </row>
    <row r="978" spans="1:1" ht="15.75" customHeight="1">
      <c r="A978" s="47"/>
    </row>
    <row r="979" spans="1:1" ht="15.75" customHeight="1">
      <c r="A979" s="47"/>
    </row>
    <row r="980" spans="1:1" ht="15.75" customHeight="1">
      <c r="A980" s="47"/>
    </row>
    <row r="981" spans="1:1" ht="15.75" customHeight="1">
      <c r="A981" s="47"/>
    </row>
    <row r="982" spans="1:1" ht="15.75" customHeight="1">
      <c r="A982" s="47"/>
    </row>
    <row r="983" spans="1:1" ht="15.75" customHeight="1">
      <c r="A983" s="47"/>
    </row>
    <row r="984" spans="1:1" ht="15.75" customHeight="1">
      <c r="A984" s="47"/>
    </row>
    <row r="985" spans="1:1" ht="15.75" customHeight="1">
      <c r="A985" s="47"/>
    </row>
    <row r="986" spans="1:1" ht="15.75" customHeight="1">
      <c r="A986" s="47"/>
    </row>
    <row r="987" spans="1:1" ht="15.75" customHeight="1">
      <c r="A987" s="47"/>
    </row>
    <row r="988" spans="1:1" ht="15.75" customHeight="1">
      <c r="A988" s="47"/>
    </row>
    <row r="989" spans="1:1" ht="15.75" customHeight="1">
      <c r="A989" s="47"/>
    </row>
    <row r="990" spans="1:1" ht="15.75" customHeight="1">
      <c r="A990" s="47"/>
    </row>
    <row r="991" spans="1:1" ht="15.75" customHeight="1">
      <c r="A991" s="47"/>
    </row>
    <row r="992" spans="1:1" ht="15.75" customHeight="1">
      <c r="A992" s="47"/>
    </row>
    <row r="993" spans="1:1" ht="15.75" customHeight="1">
      <c r="A993" s="47"/>
    </row>
    <row r="994" spans="1:1" ht="15.75" customHeight="1">
      <c r="A994" s="47"/>
    </row>
    <row r="995" spans="1:1" ht="15.75" customHeight="1">
      <c r="A995" s="47"/>
    </row>
    <row r="996" spans="1:1" ht="15.75" customHeight="1">
      <c r="A996" s="47"/>
    </row>
    <row r="997" spans="1:1" ht="15.75" customHeight="1">
      <c r="A997" s="47"/>
    </row>
    <row r="998" spans="1:1" ht="15.75" customHeight="1">
      <c r="A998" s="47"/>
    </row>
    <row r="999" spans="1:1" ht="15.75" customHeight="1">
      <c r="A999" s="47"/>
    </row>
    <row r="1000" spans="1:1" ht="15.75" customHeight="1">
      <c r="A1000" s="47"/>
    </row>
    <row r="1001" spans="1:1" ht="15.75" customHeight="1">
      <c r="A1001" s="47"/>
    </row>
    <row r="1002" spans="1:1" ht="15.75" customHeight="1">
      <c r="A1002" s="47"/>
    </row>
    <row r="1003" spans="1:1" ht="15.75" customHeight="1">
      <c r="A1003" s="47"/>
    </row>
    <row r="1004" spans="1:1" ht="15.75" customHeight="1">
      <c r="A1004" s="47"/>
    </row>
    <row r="1005" spans="1:1" ht="15.75" customHeight="1">
      <c r="A1005" s="47"/>
    </row>
    <row r="1006" spans="1:1" ht="15.75" customHeight="1">
      <c r="A1006" s="47"/>
    </row>
    <row r="1007" spans="1:1" ht="15.75" customHeight="1">
      <c r="A1007" s="47"/>
    </row>
    <row r="1008" spans="1:1" ht="15.75" customHeight="1">
      <c r="A1008" s="47"/>
    </row>
    <row r="1009" spans="1:1" ht="15.75" customHeight="1">
      <c r="A1009" s="47"/>
    </row>
    <row r="1010" spans="1:1" ht="15.75" customHeight="1">
      <c r="A1010" s="47"/>
    </row>
    <row r="1011" spans="1:1" ht="15.75" customHeight="1">
      <c r="A1011" s="47"/>
    </row>
    <row r="1012" spans="1:1" ht="15.75" customHeight="1">
      <c r="A1012" s="47"/>
    </row>
    <row r="1013" spans="1:1" ht="15.75" customHeight="1">
      <c r="A1013" s="47"/>
    </row>
    <row r="1014" spans="1:1" ht="15.75" customHeight="1">
      <c r="A1014" s="47"/>
    </row>
    <row r="1015" spans="1:1" ht="15.75" customHeight="1">
      <c r="A1015" s="47"/>
    </row>
    <row r="1016" spans="1:1" ht="15.75" customHeight="1">
      <c r="A1016" s="47"/>
    </row>
    <row r="1017" spans="1:1" ht="15.75" customHeight="1">
      <c r="A1017" s="47"/>
    </row>
    <row r="1018" spans="1:1" ht="15.75" customHeight="1">
      <c r="A1018" s="47"/>
    </row>
    <row r="1019" spans="1:1" ht="15.75" customHeight="1">
      <c r="A1019" s="47"/>
    </row>
    <row r="1020" spans="1:1" ht="15.75" customHeight="1">
      <c r="A1020" s="47"/>
    </row>
    <row r="1021" spans="1:1" ht="15.75" customHeight="1">
      <c r="A1021" s="47"/>
    </row>
    <row r="1022" spans="1:1" ht="15.75" customHeight="1">
      <c r="A1022" s="47"/>
    </row>
    <row r="1023" spans="1:1" ht="15.75" customHeight="1">
      <c r="A1023" s="47"/>
    </row>
    <row r="1024" spans="1:1" ht="15.75" customHeight="1">
      <c r="A1024" s="47"/>
    </row>
    <row r="1025" spans="1:1" ht="15.75" customHeight="1">
      <c r="A1025" s="47"/>
    </row>
    <row r="1026" spans="1:1" ht="15.75" customHeight="1">
      <c r="A1026" s="47"/>
    </row>
    <row r="1027" spans="1:1" ht="15.75" customHeight="1">
      <c r="A1027" s="47"/>
    </row>
    <row r="1028" spans="1:1" ht="15.75" customHeight="1">
      <c r="A1028" s="47"/>
    </row>
    <row r="1029" spans="1:1" ht="15.75" customHeight="1">
      <c r="A1029" s="47"/>
    </row>
    <row r="1030" spans="1:1" ht="15.75" customHeight="1">
      <c r="A1030" s="47"/>
    </row>
    <row r="1031" spans="1:1" ht="15.75" customHeight="1">
      <c r="A1031" s="47"/>
    </row>
    <row r="1032" spans="1:1" ht="15.75" customHeight="1">
      <c r="A1032" s="47"/>
    </row>
    <row r="1033" spans="1:1" ht="15.75" customHeight="1">
      <c r="A1033" s="47"/>
    </row>
    <row r="1034" spans="1:1" ht="15.75" customHeight="1">
      <c r="A1034" s="47"/>
    </row>
    <row r="1035" spans="1:1" ht="15.75" customHeight="1">
      <c r="A1035" s="47"/>
    </row>
    <row r="1036" spans="1:1" ht="15.75" customHeight="1">
      <c r="A1036" s="47"/>
    </row>
    <row r="1037" spans="1:1" ht="15.75" customHeight="1">
      <c r="A1037" s="47"/>
    </row>
    <row r="1038" spans="1:1" ht="15.75" customHeight="1">
      <c r="A1038" s="47"/>
    </row>
    <row r="1039" spans="1:1" ht="15.75" customHeight="1">
      <c r="A1039" s="47"/>
    </row>
  </sheetData>
  <mergeCells count="9">
    <mergeCell ref="A263:I269"/>
    <mergeCell ref="A373:F376"/>
    <mergeCell ref="A382:F387"/>
    <mergeCell ref="A3:E3"/>
    <mergeCell ref="A14:B14"/>
    <mergeCell ref="A115:B115"/>
    <mergeCell ref="A123:B123"/>
    <mergeCell ref="A165:B165"/>
    <mergeCell ref="A333:E33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6356F-2BCD-4BF1-AD69-88D007BB01A7}">
  <dimension ref="A1:P1039"/>
  <sheetViews>
    <sheetView topLeftCell="A292" zoomScaleNormal="100" workbookViewId="0">
      <selection activeCell="N305" sqref="N305"/>
    </sheetView>
  </sheetViews>
  <sheetFormatPr defaultColWidth="14.42578125" defaultRowHeight="15"/>
  <cols>
    <col min="1" max="1" width="20.28515625" customWidth="1"/>
    <col min="2" max="2" width="21.7109375" customWidth="1"/>
    <col min="3" max="3" width="8.7109375" customWidth="1"/>
    <col min="4" max="4" width="12.85546875" customWidth="1"/>
    <col min="5" max="26" width="8.7109375" customWidth="1"/>
  </cols>
  <sheetData>
    <row r="1" spans="1:7" ht="18">
      <c r="C1" s="21" t="s">
        <v>462</v>
      </c>
    </row>
    <row r="2" spans="1:7" ht="129.6" customHeight="1">
      <c r="A2" s="44" t="s">
        <v>463</v>
      </c>
      <c r="B2" s="35"/>
    </row>
    <row r="3" spans="1:7">
      <c r="A3" s="27" t="s">
        <v>290</v>
      </c>
      <c r="B3" s="27">
        <v>1</v>
      </c>
    </row>
    <row r="4" spans="1:7">
      <c r="A4" s="27" t="s">
        <v>43</v>
      </c>
      <c r="B4" s="27">
        <v>7.0000000000000007E-2</v>
      </c>
    </row>
    <row r="5" spans="1:7">
      <c r="A5" s="22" t="s">
        <v>464</v>
      </c>
      <c r="B5" s="27" t="s">
        <v>465</v>
      </c>
      <c r="C5" s="27" t="s">
        <v>466</v>
      </c>
    </row>
    <row r="6" spans="1:7">
      <c r="A6" s="27">
        <v>0</v>
      </c>
      <c r="B6" s="27">
        <v>250</v>
      </c>
      <c r="C6" s="27">
        <f t="shared" ref="C6:C9" si="0">1/(1+$B$4)^(A6-$B$3)</f>
        <v>1.07</v>
      </c>
    </row>
    <row r="7" spans="1:7">
      <c r="A7" s="27">
        <v>1</v>
      </c>
      <c r="B7" s="27">
        <v>300</v>
      </c>
      <c r="C7" s="27">
        <f t="shared" si="0"/>
        <v>1</v>
      </c>
    </row>
    <row r="8" spans="1:7">
      <c r="A8" s="27">
        <v>2</v>
      </c>
      <c r="B8" s="27">
        <v>400</v>
      </c>
      <c r="C8" s="27">
        <f t="shared" si="0"/>
        <v>0.93457943925233644</v>
      </c>
    </row>
    <row r="9" spans="1:7">
      <c r="A9" s="27">
        <v>3</v>
      </c>
      <c r="B9" s="27">
        <v>200</v>
      </c>
      <c r="C9" s="27">
        <f t="shared" si="0"/>
        <v>0.87343872827321156</v>
      </c>
    </row>
    <row r="11" spans="1:7">
      <c r="A11" s="27" t="s">
        <v>467</v>
      </c>
      <c r="B11" s="27">
        <f>SUMPRODUCT(B6:B9,C6:C9)</f>
        <v>1116.0195213555769</v>
      </c>
    </row>
    <row r="13" spans="1:7" ht="240">
      <c r="A13" s="46" t="s">
        <v>468</v>
      </c>
    </row>
    <row r="14" spans="1:7">
      <c r="A14" s="22" t="s">
        <v>469</v>
      </c>
      <c r="B14" s="27" t="s">
        <v>470</v>
      </c>
      <c r="D14" s="22" t="s">
        <v>471</v>
      </c>
      <c r="E14" s="27" t="s">
        <v>472</v>
      </c>
    </row>
    <row r="15" spans="1:7">
      <c r="A15" s="27">
        <v>1</v>
      </c>
      <c r="B15" s="27">
        <v>320</v>
      </c>
      <c r="D15" s="27">
        <v>1</v>
      </c>
      <c r="E15" s="27">
        <v>200</v>
      </c>
    </row>
    <row r="16" spans="1:7">
      <c r="A16" s="27">
        <v>2</v>
      </c>
      <c r="B16" s="27">
        <v>150</v>
      </c>
      <c r="D16" s="27">
        <v>2</v>
      </c>
      <c r="E16" s="27">
        <v>279</v>
      </c>
      <c r="G16" s="27" t="s">
        <v>473</v>
      </c>
    </row>
    <row r="17" spans="1:5">
      <c r="A17" s="27">
        <v>3</v>
      </c>
      <c r="B17" s="27">
        <v>210</v>
      </c>
      <c r="D17" s="27">
        <v>3</v>
      </c>
      <c r="E17" s="27">
        <v>205</v>
      </c>
    </row>
    <row r="19" spans="1:5" ht="14.45" customHeight="1">
      <c r="A19" s="27" t="s">
        <v>474</v>
      </c>
    </row>
    <row r="20" spans="1:5">
      <c r="A20" s="22" t="s">
        <v>161</v>
      </c>
    </row>
    <row r="21" spans="1:5">
      <c r="A21" s="27" t="s">
        <v>475</v>
      </c>
      <c r="B21" s="34">
        <v>0.11</v>
      </c>
    </row>
    <row r="22" spans="1:5" ht="15.75" customHeight="1">
      <c r="A22" s="27" t="s">
        <v>476</v>
      </c>
      <c r="B22" s="27">
        <v>0</v>
      </c>
    </row>
    <row r="23" spans="1:5" ht="15.75" customHeight="1">
      <c r="A23" s="27" t="s">
        <v>476</v>
      </c>
      <c r="B23" s="27">
        <v>4</v>
      </c>
    </row>
    <row r="24" spans="1:5" ht="15.75" customHeight="1">
      <c r="A24" s="27" t="s">
        <v>476</v>
      </c>
      <c r="B24" s="27">
        <v>1</v>
      </c>
      <c r="C24" s="27">
        <v>2</v>
      </c>
      <c r="D24" s="27">
        <v>3</v>
      </c>
      <c r="E24" s="27">
        <v>4</v>
      </c>
    </row>
    <row r="25" spans="1:5" ht="15.75" customHeight="1">
      <c r="A25" s="27" t="s">
        <v>477</v>
      </c>
      <c r="B25" s="27">
        <v>-1500</v>
      </c>
      <c r="C25" s="27">
        <v>6000</v>
      </c>
      <c r="D25" s="27">
        <v>-23275</v>
      </c>
      <c r="E25" s="27">
        <v>710452</v>
      </c>
    </row>
    <row r="26" spans="1:5" ht="15.75" customHeight="1">
      <c r="A26" s="27" t="s">
        <v>478</v>
      </c>
      <c r="B26" s="27">
        <f t="shared" ref="B26:E26" si="1">(1+$B$21)^(B24-$B$22)</f>
        <v>1.1100000000000001</v>
      </c>
      <c r="C26" s="27">
        <f t="shared" si="1"/>
        <v>1.2321000000000002</v>
      </c>
      <c r="D26" s="27">
        <f t="shared" si="1"/>
        <v>1.3676310000000003</v>
      </c>
      <c r="E26" s="27">
        <f t="shared" si="1"/>
        <v>1.5180704100000004</v>
      </c>
    </row>
    <row r="27" spans="1:5" ht="15.75" customHeight="1">
      <c r="B27" s="27">
        <f t="shared" ref="B27:E27" si="2">B25/(B26)</f>
        <v>-1351.3513513513512</v>
      </c>
      <c r="C27" s="27">
        <f t="shared" si="2"/>
        <v>4869.7345994643283</v>
      </c>
      <c r="D27" s="27">
        <f t="shared" si="2"/>
        <v>-17018.479399779615</v>
      </c>
      <c r="E27" s="27">
        <f t="shared" si="2"/>
        <v>467996.73804326361</v>
      </c>
    </row>
    <row r="28" spans="1:5" ht="15.75" customHeight="1">
      <c r="A28" s="27" t="s">
        <v>479</v>
      </c>
      <c r="B28" s="27">
        <f>SUM(B27:E27)</f>
        <v>454496.64189159696</v>
      </c>
    </row>
    <row r="29" spans="1:5" ht="15.75" customHeight="1"/>
    <row r="30" spans="1:5" ht="15.75" customHeight="1">
      <c r="A30" s="27" t="s">
        <v>480</v>
      </c>
      <c r="B30" s="27">
        <f t="shared" ref="B30:E30" si="3">(1+$B$21)^($B$23-B24)</f>
        <v>1.3676310000000003</v>
      </c>
      <c r="C30" s="27">
        <f t="shared" si="3"/>
        <v>1.2321000000000002</v>
      </c>
      <c r="D30" s="27">
        <f t="shared" si="3"/>
        <v>1.1100000000000001</v>
      </c>
      <c r="E30" s="27">
        <f t="shared" si="3"/>
        <v>1</v>
      </c>
    </row>
    <row r="31" spans="1:5" ht="15.75" customHeight="1">
      <c r="B31" s="27">
        <f t="shared" ref="B31:E31" si="4">B25*B30</f>
        <v>-2051.4465000000005</v>
      </c>
      <c r="C31" s="27">
        <f t="shared" si="4"/>
        <v>7392.6000000000013</v>
      </c>
      <c r="D31" s="27">
        <f t="shared" si="4"/>
        <v>-25835.250000000004</v>
      </c>
      <c r="E31" s="27">
        <f t="shared" si="4"/>
        <v>710452</v>
      </c>
    </row>
    <row r="32" spans="1:5" ht="15.75" customHeight="1">
      <c r="A32" s="27" t="s">
        <v>481</v>
      </c>
      <c r="B32" s="27">
        <f>SUM(B31:E31)</f>
        <v>689957.90350000001</v>
      </c>
    </row>
    <row r="33" spans="1:5" ht="15.75" customHeight="1">
      <c r="A33" s="27" t="s">
        <v>482</v>
      </c>
    </row>
    <row r="34" spans="1:5" ht="15.75" customHeight="1">
      <c r="A34" s="22" t="s">
        <v>302</v>
      </c>
    </row>
    <row r="35" spans="1:5" ht="15.75" customHeight="1">
      <c r="A35" s="27">
        <v>-2500</v>
      </c>
      <c r="B35" s="27">
        <v>0</v>
      </c>
    </row>
    <row r="36" spans="1:5" ht="15.75" customHeight="1">
      <c r="A36" s="27">
        <v>1400</v>
      </c>
      <c r="B36" s="27">
        <v>1</v>
      </c>
    </row>
    <row r="37" spans="1:5" ht="15.75" customHeight="1">
      <c r="A37" s="27">
        <v>4000</v>
      </c>
      <c r="B37" s="27">
        <v>2</v>
      </c>
    </row>
    <row r="38" spans="1:5" ht="15.75" customHeight="1"/>
    <row r="39" spans="1:5" ht="15.75" customHeight="1">
      <c r="B39" s="27" t="s">
        <v>483</v>
      </c>
      <c r="D39" s="27" t="s">
        <v>484</v>
      </c>
    </row>
    <row r="40" spans="1:5" ht="15.75" customHeight="1">
      <c r="A40" s="27" t="s">
        <v>394</v>
      </c>
      <c r="B40" s="27">
        <f>14*14+4*40*25</f>
        <v>4196</v>
      </c>
      <c r="D40" s="27" t="s">
        <v>485</v>
      </c>
    </row>
    <row r="41" spans="1:5" ht="15.75" customHeight="1">
      <c r="A41" s="27" t="s">
        <v>486</v>
      </c>
      <c r="B41" s="27">
        <f>(-14+SQRT(B40))/80</f>
        <v>0.63470673703508229</v>
      </c>
    </row>
    <row r="42" spans="1:5" ht="15.75" customHeight="1">
      <c r="D42" s="27" t="s">
        <v>487</v>
      </c>
      <c r="E42" s="36">
        <f>1/B41-1</f>
        <v>0.57553077925613194</v>
      </c>
    </row>
    <row r="43" spans="1:5" ht="15.75" customHeight="1">
      <c r="A43" s="26" t="s">
        <v>488</v>
      </c>
    </row>
    <row r="44" spans="1:5" ht="15.75" customHeight="1">
      <c r="A44" s="22" t="s">
        <v>183</v>
      </c>
    </row>
    <row r="45" spans="1:5" ht="15.75" customHeight="1">
      <c r="A45" s="27" t="s">
        <v>43</v>
      </c>
      <c r="B45" s="34">
        <v>0.1</v>
      </c>
    </row>
    <row r="46" spans="1:5" ht="15.75" customHeight="1"/>
    <row r="47" spans="1:5" ht="15.75" customHeight="1">
      <c r="A47" s="22" t="s">
        <v>464</v>
      </c>
      <c r="B47" s="27" t="s">
        <v>465</v>
      </c>
    </row>
    <row r="48" spans="1:5" ht="15.75" customHeight="1">
      <c r="A48" s="27">
        <v>0</v>
      </c>
      <c r="B48" s="27">
        <v>-1</v>
      </c>
    </row>
    <row r="49" spans="1:2" ht="15.75" customHeight="1">
      <c r="A49" s="27">
        <v>1</v>
      </c>
      <c r="B49" s="27">
        <v>0.5</v>
      </c>
    </row>
    <row r="50" spans="1:2" ht="15.75" customHeight="1">
      <c r="A50" s="27">
        <v>2</v>
      </c>
      <c r="B50" s="27">
        <v>0.3</v>
      </c>
    </row>
    <row r="51" spans="1:2" ht="15.75" customHeight="1">
      <c r="A51" s="27">
        <v>3</v>
      </c>
      <c r="B51" s="27">
        <v>0.25</v>
      </c>
    </row>
    <row r="52" spans="1:2" ht="15.75" customHeight="1">
      <c r="A52" s="27">
        <v>4</v>
      </c>
      <c r="B52" s="27" t="s">
        <v>408</v>
      </c>
    </row>
    <row r="53" spans="1:2" ht="15.75" customHeight="1"/>
    <row r="54" spans="1:2" ht="15.75" customHeight="1">
      <c r="A54" s="27" t="s">
        <v>489</v>
      </c>
    </row>
    <row r="55" spans="1:2" ht="15.75" customHeight="1">
      <c r="A55" s="27">
        <f>0.5 / 1.1</f>
        <v>0.45454545454545453</v>
      </c>
    </row>
    <row r="56" spans="1:2" ht="15.75" customHeight="1">
      <c r="A56" s="27">
        <f>0.3 / (1.1)^2</f>
        <v>0.24793388429752061</v>
      </c>
    </row>
    <row r="57" spans="1:2" ht="15.75" customHeight="1">
      <c r="A57" s="27">
        <f>0.25 / (1.1)^3</f>
        <v>0.18782870022539438</v>
      </c>
    </row>
    <row r="58" spans="1:2" ht="15.75" customHeight="1">
      <c r="A58" s="27">
        <f>-1 +A55 +A56+A57</f>
        <v>-0.10969196093163042</v>
      </c>
    </row>
    <row r="59" spans="1:2" ht="15.75" customHeight="1">
      <c r="A59" s="27" t="s">
        <v>490</v>
      </c>
    </row>
    <row r="60" spans="1:2" ht="15.75" customHeight="1">
      <c r="A60" s="27" t="s">
        <v>491</v>
      </c>
    </row>
    <row r="61" spans="1:2" ht="15.75" customHeight="1">
      <c r="A61" s="27">
        <f>((1.1)^4) * (-A58)</f>
        <v>0.16060000000000013</v>
      </c>
    </row>
    <row r="62" spans="1:2" ht="15.75" customHeight="1">
      <c r="A62" s="27">
        <f>A61 * (10^6)</f>
        <v>160600.00000000015</v>
      </c>
    </row>
    <row r="63" spans="1:2" ht="15.75" customHeight="1">
      <c r="A63" s="27" t="s">
        <v>492</v>
      </c>
    </row>
    <row r="64" spans="1:2" ht="15.75" customHeight="1">
      <c r="A64" s="27" t="s">
        <v>493</v>
      </c>
    </row>
    <row r="65" spans="1:4" ht="15.75" customHeight="1">
      <c r="A65" s="22" t="s">
        <v>464</v>
      </c>
      <c r="B65" s="27" t="s">
        <v>465</v>
      </c>
      <c r="C65" s="27" t="s">
        <v>494</v>
      </c>
      <c r="D65" s="27" t="s">
        <v>495</v>
      </c>
    </row>
    <row r="66" spans="1:4" ht="15.75" customHeight="1">
      <c r="A66" s="27">
        <v>0</v>
      </c>
      <c r="B66" s="27">
        <v>150</v>
      </c>
      <c r="C66" s="27">
        <f>SUMPRODUCT(B66:B69,A66:A69)</f>
        <v>1400</v>
      </c>
      <c r="D66" s="27">
        <f>SUM(B66:B69)</f>
        <v>900</v>
      </c>
    </row>
    <row r="67" spans="1:4" ht="15.75" customHeight="1">
      <c r="A67" s="27">
        <v>1</v>
      </c>
      <c r="B67" s="27">
        <v>250</v>
      </c>
    </row>
    <row r="68" spans="1:4" ht="15.75" customHeight="1">
      <c r="A68" s="27">
        <v>2</v>
      </c>
      <c r="B68" s="27">
        <v>350</v>
      </c>
    </row>
    <row r="69" spans="1:4" ht="15.75" customHeight="1">
      <c r="A69" s="27">
        <v>3</v>
      </c>
      <c r="B69" s="27">
        <v>150</v>
      </c>
    </row>
    <row r="70" spans="1:4" ht="15.75" customHeight="1"/>
    <row r="71" spans="1:4" ht="15.75" customHeight="1">
      <c r="A71" s="27" t="s">
        <v>290</v>
      </c>
      <c r="B71" s="27">
        <f>C66/D66</f>
        <v>1.5555555555555556</v>
      </c>
    </row>
    <row r="72" spans="1:4" ht="15.75" customHeight="1">
      <c r="A72" s="23" t="s">
        <v>496</v>
      </c>
    </row>
    <row r="73" spans="1:4" ht="15.75" customHeight="1">
      <c r="A73" s="27" t="s">
        <v>497</v>
      </c>
    </row>
    <row r="74" spans="1:4" ht="15.75" customHeight="1">
      <c r="A74" s="27" t="s">
        <v>82</v>
      </c>
      <c r="B74" s="212">
        <v>0.08</v>
      </c>
    </row>
    <row r="75" spans="1:4" ht="15.75" customHeight="1">
      <c r="A75" s="27" t="s">
        <v>464</v>
      </c>
      <c r="B75" s="27" t="s">
        <v>477</v>
      </c>
      <c r="C75" s="27" t="s">
        <v>498</v>
      </c>
      <c r="D75" s="27" t="s">
        <v>499</v>
      </c>
    </row>
    <row r="76" spans="1:4" ht="15.75" customHeight="1">
      <c r="A76" s="27">
        <v>1</v>
      </c>
      <c r="B76" s="27">
        <v>200</v>
      </c>
      <c r="C76" s="27">
        <f>(1+$B$74)^(-A76)*B76</f>
        <v>185.18518518518516</v>
      </c>
      <c r="D76" s="27">
        <f>C76/SUM($C$76:$C$79)</f>
        <v>0.18384717230943826</v>
      </c>
    </row>
    <row r="77" spans="1:4" ht="15.75" customHeight="1">
      <c r="A77" s="27">
        <v>2</v>
      </c>
      <c r="B77" s="27">
        <v>570</v>
      </c>
      <c r="C77" s="27">
        <f>(1+$B$74)^(-A77)*B77</f>
        <v>488.68312757201642</v>
      </c>
      <c r="D77" s="27">
        <f t="shared" ref="D77:D78" si="5">C77/SUM($C$76:$C$79)</f>
        <v>0.4851522602610176</v>
      </c>
    </row>
    <row r="78" spans="1:4" ht="15.75" customHeight="1">
      <c r="A78" s="27">
        <v>3</v>
      </c>
      <c r="B78" s="27">
        <v>420</v>
      </c>
      <c r="C78" s="27">
        <f t="shared" ref="C78" si="6">(1+$B$74)^(-A78)*B78</f>
        <v>333.4095412284712</v>
      </c>
      <c r="D78" s="27">
        <f t="shared" si="5"/>
        <v>0.33100056742954415</v>
      </c>
    </row>
    <row r="79" spans="1:4" ht="15.75" customHeight="1">
      <c r="A79" s="27"/>
      <c r="C79" s="27"/>
      <c r="D79" s="27"/>
    </row>
    <row r="80" spans="1:4" ht="15.75" customHeight="1">
      <c r="A80" s="27"/>
    </row>
    <row r="81" spans="1:2" ht="15.75" customHeight="1"/>
    <row r="82" spans="1:2" ht="15.75" customHeight="1">
      <c r="A82" s="27" t="s">
        <v>438</v>
      </c>
      <c r="B82" s="397">
        <f>SUMPRODUCT(A76:A78,D76:D78)</f>
        <v>2.1471533951201058</v>
      </c>
    </row>
    <row r="83" spans="1:2" ht="15.75" customHeight="1"/>
    <row r="84" spans="1:2" ht="15.75" customHeight="1">
      <c r="A84" s="78" t="s">
        <v>500</v>
      </c>
    </row>
    <row r="85" spans="1:2" ht="15.75" customHeight="1">
      <c r="A85" s="26" t="s">
        <v>501</v>
      </c>
    </row>
    <row r="86" spans="1:2" ht="15.75" customHeight="1">
      <c r="A86" s="27" t="s">
        <v>385</v>
      </c>
      <c r="B86" s="27">
        <v>7000</v>
      </c>
    </row>
    <row r="87" spans="1:2" ht="15.75" customHeight="1">
      <c r="A87" s="27" t="s">
        <v>502</v>
      </c>
      <c r="B87" s="27">
        <v>0.14000000000000001</v>
      </c>
    </row>
    <row r="88" spans="1:2" ht="15.75" customHeight="1">
      <c r="A88" s="27" t="s">
        <v>133</v>
      </c>
      <c r="B88" s="27">
        <v>12</v>
      </c>
    </row>
    <row r="89" spans="1:2" ht="15.75" customHeight="1"/>
    <row r="90" spans="1:2" ht="15.75" customHeight="1">
      <c r="A90" s="27" t="s">
        <v>503</v>
      </c>
      <c r="B90" s="27">
        <f>((1+B87)^B88-1)/B87</f>
        <v>27.270748713060684</v>
      </c>
    </row>
    <row r="91" spans="1:2" ht="15.75" customHeight="1">
      <c r="A91" s="27" t="s">
        <v>143</v>
      </c>
      <c r="B91" s="27">
        <f>B86*B90</f>
        <v>190895.2409914248</v>
      </c>
    </row>
    <row r="92" spans="1:2" ht="15.75" customHeight="1">
      <c r="A92" s="26" t="s">
        <v>504</v>
      </c>
    </row>
    <row r="93" spans="1:2" ht="15.75" customHeight="1">
      <c r="A93" s="27" t="s">
        <v>219</v>
      </c>
    </row>
    <row r="94" spans="1:2" ht="15.75" customHeight="1">
      <c r="A94" s="27" t="s">
        <v>505</v>
      </c>
      <c r="B94" s="27">
        <v>1650</v>
      </c>
    </row>
    <row r="95" spans="1:2" ht="15.75" customHeight="1">
      <c r="A95" s="27" t="s">
        <v>48</v>
      </c>
      <c r="B95" s="27">
        <v>8</v>
      </c>
    </row>
    <row r="96" spans="1:2" ht="15.75" customHeight="1">
      <c r="A96" s="27" t="s">
        <v>43</v>
      </c>
      <c r="B96" s="34">
        <v>0.12</v>
      </c>
    </row>
    <row r="97" spans="1:4" ht="15.75" customHeight="1"/>
    <row r="98" spans="1:4" ht="15.75" customHeight="1">
      <c r="A98" s="27" t="s">
        <v>428</v>
      </c>
      <c r="B98" s="27">
        <f>(1-(1+B96)^-B95)/B96</f>
        <v>4.967639766838591</v>
      </c>
    </row>
    <row r="99" spans="1:4" ht="15.75" customHeight="1">
      <c r="A99" s="27" t="s">
        <v>506</v>
      </c>
      <c r="B99" s="27">
        <f>B94*B98</f>
        <v>8196.6056152836754</v>
      </c>
    </row>
    <row r="100" spans="1:4" ht="15.75" customHeight="1">
      <c r="A100" s="26" t="s">
        <v>507</v>
      </c>
    </row>
    <row r="101" spans="1:4" ht="15.75" customHeight="1">
      <c r="A101" s="22" t="s">
        <v>227</v>
      </c>
    </row>
    <row r="102" spans="1:4" ht="15.75" customHeight="1"/>
    <row r="103" spans="1:4" ht="15.75" customHeight="1">
      <c r="A103" s="27" t="s">
        <v>48</v>
      </c>
      <c r="B103" s="27">
        <v>18</v>
      </c>
    </row>
    <row r="104" spans="1:4" ht="15.75" customHeight="1">
      <c r="A104" s="27" t="s">
        <v>43</v>
      </c>
      <c r="B104" s="36">
        <v>4.4999999999999998E-2</v>
      </c>
    </row>
    <row r="105" spans="1:4" ht="15.75" customHeight="1">
      <c r="A105" s="27" t="s">
        <v>124</v>
      </c>
      <c r="B105" s="27">
        <v>6</v>
      </c>
      <c r="C105" s="27" t="s">
        <v>508</v>
      </c>
      <c r="D105" s="27">
        <v>15000</v>
      </c>
    </row>
    <row r="106" spans="1:4" ht="15.75" customHeight="1">
      <c r="A106" s="27" t="s">
        <v>125</v>
      </c>
      <c r="B106" s="27">
        <v>4</v>
      </c>
      <c r="C106" s="27" t="s">
        <v>509</v>
      </c>
      <c r="D106" s="27">
        <v>18000</v>
      </c>
    </row>
    <row r="107" spans="1:4" ht="15.75" customHeight="1">
      <c r="A107" s="27" t="s">
        <v>126</v>
      </c>
      <c r="B107" s="27">
        <v>8</v>
      </c>
      <c r="C107" s="27" t="s">
        <v>510</v>
      </c>
      <c r="D107" s="27">
        <v>22000</v>
      </c>
    </row>
    <row r="108" spans="1:4" ht="15.75" customHeight="1"/>
    <row r="109" spans="1:4" ht="15.75" customHeight="1">
      <c r="A109" s="27" t="s">
        <v>511</v>
      </c>
      <c r="C109" s="27">
        <f>((1+B104)^B105-1)/B104</f>
        <v>6.7168916632781057</v>
      </c>
    </row>
    <row r="110" spans="1:4" ht="15.75" customHeight="1">
      <c r="A110" s="27" t="s">
        <v>512</v>
      </c>
      <c r="C110" s="27">
        <f>D105*C109</f>
        <v>100753.37494917159</v>
      </c>
    </row>
    <row r="111" spans="1:4" ht="15.75" customHeight="1">
      <c r="A111" s="27" t="s">
        <v>513</v>
      </c>
      <c r="D111" s="27">
        <f>C110*(1+B104)^12</f>
        <v>170865.77786499899</v>
      </c>
    </row>
    <row r="112" spans="1:4" ht="15.75" customHeight="1"/>
    <row r="113" spans="1:2" ht="15.75" customHeight="1"/>
    <row r="114" spans="1:2" ht="15.75" customHeight="1">
      <c r="A114" s="27" t="s">
        <v>514</v>
      </c>
      <c r="B114" s="27">
        <f>((1+B104)^B106-1)/B104</f>
        <v>4.2781911249999887</v>
      </c>
    </row>
    <row r="115" spans="1:2" ht="15.75" customHeight="1">
      <c r="A115" s="27" t="s">
        <v>515</v>
      </c>
      <c r="B115" s="27">
        <f>D106*B114</f>
        <v>77007.440249999796</v>
      </c>
    </row>
    <row r="116" spans="1:2" ht="15.75" customHeight="1">
      <c r="A116" s="27" t="s">
        <v>516</v>
      </c>
      <c r="B116" s="27">
        <f>B115*(1+B104)^(18-B105-B106)</f>
        <v>109512.3279725031</v>
      </c>
    </row>
    <row r="117" spans="1:2" ht="15.75" customHeight="1"/>
    <row r="118" spans="1:2" ht="15.75" customHeight="1">
      <c r="A118" s="27" t="s">
        <v>517</v>
      </c>
      <c r="B118" s="27">
        <f>((1+B104)^B107-1)/B104</f>
        <v>9.3800136185912653</v>
      </c>
    </row>
    <row r="119" spans="1:2" ht="15.75" customHeight="1">
      <c r="A119" s="27" t="s">
        <v>518</v>
      </c>
      <c r="B119" s="27">
        <f>D107*B118</f>
        <v>206360.29960900784</v>
      </c>
    </row>
    <row r="120" spans="1:2" ht="15.75" customHeight="1">
      <c r="A120" s="27" t="s">
        <v>519</v>
      </c>
      <c r="B120" s="27">
        <f>B119*(1+B104)^(18-B105-B106-B107)</f>
        <v>206360.29960900784</v>
      </c>
    </row>
    <row r="121" spans="1:2" ht="15.75" customHeight="1"/>
    <row r="122" spans="1:2" ht="15.75" customHeight="1">
      <c r="A122" s="27" t="s">
        <v>76</v>
      </c>
      <c r="B122" s="27">
        <f>D111+B116+B120</f>
        <v>486738.40544650995</v>
      </c>
    </row>
    <row r="123" spans="1:2" ht="15.75" customHeight="1"/>
    <row r="124" spans="1:2" ht="15.75" customHeight="1">
      <c r="A124" s="26" t="s">
        <v>520</v>
      </c>
    </row>
    <row r="125" spans="1:2" ht="15.75" customHeight="1">
      <c r="A125" s="27">
        <v>11</v>
      </c>
    </row>
    <row r="126" spans="1:2" ht="15.75" customHeight="1"/>
    <row r="127" spans="1:2" ht="15.75" customHeight="1">
      <c r="A127" s="27" t="s">
        <v>387</v>
      </c>
      <c r="B127" s="27">
        <v>15000</v>
      </c>
    </row>
    <row r="128" spans="1:2" ht="15.75" customHeight="1">
      <c r="A128" s="27" t="s">
        <v>521</v>
      </c>
      <c r="B128" s="34">
        <v>0.11</v>
      </c>
    </row>
    <row r="129" spans="1:14" ht="15.75" customHeight="1">
      <c r="A129" s="27" t="s">
        <v>48</v>
      </c>
      <c r="B129" s="27">
        <v>9</v>
      </c>
    </row>
    <row r="130" spans="1:14" ht="15.75" customHeight="1"/>
    <row r="131" spans="1:14" ht="15.75" customHeight="1">
      <c r="A131" s="27" t="s">
        <v>522</v>
      </c>
      <c r="B131" s="27">
        <f>((1+B128)^B129-1)/B128</f>
        <v>14.163972039877295</v>
      </c>
    </row>
    <row r="132" spans="1:14" ht="15.75" customHeight="1">
      <c r="A132" s="27" t="s">
        <v>97</v>
      </c>
      <c r="B132" s="27">
        <f>B127*B131</f>
        <v>212459.58059815943</v>
      </c>
    </row>
    <row r="133" spans="1:14" ht="15.75" customHeight="1">
      <c r="A133" s="27" t="s">
        <v>428</v>
      </c>
      <c r="B133" s="27">
        <f>(1-(1+B128)^(-B129))/B128</f>
        <v>5.537047532366743</v>
      </c>
    </row>
    <row r="134" spans="1:14" ht="15.75" customHeight="1">
      <c r="A134" s="27" t="s">
        <v>506</v>
      </c>
      <c r="B134" s="27">
        <f>B127*B133</f>
        <v>83055.712985501144</v>
      </c>
    </row>
    <row r="135" spans="1:14" ht="15.75" customHeight="1">
      <c r="A135" s="402" t="s">
        <v>523</v>
      </c>
      <c r="B135" s="402"/>
      <c r="C135" s="402"/>
      <c r="D135" s="402"/>
      <c r="E135" s="402"/>
      <c r="F135" s="402"/>
      <c r="G135" s="402"/>
      <c r="H135" s="402"/>
      <c r="I135" s="402"/>
      <c r="J135" s="402"/>
      <c r="K135" s="402"/>
      <c r="L135" s="402"/>
      <c r="M135" s="402"/>
      <c r="N135" s="402"/>
    </row>
    <row r="136" spans="1:14" ht="15.75" customHeight="1">
      <c r="A136" s="402"/>
      <c r="B136" s="402"/>
      <c r="C136" s="402"/>
      <c r="D136" s="402"/>
      <c r="E136" s="402"/>
      <c r="F136" s="402"/>
      <c r="G136" s="402"/>
      <c r="H136" s="402"/>
      <c r="I136" s="402"/>
      <c r="J136" s="402"/>
      <c r="K136" s="402"/>
      <c r="L136" s="402"/>
      <c r="M136" s="402"/>
      <c r="N136" s="402"/>
    </row>
    <row r="137" spans="1:14" ht="15.75" customHeight="1">
      <c r="A137" s="402"/>
      <c r="B137" s="402"/>
      <c r="C137" s="402"/>
      <c r="D137" s="402"/>
      <c r="E137" s="402"/>
      <c r="F137" s="402"/>
      <c r="G137" s="402"/>
      <c r="H137" s="402"/>
      <c r="I137" s="402"/>
      <c r="J137" s="402"/>
      <c r="K137" s="402"/>
      <c r="L137" s="402"/>
      <c r="M137" s="402"/>
      <c r="N137" s="402"/>
    </row>
    <row r="138" spans="1:14" ht="15.75" customHeight="1">
      <c r="A138" s="27" t="s">
        <v>524</v>
      </c>
      <c r="B138" s="27">
        <v>48456</v>
      </c>
    </row>
    <row r="139" spans="1:14" ht="15.75" customHeight="1">
      <c r="A139" s="27" t="s">
        <v>525</v>
      </c>
      <c r="B139" s="27">
        <v>12500</v>
      </c>
    </row>
    <row r="140" spans="1:14" ht="15.75" customHeight="1">
      <c r="A140" s="27" t="s">
        <v>526</v>
      </c>
      <c r="B140" s="27">
        <v>0.14000000000000001</v>
      </c>
    </row>
    <row r="141" spans="1:14" ht="15.75" customHeight="1"/>
    <row r="142" spans="1:14" ht="15.75" customHeight="1">
      <c r="A142" s="79">
        <f>-LN(1-(0.14*48456/12500))/LN(1+0.14)</f>
        <v>5.9714704191302053</v>
      </c>
    </row>
    <row r="143" spans="1:14" ht="15.75" customHeight="1">
      <c r="A143" s="24" t="s">
        <v>527</v>
      </c>
    </row>
    <row r="144" spans="1:14" ht="15.75" customHeight="1">
      <c r="A144" s="54" t="s">
        <v>260</v>
      </c>
    </row>
    <row r="145" spans="1:2" ht="15.75" customHeight="1">
      <c r="A145" s="27" t="s">
        <v>528</v>
      </c>
      <c r="B145" s="27">
        <v>700000</v>
      </c>
    </row>
    <row r="146" spans="1:2" ht="15.75" customHeight="1">
      <c r="A146" s="27" t="s">
        <v>475</v>
      </c>
      <c r="B146" s="27">
        <v>0.05</v>
      </c>
    </row>
    <row r="147" spans="1:2" ht="15.75" customHeight="1">
      <c r="A147" s="27" t="s">
        <v>529</v>
      </c>
      <c r="B147" s="27">
        <v>3</v>
      </c>
    </row>
    <row r="148" spans="1:2" ht="15.75" customHeight="1">
      <c r="A148" s="27" t="s">
        <v>530</v>
      </c>
      <c r="B148" s="27">
        <v>1400000</v>
      </c>
    </row>
    <row r="149" spans="1:2" ht="15.75" customHeight="1">
      <c r="A149" s="27" t="s">
        <v>385</v>
      </c>
      <c r="B149" s="27">
        <f>B148/10</f>
        <v>140000</v>
      </c>
    </row>
    <row r="150" spans="1:2" ht="15.75" customHeight="1">
      <c r="A150" s="26" t="s">
        <v>531</v>
      </c>
    </row>
    <row r="151" spans="1:2" ht="15.75" customHeight="1">
      <c r="A151" s="80"/>
    </row>
    <row r="152" spans="1:2" ht="15.75" customHeight="1">
      <c r="A152" s="26" t="s">
        <v>532</v>
      </c>
    </row>
    <row r="153" spans="1:2" ht="15.75" customHeight="1">
      <c r="A153" s="80"/>
    </row>
    <row r="154" spans="1:2" ht="15.75" customHeight="1">
      <c r="A154" s="26" t="s">
        <v>533</v>
      </c>
    </row>
    <row r="155" spans="1:2" ht="15.75" customHeight="1">
      <c r="A155" s="80"/>
    </row>
    <row r="156" spans="1:2" ht="15.75" customHeight="1">
      <c r="A156" s="26" t="s">
        <v>534</v>
      </c>
    </row>
    <row r="157" spans="1:2" ht="15.75" customHeight="1">
      <c r="A157" s="80"/>
    </row>
    <row r="158" spans="1:2" ht="15.75" customHeight="1">
      <c r="A158" s="26" t="s">
        <v>535</v>
      </c>
    </row>
    <row r="159" spans="1:2" ht="15.75" customHeight="1"/>
    <row r="160" spans="1:2" ht="15.75" customHeight="1">
      <c r="A160" s="21" t="s">
        <v>150</v>
      </c>
    </row>
    <row r="161" spans="1:3" ht="15.75" customHeight="1">
      <c r="A161" s="24" t="s">
        <v>536</v>
      </c>
    </row>
    <row r="162" spans="1:3" ht="15.75" customHeight="1">
      <c r="A162" s="27" t="s">
        <v>290</v>
      </c>
      <c r="B162" s="27">
        <v>3</v>
      </c>
    </row>
    <row r="163" spans="1:3" ht="15.75" customHeight="1">
      <c r="A163" s="27" t="s">
        <v>43</v>
      </c>
      <c r="B163" s="27">
        <v>0.09</v>
      </c>
    </row>
    <row r="164" spans="1:3" ht="15.75" customHeight="1">
      <c r="A164" s="27" t="s">
        <v>464</v>
      </c>
      <c r="B164" s="27" t="s">
        <v>465</v>
      </c>
      <c r="C164" s="27" t="s">
        <v>1469</v>
      </c>
    </row>
    <row r="165" spans="1:3" ht="15.75" customHeight="1">
      <c r="A165" s="27">
        <v>0</v>
      </c>
      <c r="B165" s="27">
        <v>600</v>
      </c>
      <c r="C165" s="27">
        <f>B165*(1+$B$163)^($B$162-A165)</f>
        <v>777.01740000000018</v>
      </c>
    </row>
    <row r="166" spans="1:3" ht="15.75" customHeight="1">
      <c r="A166" s="27">
        <v>1</v>
      </c>
      <c r="B166" s="27">
        <v>250</v>
      </c>
      <c r="C166" s="27">
        <f t="shared" ref="C166:C168" si="7">B166*(1+$B$163)^($B$162-A166)</f>
        <v>297.02500000000003</v>
      </c>
    </row>
    <row r="167" spans="1:3" ht="15.75" customHeight="1">
      <c r="A167" s="27">
        <v>2</v>
      </c>
      <c r="B167" s="27">
        <v>350</v>
      </c>
      <c r="C167" s="27">
        <f t="shared" si="7"/>
        <v>381.5</v>
      </c>
    </row>
    <row r="168" spans="1:3" ht="15.75" customHeight="1">
      <c r="A168" s="27">
        <v>3</v>
      </c>
      <c r="B168" s="27">
        <v>600</v>
      </c>
      <c r="C168" s="27">
        <f t="shared" si="7"/>
        <v>600</v>
      </c>
    </row>
    <row r="169" spans="1:3" ht="15.75" customHeight="1"/>
    <row r="170" spans="1:3" ht="15.75" customHeight="1">
      <c r="A170" s="27" t="s">
        <v>467</v>
      </c>
      <c r="B170" s="31">
        <f>SUM(C165:C168)</f>
        <v>2055.5424000000003</v>
      </c>
    </row>
    <row r="171" spans="1:3" ht="15.75" customHeight="1">
      <c r="A171" s="24" t="s">
        <v>537</v>
      </c>
    </row>
    <row r="172" spans="1:3" ht="15.75" customHeight="1">
      <c r="A172" s="27" t="s">
        <v>290</v>
      </c>
      <c r="B172" s="27">
        <v>0</v>
      </c>
    </row>
    <row r="173" spans="1:3" ht="15.75" customHeight="1">
      <c r="A173" s="27" t="s">
        <v>43</v>
      </c>
      <c r="B173" s="27">
        <v>0.1</v>
      </c>
    </row>
    <row r="174" spans="1:3" ht="15.75" customHeight="1">
      <c r="A174" s="27" t="s">
        <v>464</v>
      </c>
      <c r="B174" s="27" t="s">
        <v>465</v>
      </c>
      <c r="C174" s="27" t="s">
        <v>466</v>
      </c>
    </row>
    <row r="175" spans="1:3" ht="15.75" customHeight="1">
      <c r="A175" s="27">
        <v>0</v>
      </c>
      <c r="B175" s="27">
        <v>-2500</v>
      </c>
      <c r="C175" s="27">
        <f t="shared" ref="C175:C179" si="8">1/(1+$B$173)^(A175-$B$172)</f>
        <v>1</v>
      </c>
    </row>
    <row r="176" spans="1:3" ht="15.75" customHeight="1">
      <c r="A176" s="27">
        <v>1</v>
      </c>
      <c r="B176" s="27">
        <v>0</v>
      </c>
      <c r="C176" s="27">
        <f t="shared" si="8"/>
        <v>0.90909090909090906</v>
      </c>
    </row>
    <row r="177" spans="1:5" ht="15.75" customHeight="1">
      <c r="A177" s="27">
        <v>2</v>
      </c>
      <c r="B177" s="27">
        <v>2000</v>
      </c>
      <c r="C177" s="27">
        <f t="shared" si="8"/>
        <v>0.82644628099173545</v>
      </c>
    </row>
    <row r="178" spans="1:5" ht="15.75" customHeight="1">
      <c r="A178" s="27">
        <v>3</v>
      </c>
      <c r="B178" s="27">
        <v>0</v>
      </c>
      <c r="C178" s="27">
        <f t="shared" si="8"/>
        <v>0.75131480090157754</v>
      </c>
    </row>
    <row r="179" spans="1:5" ht="15.75" customHeight="1">
      <c r="A179" s="27">
        <v>4</v>
      </c>
      <c r="B179" s="27">
        <v>3000</v>
      </c>
      <c r="C179" s="27">
        <f t="shared" si="8"/>
        <v>0.68301345536507052</v>
      </c>
    </row>
    <row r="180" spans="1:5" ht="15.75" customHeight="1">
      <c r="A180" s="27" t="s">
        <v>538</v>
      </c>
      <c r="B180" s="31">
        <f>SUMPRODUCT(B175:B179,C175:C179)</f>
        <v>1201.9329280786824</v>
      </c>
    </row>
    <row r="181" spans="1:5" ht="15.75" customHeight="1">
      <c r="A181" s="24" t="s">
        <v>539</v>
      </c>
    </row>
    <row r="182" spans="1:5" ht="15.75" customHeight="1">
      <c r="A182" s="81" t="s">
        <v>540</v>
      </c>
    </row>
    <row r="183" spans="1:5" ht="15.75" customHeight="1">
      <c r="A183" s="26" t="s">
        <v>541</v>
      </c>
    </row>
    <row r="184" spans="1:5" ht="15.75" customHeight="1">
      <c r="A184" s="27" t="s">
        <v>464</v>
      </c>
      <c r="B184" s="27" t="s">
        <v>465</v>
      </c>
      <c r="D184" s="27" t="s">
        <v>290</v>
      </c>
      <c r="E184" s="31">
        <f>(SUMPRODUCT(A185:A188,B185:B188))/SUM(B185:B188)</f>
        <v>1.625</v>
      </c>
    </row>
    <row r="185" spans="1:5" ht="15.75" customHeight="1">
      <c r="A185" s="27">
        <v>0</v>
      </c>
      <c r="B185" s="27">
        <v>100</v>
      </c>
    </row>
    <row r="186" spans="1:5" ht="15.75" customHeight="1">
      <c r="A186" s="27">
        <v>1</v>
      </c>
      <c r="B186" s="27">
        <v>200</v>
      </c>
    </row>
    <row r="187" spans="1:5" ht="15.75" customHeight="1">
      <c r="A187" s="27">
        <v>2</v>
      </c>
      <c r="B187" s="27">
        <v>400</v>
      </c>
    </row>
    <row r="188" spans="1:5" ht="15.75" customHeight="1">
      <c r="A188" s="27">
        <v>3</v>
      </c>
      <c r="B188" s="27">
        <v>100</v>
      </c>
    </row>
    <row r="189" spans="1:5" ht="15.75" customHeight="1">
      <c r="A189" s="81" t="s">
        <v>542</v>
      </c>
    </row>
    <row r="190" spans="1:5" ht="15.75" customHeight="1">
      <c r="A190" s="21"/>
      <c r="B190" s="82" t="s">
        <v>543</v>
      </c>
    </row>
    <row r="191" spans="1:5" ht="15.75" customHeight="1">
      <c r="A191" s="52" t="s">
        <v>544</v>
      </c>
    </row>
    <row r="192" spans="1:5" ht="15.75" customHeight="1">
      <c r="A192" s="27">
        <v>-7200</v>
      </c>
      <c r="B192" s="27">
        <v>0</v>
      </c>
    </row>
    <row r="193" spans="1:13" ht="15.75" customHeight="1">
      <c r="A193" s="27">
        <v>1000</v>
      </c>
      <c r="B193" s="27">
        <v>1</v>
      </c>
      <c r="D193" s="27" t="s">
        <v>545</v>
      </c>
    </row>
    <row r="194" spans="1:13" ht="15.75" customHeight="1">
      <c r="A194" s="27">
        <v>10000</v>
      </c>
      <c r="B194" s="27">
        <v>2</v>
      </c>
    </row>
    <row r="195" spans="1:13" ht="15.75" customHeight="1"/>
    <row r="196" spans="1:13" ht="15.75" customHeight="1">
      <c r="B196" s="27" t="s">
        <v>545</v>
      </c>
      <c r="D196" s="27" t="s">
        <v>484</v>
      </c>
    </row>
    <row r="197" spans="1:13" ht="15.75" customHeight="1">
      <c r="A197" s="27" t="s">
        <v>394</v>
      </c>
      <c r="B197" s="27">
        <f>25-4*50*(-36)</f>
        <v>7225</v>
      </c>
      <c r="D197" s="27" t="s">
        <v>485</v>
      </c>
    </row>
    <row r="198" spans="1:13" ht="15.75" customHeight="1">
      <c r="A198" s="27" t="s">
        <v>486</v>
      </c>
      <c r="B198" s="396">
        <f>(-5+SQRT(B197))/100</f>
        <v>0.8</v>
      </c>
    </row>
    <row r="199" spans="1:13" ht="15.75" customHeight="1">
      <c r="D199" s="27" t="s">
        <v>487</v>
      </c>
      <c r="E199" s="37">
        <f>1/B198-1</f>
        <v>0.25</v>
      </c>
    </row>
    <row r="200" spans="1:13" ht="15.75" customHeight="1">
      <c r="A200" s="408" t="s">
        <v>546</v>
      </c>
      <c r="B200" s="408"/>
      <c r="C200" s="408"/>
      <c r="D200" s="408"/>
      <c r="E200" s="408"/>
      <c r="F200" s="408"/>
      <c r="G200" s="408"/>
      <c r="H200" s="408"/>
      <c r="I200" s="408"/>
      <c r="J200" s="408"/>
      <c r="K200" s="408"/>
      <c r="L200" s="408"/>
      <c r="M200" s="408"/>
    </row>
    <row r="201" spans="1:13" ht="15.75" customHeight="1">
      <c r="A201" s="408"/>
      <c r="B201" s="408"/>
      <c r="C201" s="408"/>
      <c r="D201" s="408"/>
      <c r="E201" s="408"/>
      <c r="F201" s="408"/>
      <c r="G201" s="408"/>
      <c r="H201" s="408"/>
      <c r="I201" s="408"/>
      <c r="J201" s="408"/>
      <c r="K201" s="408"/>
      <c r="L201" s="408"/>
      <c r="M201" s="408"/>
    </row>
    <row r="202" spans="1:13" ht="15.75" customHeight="1">
      <c r="A202" s="408"/>
      <c r="B202" s="408"/>
      <c r="C202" s="408"/>
      <c r="D202" s="408"/>
      <c r="E202" s="408"/>
      <c r="F202" s="408"/>
      <c r="G202" s="408"/>
      <c r="H202" s="408"/>
      <c r="I202" s="408"/>
      <c r="J202" s="408"/>
      <c r="K202" s="408"/>
      <c r="L202" s="408"/>
      <c r="M202" s="408"/>
    </row>
    <row r="203" spans="1:13" ht="15.75" customHeight="1">
      <c r="A203" s="408"/>
      <c r="B203" s="408"/>
      <c r="C203" s="408"/>
      <c r="D203" s="408"/>
      <c r="E203" s="408"/>
      <c r="F203" s="408"/>
      <c r="G203" s="408"/>
      <c r="H203" s="408"/>
      <c r="I203" s="408"/>
      <c r="J203" s="408"/>
      <c r="K203" s="408"/>
      <c r="L203" s="408"/>
      <c r="M203" s="408"/>
    </row>
    <row r="204" spans="1:13" ht="16.149999999999999" customHeight="1">
      <c r="A204" s="408"/>
      <c r="B204" s="408"/>
      <c r="C204" s="408"/>
      <c r="D204" s="408"/>
      <c r="E204" s="408"/>
      <c r="F204" s="408"/>
      <c r="G204" s="408"/>
      <c r="H204" s="408"/>
      <c r="I204" s="408"/>
      <c r="J204" s="408"/>
      <c r="K204" s="408"/>
      <c r="L204" s="408"/>
      <c r="M204" s="408"/>
    </row>
    <row r="205" spans="1:13" ht="15.75" customHeight="1">
      <c r="A205" s="408"/>
      <c r="B205" s="408"/>
      <c r="C205" s="408"/>
      <c r="D205" s="408"/>
      <c r="E205" s="408"/>
      <c r="F205" s="408"/>
      <c r="G205" s="408"/>
      <c r="H205" s="408"/>
      <c r="I205" s="408"/>
      <c r="J205" s="408"/>
      <c r="K205" s="408"/>
      <c r="L205" s="408"/>
      <c r="M205" s="408"/>
    </row>
    <row r="206" spans="1:13" ht="15.75" customHeight="1">
      <c r="A206" s="27" t="s">
        <v>445</v>
      </c>
      <c r="B206" s="27">
        <v>400</v>
      </c>
      <c r="C206" s="27" t="s">
        <v>547</v>
      </c>
    </row>
    <row r="207" spans="1:13" ht="15.75" customHeight="1">
      <c r="A207" s="27" t="s">
        <v>82</v>
      </c>
      <c r="B207" s="27">
        <v>0.1</v>
      </c>
    </row>
    <row r="208" spans="1:13" ht="15.75" customHeight="1">
      <c r="A208" s="27" t="s">
        <v>548</v>
      </c>
      <c r="I208">
        <v>400</v>
      </c>
    </row>
    <row r="209" spans="1:10" ht="15.75" customHeight="1">
      <c r="A209" s="83" t="s">
        <v>549</v>
      </c>
      <c r="H209">
        <v>1</v>
      </c>
      <c r="I209">
        <v>100</v>
      </c>
      <c r="J209">
        <f>I209*(1+10%)^(3-H209)</f>
        <v>121.00000000000001</v>
      </c>
    </row>
    <row r="210" spans="1:10" ht="15.75" customHeight="1">
      <c r="A210" s="83" t="s">
        <v>550</v>
      </c>
      <c r="H210">
        <v>2</v>
      </c>
      <c r="I210">
        <f>I208-I209-I211</f>
        <v>0</v>
      </c>
      <c r="J210">
        <f t="shared" ref="J210:J211" si="9">I210*(1+10%)^(3-H210)</f>
        <v>0</v>
      </c>
    </row>
    <row r="211" spans="1:10" ht="15.75" customHeight="1">
      <c r="A211" s="83" t="s">
        <v>551</v>
      </c>
      <c r="H211">
        <v>3</v>
      </c>
      <c r="I211">
        <f>I209*3</f>
        <v>300</v>
      </c>
      <c r="J211">
        <f t="shared" si="9"/>
        <v>300</v>
      </c>
    </row>
    <row r="212" spans="1:10" ht="15.75" customHeight="1">
      <c r="A212" s="83" t="s">
        <v>552</v>
      </c>
      <c r="I212">
        <f>SUM(I209:I211)</f>
        <v>400</v>
      </c>
      <c r="J212">
        <f>SUM(J209:J211)</f>
        <v>421</v>
      </c>
    </row>
    <row r="213" spans="1:10" ht="15.75" customHeight="1">
      <c r="A213" s="83" t="s">
        <v>553</v>
      </c>
      <c r="B213" s="27">
        <f>50*(1+B207)^(3-1)+200*(1+B207)^(3-2)+150</f>
        <v>430.50000000000006</v>
      </c>
    </row>
    <row r="214" spans="1:10" ht="15.75" customHeight="1">
      <c r="A214" s="83" t="s">
        <v>554</v>
      </c>
    </row>
    <row r="215" spans="1:10" ht="15.75" customHeight="1">
      <c r="A215" s="83" t="s">
        <v>553</v>
      </c>
      <c r="B215" s="27">
        <f>100*(1+B207)^(3-1)+300*(1+B207)^(3-2)</f>
        <v>451</v>
      </c>
    </row>
    <row r="216" spans="1:10" ht="15.75" customHeight="1">
      <c r="A216" s="83" t="s">
        <v>555</v>
      </c>
    </row>
    <row r="217" spans="1:10" ht="15.75" customHeight="1">
      <c r="A217" s="83" t="s">
        <v>556</v>
      </c>
    </row>
    <row r="218" spans="1:10" ht="15.75" customHeight="1">
      <c r="A218" s="83" t="s">
        <v>553</v>
      </c>
      <c r="B218" s="31">
        <f>100*(1+B207)^(3-1)+300</f>
        <v>421</v>
      </c>
    </row>
    <row r="219" spans="1:10" ht="15.75" customHeight="1">
      <c r="A219" s="26" t="s">
        <v>557</v>
      </c>
    </row>
    <row r="220" spans="1:10" ht="15.75" customHeight="1">
      <c r="A220" s="83" t="s">
        <v>558</v>
      </c>
      <c r="B220" s="27">
        <v>0.1</v>
      </c>
    </row>
    <row r="221" spans="1:10" ht="15.75" customHeight="1">
      <c r="A221" s="83" t="s">
        <v>559</v>
      </c>
      <c r="B221" s="27">
        <v>0.11</v>
      </c>
    </row>
    <row r="222" spans="1:10" ht="15.75" customHeight="1">
      <c r="A222" s="83" t="s">
        <v>192</v>
      </c>
      <c r="B222" s="27">
        <v>5</v>
      </c>
    </row>
    <row r="223" spans="1:10" ht="15.75" customHeight="1">
      <c r="A223" s="84" t="s">
        <v>560</v>
      </c>
      <c r="B223" s="27">
        <f>(((1+B220)^B222)-1)/B220</f>
        <v>6.1051000000000055</v>
      </c>
      <c r="C223" s="27">
        <f>(((1+B221)^B222)-1)/B221</f>
        <v>6.227801410000005</v>
      </c>
      <c r="D223" s="37">
        <f>C223/B223</f>
        <v>1.0200981818479631</v>
      </c>
    </row>
    <row r="224" spans="1:10" ht="15.75" customHeight="1">
      <c r="A224" s="26" t="s">
        <v>561</v>
      </c>
    </row>
    <row r="225" spans="1:11" ht="15.75" customHeight="1"/>
    <row r="226" spans="1:11" ht="15.75" customHeight="1">
      <c r="A226" s="84" t="s">
        <v>562</v>
      </c>
      <c r="B226" s="27">
        <f>((1+B228)^B229-1)/B228</f>
        <v>6.1051000000000055</v>
      </c>
      <c r="C226" s="27">
        <f>((1+B228)^B230-1)/B228</f>
        <v>4.6410000000000036</v>
      </c>
      <c r="D226" s="37">
        <f>1-C226/B226</f>
        <v>0.23981589163158679</v>
      </c>
    </row>
    <row r="227" spans="1:11" ht="15.75" customHeight="1">
      <c r="A227" s="83" t="s">
        <v>563</v>
      </c>
    </row>
    <row r="228" spans="1:11" ht="15.75" customHeight="1">
      <c r="A228" s="83" t="s">
        <v>564</v>
      </c>
      <c r="B228" s="27">
        <v>0.1</v>
      </c>
    </row>
    <row r="229" spans="1:11" ht="15.75" customHeight="1">
      <c r="A229" s="83" t="s">
        <v>565</v>
      </c>
      <c r="B229" s="27">
        <v>5</v>
      </c>
    </row>
    <row r="230" spans="1:11" ht="15.75" customHeight="1">
      <c r="A230" s="83" t="s">
        <v>566</v>
      </c>
      <c r="B230" s="27">
        <v>4</v>
      </c>
    </row>
    <row r="231" spans="1:11" ht="15.75" customHeight="1"/>
    <row r="232" spans="1:11" ht="15.75" customHeight="1">
      <c r="A232" s="408" t="s">
        <v>567</v>
      </c>
      <c r="B232" s="408"/>
      <c r="C232" s="408"/>
      <c r="D232" s="408"/>
      <c r="E232" s="408"/>
      <c r="F232" s="408"/>
      <c r="G232" s="408"/>
      <c r="H232" s="408"/>
      <c r="I232" s="408"/>
      <c r="J232" s="408"/>
      <c r="K232" s="408"/>
    </row>
    <row r="233" spans="1:11" ht="15.75" customHeight="1">
      <c r="A233" s="408"/>
      <c r="B233" s="408"/>
      <c r="C233" s="408"/>
      <c r="D233" s="408"/>
      <c r="E233" s="408"/>
      <c r="F233" s="408"/>
      <c r="G233" s="408"/>
      <c r="H233" s="408"/>
      <c r="I233" s="408"/>
      <c r="J233" s="408"/>
      <c r="K233" s="408"/>
    </row>
    <row r="234" spans="1:11" ht="15.75" customHeight="1">
      <c r="A234" s="408"/>
      <c r="B234" s="408"/>
      <c r="C234" s="408"/>
      <c r="D234" s="408"/>
      <c r="E234" s="408"/>
      <c r="F234" s="408"/>
      <c r="G234" s="408"/>
      <c r="H234" s="408"/>
      <c r="I234" s="408"/>
      <c r="J234" s="408"/>
      <c r="K234" s="408"/>
    </row>
    <row r="235" spans="1:11" ht="15.75" customHeight="1">
      <c r="A235" s="408"/>
      <c r="B235" s="408"/>
      <c r="C235" s="408"/>
      <c r="D235" s="408"/>
      <c r="E235" s="408"/>
      <c r="F235" s="408"/>
      <c r="G235" s="408"/>
      <c r="H235" s="408"/>
      <c r="I235" s="408"/>
      <c r="J235" s="408"/>
      <c r="K235" s="408"/>
    </row>
    <row r="236" spans="1:11" ht="15.75" customHeight="1">
      <c r="A236" s="408"/>
      <c r="B236" s="408"/>
      <c r="C236" s="408"/>
      <c r="D236" s="408"/>
      <c r="E236" s="408"/>
      <c r="F236" s="408"/>
      <c r="G236" s="408"/>
      <c r="H236" s="408"/>
      <c r="I236" s="408"/>
      <c r="J236" s="408"/>
      <c r="K236" s="408"/>
    </row>
    <row r="237" spans="1:11" ht="15.75" customHeight="1">
      <c r="A237" s="27" t="s">
        <v>505</v>
      </c>
      <c r="B237" s="27">
        <v>1000</v>
      </c>
    </row>
    <row r="238" spans="1:11" ht="15.75" customHeight="1">
      <c r="A238" s="27" t="s">
        <v>43</v>
      </c>
      <c r="B238" s="34">
        <v>0.08</v>
      </c>
    </row>
    <row r="239" spans="1:11" ht="15.75" customHeight="1">
      <c r="A239" s="27" t="s">
        <v>48</v>
      </c>
      <c r="B239" s="27">
        <v>4</v>
      </c>
      <c r="D239">
        <f>B237*(1-(1+B238)^-B239)/B238</f>
        <v>3312.1268400443341</v>
      </c>
    </row>
    <row r="240" spans="1:11" ht="15.75" customHeight="1">
      <c r="A240" s="27" t="s">
        <v>428</v>
      </c>
      <c r="B240" s="31">
        <f>B237*(1-(1+B238)^-B239)/B238</f>
        <v>3312.1268400443341</v>
      </c>
    </row>
    <row r="241" spans="1:16" ht="15.75" customHeight="1"/>
    <row r="242" spans="1:16" ht="15.75" customHeight="1">
      <c r="A242" s="408" t="s">
        <v>568</v>
      </c>
      <c r="B242" s="408"/>
      <c r="C242" s="408"/>
      <c r="D242" s="408"/>
      <c r="E242" s="408"/>
      <c r="F242" s="408"/>
      <c r="G242" s="408"/>
      <c r="H242" s="408"/>
      <c r="I242" s="408"/>
      <c r="J242" s="408"/>
      <c r="K242" s="408"/>
      <c r="L242" s="408"/>
      <c r="M242" s="408"/>
      <c r="N242" s="408"/>
      <c r="O242" s="408"/>
    </row>
    <row r="243" spans="1:16" ht="15.75" customHeight="1">
      <c r="A243" s="408"/>
      <c r="B243" s="408"/>
      <c r="C243" s="408"/>
      <c r="D243" s="408"/>
      <c r="E243" s="408"/>
      <c r="F243" s="408"/>
      <c r="G243" s="408"/>
      <c r="H243" s="408"/>
      <c r="I243" s="408"/>
      <c r="J243" s="408"/>
      <c r="K243" s="408"/>
      <c r="L243" s="408"/>
      <c r="M243" s="408"/>
      <c r="N243" s="408"/>
      <c r="O243" s="408"/>
    </row>
    <row r="244" spans="1:16" ht="15.75" customHeight="1">
      <c r="A244" s="408"/>
      <c r="B244" s="408"/>
      <c r="C244" s="408"/>
      <c r="D244" s="408"/>
      <c r="E244" s="408"/>
      <c r="F244" s="408"/>
      <c r="G244" s="408"/>
      <c r="H244" s="408"/>
      <c r="I244" s="408"/>
      <c r="J244" s="408"/>
      <c r="K244" s="408"/>
      <c r="L244" s="408"/>
      <c r="M244" s="408"/>
      <c r="N244" s="408"/>
      <c r="O244" s="408"/>
    </row>
    <row r="245" spans="1:16" ht="15.75" customHeight="1">
      <c r="A245" s="408"/>
      <c r="B245" s="408"/>
      <c r="C245" s="408"/>
      <c r="D245" s="408"/>
      <c r="E245" s="408"/>
      <c r="F245" s="408"/>
      <c r="G245" s="408"/>
      <c r="H245" s="408"/>
      <c r="I245" s="408"/>
      <c r="J245" s="408"/>
      <c r="K245" s="408"/>
      <c r="L245" s="408"/>
      <c r="M245" s="408"/>
      <c r="N245" s="408"/>
      <c r="O245" s="408"/>
    </row>
    <row r="246" spans="1:16" ht="15.75" customHeight="1">
      <c r="A246" s="408"/>
      <c r="B246" s="408"/>
      <c r="C246" s="408"/>
      <c r="D246" s="408"/>
      <c r="E246" s="408"/>
      <c r="F246" s="408"/>
      <c r="G246" s="408"/>
      <c r="H246" s="408"/>
      <c r="I246" s="408"/>
      <c r="J246" s="408"/>
      <c r="K246" s="408"/>
      <c r="L246" s="408"/>
      <c r="M246" s="408"/>
      <c r="N246" s="408"/>
      <c r="O246" s="408"/>
    </row>
    <row r="247" spans="1:16" ht="15.75" customHeight="1">
      <c r="A247" s="27" t="s">
        <v>124</v>
      </c>
      <c r="B247" s="27">
        <v>6</v>
      </c>
    </row>
    <row r="248" spans="1:16" ht="15.75" customHeight="1">
      <c r="A248" s="27" t="s">
        <v>508</v>
      </c>
      <c r="B248" s="27">
        <v>10000000</v>
      </c>
    </row>
    <row r="249" spans="1:16" ht="15.75" customHeight="1">
      <c r="A249" s="27" t="s">
        <v>125</v>
      </c>
      <c r="B249" s="27">
        <v>4</v>
      </c>
    </row>
    <row r="250" spans="1:16" ht="15.75" customHeight="1">
      <c r="A250" s="27" t="s">
        <v>509</v>
      </c>
      <c r="B250" s="27">
        <v>11000000</v>
      </c>
    </row>
    <row r="251" spans="1:16" ht="15.75" customHeight="1">
      <c r="A251" s="27" t="s">
        <v>43</v>
      </c>
      <c r="B251" s="34">
        <v>0.15</v>
      </c>
    </row>
    <row r="252" spans="1:16" ht="15.75" customHeight="1">
      <c r="A252" s="27" t="s">
        <v>569</v>
      </c>
      <c r="B252" s="27">
        <f>B248*(1-(1+B251)^-B247)/B251</f>
        <v>37844826.93922957</v>
      </c>
    </row>
    <row r="253" spans="1:16" ht="15.75" customHeight="1">
      <c r="A253" s="27" t="s">
        <v>570</v>
      </c>
      <c r="B253" s="27">
        <f>B250*(1-(1+B251)^-B249)/B251*(1+B251)^-B247</f>
        <v>13577145.251243979</v>
      </c>
    </row>
    <row r="254" spans="1:16" ht="15.75" customHeight="1">
      <c r="A254" s="27" t="s">
        <v>506</v>
      </c>
      <c r="B254" s="85">
        <f>B252+B253</f>
        <v>51421972.190473549</v>
      </c>
    </row>
    <row r="255" spans="1:16" ht="15.75" customHeight="1">
      <c r="A255" s="407" t="s">
        <v>571</v>
      </c>
      <c r="B255" s="407"/>
      <c r="C255" s="407"/>
      <c r="D255" s="407"/>
      <c r="E255" s="407"/>
      <c r="F255" s="407"/>
      <c r="G255" s="407"/>
      <c r="H255" s="407"/>
      <c r="I255" s="407"/>
      <c r="J255" s="407"/>
      <c r="K255" s="407"/>
      <c r="L255" s="407"/>
      <c r="M255" s="407"/>
      <c r="N255" s="407"/>
      <c r="O255" s="407"/>
      <c r="P255" s="407"/>
    </row>
    <row r="256" spans="1:16" ht="15.75" customHeight="1">
      <c r="A256" s="407"/>
      <c r="B256" s="407"/>
      <c r="C256" s="407"/>
      <c r="D256" s="407"/>
      <c r="E256" s="407"/>
      <c r="F256" s="407"/>
      <c r="G256" s="407"/>
      <c r="H256" s="407"/>
      <c r="I256" s="407"/>
      <c r="J256" s="407"/>
      <c r="K256" s="407"/>
      <c r="L256" s="407"/>
      <c r="M256" s="407"/>
      <c r="N256" s="407"/>
      <c r="O256" s="407"/>
      <c r="P256" s="407"/>
    </row>
    <row r="257" spans="1:16" ht="15.75" customHeight="1">
      <c r="A257" s="407"/>
      <c r="B257" s="407"/>
      <c r="C257" s="407"/>
      <c r="D257" s="407"/>
      <c r="E257" s="407"/>
      <c r="F257" s="407"/>
      <c r="G257" s="407"/>
      <c r="H257" s="407"/>
      <c r="I257" s="407"/>
      <c r="J257" s="407"/>
      <c r="K257" s="407"/>
      <c r="L257" s="407"/>
      <c r="M257" s="407"/>
      <c r="N257" s="407"/>
      <c r="O257" s="407"/>
      <c r="P257" s="407"/>
    </row>
    <row r="258" spans="1:16" ht="15.75" customHeight="1">
      <c r="A258" s="407"/>
      <c r="B258" s="407"/>
      <c r="C258" s="407"/>
      <c r="D258" s="407"/>
      <c r="E258" s="407"/>
      <c r="F258" s="407"/>
      <c r="G258" s="407"/>
      <c r="H258" s="407"/>
      <c r="I258" s="407"/>
      <c r="J258" s="407"/>
      <c r="K258" s="407"/>
      <c r="L258" s="407"/>
      <c r="M258" s="407"/>
      <c r="N258" s="407"/>
      <c r="O258" s="407"/>
      <c r="P258" s="407"/>
    </row>
    <row r="259" spans="1:16" ht="15.75" customHeight="1">
      <c r="A259" s="407"/>
      <c r="B259" s="407"/>
      <c r="C259" s="407"/>
      <c r="D259" s="407"/>
      <c r="E259" s="407"/>
      <c r="F259" s="407"/>
      <c r="G259" s="407"/>
      <c r="H259" s="407"/>
      <c r="I259" s="407"/>
      <c r="J259" s="407"/>
      <c r="K259" s="407"/>
      <c r="L259" s="407"/>
      <c r="M259" s="407"/>
      <c r="N259" s="407"/>
      <c r="O259" s="407"/>
      <c r="P259" s="407"/>
    </row>
    <row r="260" spans="1:16" ht="15.75" customHeight="1">
      <c r="A260" s="407"/>
      <c r="B260" s="407"/>
      <c r="C260" s="407"/>
      <c r="D260" s="407"/>
      <c r="E260" s="407"/>
      <c r="F260" s="407"/>
      <c r="G260" s="407"/>
      <c r="H260" s="407"/>
      <c r="I260" s="407"/>
      <c r="J260" s="407"/>
      <c r="K260" s="407"/>
      <c r="L260" s="407"/>
      <c r="M260" s="407"/>
      <c r="N260" s="407"/>
      <c r="O260" s="407"/>
      <c r="P260" s="407"/>
    </row>
    <row r="261" spans="1:16" ht="15.75" customHeight="1">
      <c r="A261" s="407"/>
      <c r="B261" s="407"/>
      <c r="C261" s="407"/>
      <c r="D261" s="407"/>
      <c r="E261" s="407"/>
      <c r="F261" s="407"/>
      <c r="G261" s="407"/>
      <c r="H261" s="407"/>
      <c r="I261" s="407"/>
      <c r="J261" s="407"/>
      <c r="K261" s="407"/>
      <c r="L261" s="407"/>
      <c r="M261" s="407"/>
      <c r="N261" s="407"/>
      <c r="O261" s="407"/>
      <c r="P261" s="407"/>
    </row>
    <row r="262" spans="1:16" ht="15.75" customHeight="1">
      <c r="A262" s="407"/>
      <c r="B262" s="407"/>
      <c r="C262" s="407"/>
      <c r="D262" s="407"/>
      <c r="E262" s="407"/>
      <c r="F262" s="407"/>
      <c r="G262" s="407"/>
      <c r="H262" s="407"/>
      <c r="I262" s="407"/>
      <c r="J262" s="407"/>
      <c r="K262" s="407"/>
      <c r="L262" s="407"/>
      <c r="M262" s="407"/>
      <c r="N262" s="407"/>
      <c r="O262" s="407"/>
      <c r="P262" s="407"/>
    </row>
    <row r="263" spans="1:16" ht="15.75" customHeight="1">
      <c r="A263" s="407"/>
      <c r="B263" s="407"/>
      <c r="C263" s="407"/>
      <c r="D263" s="407"/>
      <c r="E263" s="407"/>
      <c r="F263" s="407"/>
      <c r="G263" s="407"/>
      <c r="H263" s="407"/>
      <c r="I263" s="407"/>
      <c r="J263" s="407"/>
      <c r="K263" s="407"/>
      <c r="L263" s="407"/>
      <c r="M263" s="407"/>
      <c r="N263" s="407"/>
      <c r="O263" s="407"/>
      <c r="P263" s="407"/>
    </row>
    <row r="264" spans="1:16" ht="15.75" customHeight="1">
      <c r="A264" s="407"/>
      <c r="B264" s="407"/>
      <c r="C264" s="407"/>
      <c r="D264" s="407"/>
      <c r="E264" s="407"/>
      <c r="F264" s="407"/>
      <c r="G264" s="407"/>
      <c r="H264" s="407"/>
      <c r="I264" s="407"/>
      <c r="J264" s="407"/>
      <c r="K264" s="407"/>
      <c r="L264" s="407"/>
      <c r="M264" s="407"/>
      <c r="N264" s="407"/>
      <c r="O264" s="407"/>
      <c r="P264" s="407"/>
    </row>
    <row r="265" spans="1:16" ht="15.75" customHeight="1">
      <c r="A265" s="27" t="s">
        <v>48</v>
      </c>
      <c r="B265" s="27">
        <v>3</v>
      </c>
    </row>
    <row r="266" spans="1:16" ht="15.75" customHeight="1">
      <c r="A266" s="27" t="s">
        <v>505</v>
      </c>
      <c r="B266" s="27">
        <v>2000</v>
      </c>
    </row>
    <row r="267" spans="1:16" ht="15.75" customHeight="1">
      <c r="A267" s="46" t="s">
        <v>572</v>
      </c>
      <c r="B267" s="27">
        <v>6000</v>
      </c>
    </row>
    <row r="268" spans="1:16" ht="15.75" customHeight="1">
      <c r="A268" s="27" t="s">
        <v>43</v>
      </c>
      <c r="B268" s="34">
        <v>0.08</v>
      </c>
    </row>
    <row r="269" spans="1:16" ht="15.75" customHeight="1">
      <c r="A269" s="27" t="s">
        <v>506</v>
      </c>
      <c r="B269" s="31">
        <f>B266*(1-(1+B268)^-B265)/B268+B267*(1+B268)^-B265</f>
        <v>9917.1874206167777</v>
      </c>
    </row>
    <row r="270" spans="1:16" ht="15.75" customHeight="1">
      <c r="A270" s="26"/>
    </row>
    <row r="271" spans="1:16" ht="15.75" customHeight="1">
      <c r="A271" s="408" t="s">
        <v>573</v>
      </c>
      <c r="B271" s="408"/>
      <c r="C271" s="408"/>
      <c r="D271" s="408"/>
      <c r="E271" s="408"/>
      <c r="F271" s="408"/>
      <c r="G271" s="408"/>
      <c r="H271" s="408"/>
      <c r="I271" s="408"/>
      <c r="J271" s="408"/>
      <c r="K271" s="408"/>
      <c r="L271" s="408"/>
      <c r="M271" s="408"/>
      <c r="N271" s="408"/>
      <c r="O271" s="408"/>
      <c r="P271" s="408"/>
    </row>
    <row r="272" spans="1:16" ht="15.75" customHeight="1">
      <c r="A272" s="408"/>
      <c r="B272" s="408"/>
      <c r="C272" s="408"/>
      <c r="D272" s="408"/>
      <c r="E272" s="408"/>
      <c r="F272" s="408"/>
      <c r="G272" s="408"/>
      <c r="H272" s="408"/>
      <c r="I272" s="408"/>
      <c r="J272" s="408"/>
      <c r="K272" s="408"/>
      <c r="L272" s="408"/>
      <c r="M272" s="408"/>
      <c r="N272" s="408"/>
      <c r="O272" s="408"/>
      <c r="P272" s="408"/>
    </row>
    <row r="273" spans="1:16" ht="15.75" customHeight="1">
      <c r="A273" s="408"/>
      <c r="B273" s="408"/>
      <c r="C273" s="408"/>
      <c r="D273" s="408"/>
      <c r="E273" s="408"/>
      <c r="F273" s="408"/>
      <c r="G273" s="408"/>
      <c r="H273" s="408"/>
      <c r="I273" s="408"/>
      <c r="J273" s="408"/>
      <c r="K273" s="408"/>
      <c r="L273" s="408"/>
      <c r="M273" s="408"/>
      <c r="N273" s="408"/>
      <c r="O273" s="408"/>
      <c r="P273" s="408"/>
    </row>
    <row r="274" spans="1:16" ht="15.75" customHeight="1">
      <c r="A274" s="408"/>
      <c r="B274" s="408"/>
      <c r="C274" s="408"/>
      <c r="D274" s="408"/>
      <c r="E274" s="408"/>
      <c r="F274" s="408"/>
      <c r="G274" s="408"/>
      <c r="H274" s="408"/>
      <c r="I274" s="408"/>
      <c r="J274" s="408"/>
      <c r="K274" s="408"/>
      <c r="L274" s="408"/>
      <c r="M274" s="408"/>
      <c r="N274" s="408"/>
      <c r="O274" s="408"/>
      <c r="P274" s="408"/>
    </row>
    <row r="275" spans="1:16" ht="15.75" customHeight="1">
      <c r="A275" s="408"/>
      <c r="B275" s="408"/>
      <c r="C275" s="408"/>
      <c r="D275" s="408"/>
      <c r="E275" s="408"/>
      <c r="F275" s="408"/>
      <c r="G275" s="408"/>
      <c r="H275" s="408"/>
      <c r="I275" s="408"/>
      <c r="J275" s="408"/>
      <c r="K275" s="408"/>
      <c r="L275" s="408"/>
      <c r="M275" s="408"/>
      <c r="N275" s="408"/>
      <c r="O275" s="408"/>
      <c r="P275" s="408"/>
    </row>
    <row r="276" spans="1:16" ht="15.75" customHeight="1">
      <c r="A276" s="408"/>
      <c r="B276" s="408"/>
      <c r="C276" s="408"/>
      <c r="D276" s="408"/>
      <c r="E276" s="408"/>
      <c r="F276" s="408"/>
      <c r="G276" s="408"/>
      <c r="H276" s="408"/>
      <c r="I276" s="408"/>
      <c r="J276" s="408"/>
      <c r="K276" s="408"/>
      <c r="L276" s="408"/>
      <c r="M276" s="408"/>
      <c r="N276" s="408"/>
      <c r="O276" s="408"/>
      <c r="P276" s="408"/>
    </row>
    <row r="277" spans="1:16" ht="15.75" customHeight="1">
      <c r="A277" s="27" t="s">
        <v>505</v>
      </c>
      <c r="B277" s="27">
        <v>100</v>
      </c>
    </row>
    <row r="278" spans="1:16" ht="15.75" customHeight="1">
      <c r="A278" s="27" t="s">
        <v>574</v>
      </c>
      <c r="B278" s="34">
        <v>0.05</v>
      </c>
    </row>
    <row r="279" spans="1:16" ht="15.75" customHeight="1">
      <c r="A279" s="27" t="s">
        <v>48</v>
      </c>
      <c r="B279" s="27">
        <f>12*2</f>
        <v>24</v>
      </c>
    </row>
    <row r="280" spans="1:16" ht="15.75" customHeight="1">
      <c r="A280" s="27" t="s">
        <v>97</v>
      </c>
      <c r="B280" s="31">
        <f>100*((1+B278)^B279-1)/B278</f>
        <v>4450.1998874274004</v>
      </c>
    </row>
    <row r="281" spans="1:16" ht="15.75" customHeight="1">
      <c r="A281" s="26"/>
    </row>
    <row r="282" spans="1:16" ht="15.75" customHeight="1">
      <c r="A282" s="86" t="s">
        <v>521</v>
      </c>
      <c r="B282" s="87">
        <v>12</v>
      </c>
      <c r="C282" s="88"/>
      <c r="D282" s="88"/>
      <c r="E282" s="88"/>
      <c r="F282" s="88"/>
      <c r="G282" s="88"/>
      <c r="H282" s="88"/>
      <c r="I282" s="89"/>
    </row>
    <row r="283" spans="1:16" ht="15.75" customHeight="1">
      <c r="A283" s="90" t="s">
        <v>42</v>
      </c>
      <c r="B283" s="91">
        <v>12</v>
      </c>
      <c r="D283" s="414" t="s">
        <v>575</v>
      </c>
      <c r="E283" s="414"/>
      <c r="F283" s="414"/>
      <c r="G283" s="414"/>
      <c r="H283" s="414"/>
      <c r="I283" s="415"/>
    </row>
    <row r="284" spans="1:16" ht="15.75" customHeight="1">
      <c r="A284" s="92" t="s">
        <v>576</v>
      </c>
      <c r="B284" s="91"/>
      <c r="D284" s="414"/>
      <c r="E284" s="414"/>
      <c r="F284" s="414"/>
      <c r="G284" s="414"/>
      <c r="H284" s="414"/>
      <c r="I284" s="415"/>
    </row>
    <row r="285" spans="1:16" ht="15.75" customHeight="1">
      <c r="A285" s="90" t="s">
        <v>577</v>
      </c>
      <c r="B285" s="91"/>
      <c r="D285" s="414"/>
      <c r="E285" s="414"/>
      <c r="F285" s="414"/>
      <c r="G285" s="414"/>
      <c r="H285" s="414"/>
      <c r="I285" s="415"/>
    </row>
    <row r="286" spans="1:16" ht="15.75" customHeight="1">
      <c r="A286" s="93" t="s">
        <v>578</v>
      </c>
      <c r="D286" s="414"/>
      <c r="E286" s="414"/>
      <c r="F286" s="414"/>
      <c r="G286" s="414"/>
      <c r="H286" s="414"/>
      <c r="I286" s="415"/>
    </row>
    <row r="287" spans="1:16" ht="15.75" customHeight="1">
      <c r="A287" s="93" t="s">
        <v>579</v>
      </c>
      <c r="D287" s="414"/>
      <c r="E287" s="414"/>
      <c r="F287" s="414"/>
      <c r="G287" s="414"/>
      <c r="H287" s="414"/>
      <c r="I287" s="415"/>
    </row>
    <row r="288" spans="1:16" ht="15.75" customHeight="1">
      <c r="A288" s="93" t="s">
        <v>580</v>
      </c>
      <c r="I288" s="94"/>
    </row>
    <row r="289" spans="1:9" ht="15.75" customHeight="1">
      <c r="A289" s="93" t="s">
        <v>581</v>
      </c>
      <c r="I289" s="94"/>
    </row>
    <row r="290" spans="1:9" ht="15.75" customHeight="1">
      <c r="A290" s="95" t="s">
        <v>43</v>
      </c>
      <c r="B290" s="96">
        <f>0.0234*12</f>
        <v>0.28079999999999999</v>
      </c>
      <c r="C290" s="97"/>
      <c r="D290" s="97"/>
      <c r="E290" s="97"/>
      <c r="F290" s="97"/>
      <c r="G290" s="97"/>
      <c r="H290" s="97"/>
      <c r="I290" s="98"/>
    </row>
    <row r="291" spans="1:9" ht="15.75" customHeight="1">
      <c r="A291" s="416"/>
      <c r="B291" s="417"/>
      <c r="C291" s="88"/>
      <c r="D291" s="88"/>
      <c r="E291" s="88"/>
      <c r="F291" s="88"/>
      <c r="G291" s="88"/>
      <c r="H291" s="88"/>
      <c r="I291" s="89"/>
    </row>
    <row r="292" spans="1:9" ht="15.75" customHeight="1">
      <c r="A292" s="93" t="s">
        <v>506</v>
      </c>
      <c r="B292" s="27">
        <v>12000</v>
      </c>
      <c r="D292" s="402" t="s">
        <v>582</v>
      </c>
      <c r="E292" s="402"/>
      <c r="F292" s="402"/>
      <c r="G292" s="402"/>
      <c r="H292" s="402"/>
      <c r="I292" s="411"/>
    </row>
    <row r="293" spans="1:9" ht="15.75" customHeight="1">
      <c r="A293" s="93" t="s">
        <v>48</v>
      </c>
      <c r="B293" s="27">
        <v>6</v>
      </c>
      <c r="D293" s="402"/>
      <c r="E293" s="402"/>
      <c r="F293" s="402"/>
      <c r="G293" s="402"/>
      <c r="H293" s="402"/>
      <c r="I293" s="411"/>
    </row>
    <row r="294" spans="1:9" ht="15.75" customHeight="1">
      <c r="A294" s="93" t="s">
        <v>43</v>
      </c>
      <c r="B294" s="34">
        <v>0.09</v>
      </c>
      <c r="D294" s="402"/>
      <c r="E294" s="402"/>
      <c r="F294" s="402"/>
      <c r="G294" s="402"/>
      <c r="H294" s="402"/>
      <c r="I294" s="411"/>
    </row>
    <row r="295" spans="1:9" ht="15.75" customHeight="1">
      <c r="A295" s="95" t="s">
        <v>505</v>
      </c>
      <c r="B295" s="99">
        <f>B292*B294/(1-(1+B294)^-B293)</f>
        <v>2675.0373995044433</v>
      </c>
      <c r="C295" s="97"/>
      <c r="D295" s="412"/>
      <c r="E295" s="412"/>
      <c r="F295" s="412"/>
      <c r="G295" s="412"/>
      <c r="H295" s="412"/>
      <c r="I295" s="413"/>
    </row>
    <row r="296" spans="1:9" ht="15.75" customHeight="1">
      <c r="A296" s="416"/>
      <c r="B296" s="417"/>
      <c r="C296" s="88"/>
      <c r="D296" s="88"/>
      <c r="E296" s="88"/>
      <c r="F296" s="88"/>
      <c r="G296" s="88"/>
      <c r="H296" s="88"/>
      <c r="I296" s="89"/>
    </row>
    <row r="297" spans="1:9" ht="15.75" customHeight="1">
      <c r="A297" s="93" t="s">
        <v>428</v>
      </c>
      <c r="B297" s="27">
        <v>10000</v>
      </c>
      <c r="D297" s="402" t="s">
        <v>583</v>
      </c>
      <c r="E297" s="402"/>
      <c r="F297" s="402"/>
      <c r="G297" s="402"/>
      <c r="H297" s="402"/>
      <c r="I297" s="411"/>
    </row>
    <row r="298" spans="1:9" ht="15.75" customHeight="1">
      <c r="A298" s="93" t="s">
        <v>43</v>
      </c>
      <c r="B298" s="34">
        <v>0.02</v>
      </c>
      <c r="D298" s="402"/>
      <c r="E298" s="402"/>
      <c r="F298" s="402"/>
      <c r="G298" s="402"/>
      <c r="H298" s="402"/>
      <c r="I298" s="411"/>
    </row>
    <row r="299" spans="1:9" ht="15.75" customHeight="1">
      <c r="A299" s="93" t="s">
        <v>505</v>
      </c>
      <c r="B299" s="27">
        <f>16%*10000</f>
        <v>1600</v>
      </c>
      <c r="D299" s="402"/>
      <c r="E299" s="402"/>
      <c r="F299" s="402"/>
      <c r="G299" s="402"/>
      <c r="H299" s="402"/>
      <c r="I299" s="411"/>
    </row>
    <row r="300" spans="1:9" ht="15.75" customHeight="1">
      <c r="A300" s="93" t="s">
        <v>584</v>
      </c>
      <c r="D300" s="402"/>
      <c r="E300" s="402"/>
      <c r="F300" s="402"/>
      <c r="G300" s="402"/>
      <c r="H300" s="402"/>
      <c r="I300" s="411"/>
    </row>
    <row r="301" spans="1:9" ht="15.75" customHeight="1">
      <c r="A301" s="93">
        <f>(10000*(1+2%)^5*2%/1600-1)*(-1)</f>
        <v>0.86198989959999994</v>
      </c>
      <c r="B301" s="100" t="s">
        <v>585</v>
      </c>
      <c r="D301" s="402"/>
      <c r="E301" s="402"/>
      <c r="F301" s="402"/>
      <c r="G301" s="402"/>
      <c r="H301" s="402"/>
      <c r="I301" s="411"/>
    </row>
    <row r="302" spans="1:9" ht="15.75" customHeight="1">
      <c r="A302" s="93" t="s">
        <v>586</v>
      </c>
      <c r="B302" s="27">
        <f>1/A301</f>
        <v>1.1601064008569504</v>
      </c>
      <c r="I302" s="94"/>
    </row>
    <row r="303" spans="1:9" ht="15.75" customHeight="1">
      <c r="A303" s="95" t="s">
        <v>48</v>
      </c>
      <c r="B303" s="99">
        <f>LOG(B302,1.02)</f>
        <v>7.4995970770573388</v>
      </c>
      <c r="C303" s="97"/>
      <c r="D303" s="97"/>
      <c r="E303" s="97"/>
      <c r="F303" s="97"/>
      <c r="G303" s="97"/>
      <c r="H303" s="97"/>
      <c r="I303" s="98"/>
    </row>
    <row r="304" spans="1:9" ht="15.75" customHeight="1">
      <c r="A304" s="418"/>
      <c r="B304" s="405"/>
      <c r="C304" s="405"/>
      <c r="D304" s="405"/>
    </row>
    <row r="305" spans="1:11" ht="15.75" customHeight="1">
      <c r="A305" s="101" t="s">
        <v>93</v>
      </c>
      <c r="B305" s="102" t="s">
        <v>505</v>
      </c>
      <c r="C305" s="102">
        <v>50</v>
      </c>
      <c r="D305" s="103"/>
      <c r="E305" s="409" t="s">
        <v>587</v>
      </c>
      <c r="F305" s="409"/>
      <c r="G305" s="409"/>
      <c r="H305" s="409"/>
      <c r="I305" s="409"/>
      <c r="J305" s="409"/>
      <c r="K305" s="410"/>
    </row>
    <row r="306" spans="1:11" ht="15.75" customHeight="1">
      <c r="A306" s="104"/>
      <c r="B306" s="27" t="s">
        <v>43</v>
      </c>
      <c r="C306" s="36">
        <v>0.126</v>
      </c>
      <c r="D306" s="19"/>
      <c r="E306" s="402"/>
      <c r="F306" s="402"/>
      <c r="G306" s="402"/>
      <c r="H306" s="402"/>
      <c r="I306" s="402"/>
      <c r="J306" s="402"/>
      <c r="K306" s="411"/>
    </row>
    <row r="307" spans="1:11" ht="15.75" customHeight="1">
      <c r="A307" s="104"/>
      <c r="B307" s="27" t="s">
        <v>588</v>
      </c>
      <c r="D307" s="19"/>
      <c r="E307" s="402"/>
      <c r="F307" s="402"/>
      <c r="G307" s="402"/>
      <c r="H307" s="402"/>
      <c r="I307" s="402"/>
      <c r="J307" s="402"/>
      <c r="K307" s="411"/>
    </row>
    <row r="308" spans="1:11" ht="15.75" customHeight="1">
      <c r="A308" s="104"/>
      <c r="B308" s="27" t="s">
        <v>506</v>
      </c>
      <c r="C308" s="27">
        <v>200</v>
      </c>
      <c r="D308" s="19"/>
      <c r="E308" s="402"/>
      <c r="F308" s="402"/>
      <c r="G308" s="402"/>
      <c r="H308" s="402"/>
      <c r="I308" s="402"/>
      <c r="J308" s="402"/>
      <c r="K308" s="411"/>
    </row>
    <row r="309" spans="1:11" ht="15.75" customHeight="1">
      <c r="A309" s="104"/>
      <c r="B309" s="27" t="s">
        <v>589</v>
      </c>
      <c r="D309" s="19"/>
      <c r="E309" s="402"/>
      <c r="F309" s="402"/>
      <c r="G309" s="402"/>
      <c r="H309" s="402"/>
      <c r="I309" s="402"/>
      <c r="J309" s="402"/>
      <c r="K309" s="411"/>
    </row>
    <row r="310" spans="1:11" ht="15.75" customHeight="1">
      <c r="A310" s="104"/>
      <c r="B310" s="27">
        <f>((200*12.6%/50-1)*-1)^-1</f>
        <v>2.0161290322580645</v>
      </c>
      <c r="C310" s="100" t="s">
        <v>590</v>
      </c>
      <c r="D310" s="19"/>
      <c r="E310" s="402"/>
      <c r="F310" s="402"/>
      <c r="G310" s="402"/>
      <c r="H310" s="402"/>
      <c r="I310" s="402"/>
      <c r="J310" s="402"/>
      <c r="K310" s="411"/>
    </row>
    <row r="311" spans="1:11" ht="15.75" customHeight="1">
      <c r="A311" s="104"/>
      <c r="B311" s="27" t="s">
        <v>48</v>
      </c>
      <c r="C311" s="27">
        <f>LOG(B310,1.126)</f>
        <v>5.9085726283834878</v>
      </c>
      <c r="D311" s="19"/>
      <c r="E311" s="402"/>
      <c r="F311" s="402"/>
      <c r="G311" s="402"/>
      <c r="H311" s="402"/>
      <c r="I311" s="402"/>
      <c r="J311" s="402"/>
      <c r="K311" s="411"/>
    </row>
    <row r="312" spans="1:11" ht="15.75" customHeight="1">
      <c r="A312" s="104"/>
      <c r="B312" s="31">
        <v>5</v>
      </c>
      <c r="D312" s="19"/>
      <c r="E312" s="402"/>
      <c r="F312" s="402"/>
      <c r="G312" s="402"/>
      <c r="H312" s="402"/>
      <c r="I312" s="402"/>
      <c r="J312" s="402"/>
      <c r="K312" s="411"/>
    </row>
    <row r="313" spans="1:11" ht="15.75" customHeight="1">
      <c r="A313" s="104"/>
      <c r="D313" s="19"/>
      <c r="E313" s="402"/>
      <c r="F313" s="402"/>
      <c r="G313" s="402"/>
      <c r="H313" s="402"/>
      <c r="I313" s="402"/>
      <c r="J313" s="402"/>
      <c r="K313" s="411"/>
    </row>
    <row r="314" spans="1:11" ht="15.75" customHeight="1">
      <c r="A314" s="93" t="s">
        <v>94</v>
      </c>
      <c r="B314" s="27" t="s">
        <v>506</v>
      </c>
      <c r="C314" s="27">
        <v>200</v>
      </c>
      <c r="D314" s="19"/>
      <c r="E314" s="402"/>
      <c r="F314" s="402"/>
      <c r="G314" s="402"/>
      <c r="H314" s="402"/>
      <c r="I314" s="402"/>
      <c r="J314" s="402"/>
      <c r="K314" s="411"/>
    </row>
    <row r="315" spans="1:11" ht="15.75" customHeight="1">
      <c r="A315" s="104"/>
      <c r="B315" s="27" t="s">
        <v>48</v>
      </c>
      <c r="C315" s="27">
        <v>4</v>
      </c>
      <c r="D315" s="19"/>
      <c r="E315" s="402"/>
      <c r="F315" s="402"/>
      <c r="G315" s="402"/>
      <c r="H315" s="402"/>
      <c r="I315" s="402"/>
      <c r="J315" s="402"/>
      <c r="K315" s="411"/>
    </row>
    <row r="316" spans="1:11" ht="15.75" customHeight="1">
      <c r="A316" s="104"/>
      <c r="B316" s="27" t="s">
        <v>43</v>
      </c>
      <c r="C316" s="36">
        <v>0.126</v>
      </c>
      <c r="D316" s="19"/>
      <c r="E316" s="402"/>
      <c r="F316" s="402"/>
      <c r="G316" s="402"/>
      <c r="H316" s="402"/>
      <c r="I316" s="402"/>
      <c r="J316" s="402"/>
      <c r="K316" s="411"/>
    </row>
    <row r="317" spans="1:11" ht="15.75" customHeight="1">
      <c r="A317" s="105"/>
      <c r="B317" s="106" t="s">
        <v>505</v>
      </c>
      <c r="C317" s="99">
        <f>C314*C316/(1-(1+C316)^-C315)</f>
        <v>66.680829302061838</v>
      </c>
      <c r="D317" s="107"/>
      <c r="E317" s="412"/>
      <c r="F317" s="412"/>
      <c r="G317" s="412"/>
      <c r="H317" s="412"/>
      <c r="I317" s="412"/>
      <c r="J317" s="412"/>
      <c r="K317" s="413"/>
    </row>
    <row r="318" spans="1:11" ht="15.75" customHeight="1">
      <c r="B318" s="21" t="s">
        <v>73</v>
      </c>
    </row>
    <row r="319" spans="1:11" ht="15.75" customHeight="1">
      <c r="A319" s="21"/>
    </row>
    <row r="320" spans="1:11" ht="15.75" customHeight="1">
      <c r="A320" s="81" t="s">
        <v>591</v>
      </c>
    </row>
    <row r="321" spans="1:5" ht="15.75" customHeight="1">
      <c r="A321" s="108"/>
    </row>
    <row r="322" spans="1:5" ht="15.75" customHeight="1">
      <c r="D322" s="57" t="s">
        <v>592</v>
      </c>
    </row>
    <row r="323" spans="1:5" ht="15.75" customHeight="1">
      <c r="A323" s="109"/>
    </row>
    <row r="324" spans="1:5" ht="15.75" customHeight="1">
      <c r="A324" s="110" t="s">
        <v>593</v>
      </c>
    </row>
    <row r="325" spans="1:5" ht="15.75" customHeight="1">
      <c r="A325" s="110"/>
    </row>
    <row r="326" spans="1:5" ht="15.75" customHeight="1">
      <c r="A326" t="s">
        <v>464</v>
      </c>
      <c r="B326" t="s">
        <v>477</v>
      </c>
    </row>
    <row r="327" spans="1:5" ht="15.75" customHeight="1">
      <c r="A327">
        <v>-3500</v>
      </c>
      <c r="B327">
        <v>0</v>
      </c>
    </row>
    <row r="328" spans="1:5" ht="15.75" customHeight="1">
      <c r="A328">
        <v>3000</v>
      </c>
      <c r="B328">
        <v>1</v>
      </c>
      <c r="E328" t="s">
        <v>484</v>
      </c>
    </row>
    <row r="329" spans="1:5" ht="15.75" customHeight="1">
      <c r="A329">
        <v>3500</v>
      </c>
      <c r="B329">
        <v>2</v>
      </c>
    </row>
    <row r="330" spans="1:5" ht="15.75" customHeight="1"/>
    <row r="331" spans="1:5" ht="15.75" customHeight="1">
      <c r="A331" t="s">
        <v>594</v>
      </c>
    </row>
    <row r="332" spans="1:5" ht="15.75" customHeight="1">
      <c r="A332" t="s">
        <v>595</v>
      </c>
      <c r="E332" t="s">
        <v>487</v>
      </c>
    </row>
    <row r="333" spans="1:5" ht="15.75" customHeight="1">
      <c r="A333" t="s">
        <v>596</v>
      </c>
      <c r="C333">
        <f>6^2+4*7*7</f>
        <v>232</v>
      </c>
      <c r="E333" s="16">
        <f>1/B335-1</f>
        <v>0.51653901512341527</v>
      </c>
    </row>
    <row r="334" spans="1:5" ht="15.75" customHeight="1">
      <c r="A334" t="s">
        <v>486</v>
      </c>
      <c r="B334">
        <f>(-6-SQRT(232))/14</f>
        <v>-1.5165390151234155</v>
      </c>
    </row>
    <row r="335" spans="1:5" ht="15.75" customHeight="1">
      <c r="A335" t="s">
        <v>597</v>
      </c>
      <c r="B335">
        <f>(-6+SQRT(232))/14</f>
        <v>0.6593961579805584</v>
      </c>
    </row>
    <row r="336" spans="1:5" ht="15.75" customHeight="1">
      <c r="A336" s="80"/>
    </row>
    <row r="337" spans="1:4" ht="15.75" customHeight="1">
      <c r="A337" s="26" t="s">
        <v>598</v>
      </c>
    </row>
    <row r="338" spans="1:4" ht="15.75" customHeight="1">
      <c r="A338" s="24"/>
    </row>
    <row r="339" spans="1:4" ht="15.75" customHeight="1">
      <c r="A339" s="26" t="s">
        <v>599</v>
      </c>
    </row>
    <row r="340" spans="1:4" ht="15.75" customHeight="1">
      <c r="A340" s="80"/>
    </row>
    <row r="341" spans="1:4" ht="15.75" customHeight="1">
      <c r="A341" s="26" t="s">
        <v>600</v>
      </c>
    </row>
    <row r="342" spans="1:4" ht="15.75" customHeight="1">
      <c r="A342" s="26"/>
    </row>
    <row r="343" spans="1:4" ht="15.75" customHeight="1">
      <c r="A343" s="26"/>
      <c r="C343" t="s">
        <v>387</v>
      </c>
      <c r="D343">
        <v>10</v>
      </c>
    </row>
    <row r="344" spans="1:4" ht="15.75" customHeight="1">
      <c r="A344" s="26"/>
      <c r="C344" t="s">
        <v>82</v>
      </c>
      <c r="D344" s="2">
        <v>0.2</v>
      </c>
    </row>
    <row r="345" spans="1:4" ht="15.75" customHeight="1">
      <c r="A345" s="26"/>
      <c r="C345" t="s">
        <v>192</v>
      </c>
      <c r="D345">
        <v>3</v>
      </c>
    </row>
    <row r="346" spans="1:4" ht="15.75" customHeight="1">
      <c r="A346" s="26"/>
    </row>
    <row r="347" spans="1:4" ht="15.75" customHeight="1">
      <c r="A347" s="26"/>
      <c r="C347" t="s">
        <v>76</v>
      </c>
      <c r="D347" s="16">
        <f>D343*((1+D344)^D345-1)/D344*(1+D344)</f>
        <v>43.679999999999986</v>
      </c>
    </row>
    <row r="348" spans="1:4" ht="15.75" customHeight="1">
      <c r="A348" s="26"/>
    </row>
    <row r="349" spans="1:4" ht="15.75" customHeight="1">
      <c r="A349" s="26"/>
    </row>
    <row r="350" spans="1:4" ht="15.75" customHeight="1">
      <c r="A350" s="26" t="s">
        <v>601</v>
      </c>
    </row>
    <row r="351" spans="1:4" ht="15.75" customHeight="1">
      <c r="A351" s="80"/>
    </row>
    <row r="352" spans="1:4" ht="15.75" customHeight="1">
      <c r="A352" s="26" t="s">
        <v>602</v>
      </c>
    </row>
    <row r="353" spans="1:1" ht="15.75" customHeight="1">
      <c r="A353" s="80"/>
    </row>
    <row r="354" spans="1:1" ht="15.75" customHeight="1">
      <c r="A354" s="26" t="s">
        <v>603</v>
      </c>
    </row>
    <row r="355" spans="1:1" ht="15.75" customHeight="1">
      <c r="A355" s="24"/>
    </row>
    <row r="356" spans="1:1" ht="15.75" customHeight="1"/>
    <row r="357" spans="1:1" ht="15.75" customHeight="1"/>
    <row r="358" spans="1:1" ht="15.75" customHeight="1"/>
    <row r="359" spans="1:1" ht="15.75" customHeight="1"/>
    <row r="360" spans="1:1" ht="15.75" customHeight="1"/>
    <row r="361" spans="1:1" ht="15.75" customHeight="1"/>
    <row r="362" spans="1:1" ht="15.75" customHeight="1"/>
    <row r="363" spans="1:1" ht="15.75" customHeight="1"/>
    <row r="364" spans="1:1" ht="15.75" customHeight="1"/>
    <row r="365" spans="1:1" ht="15.75" customHeight="1"/>
    <row r="366" spans="1:1" ht="15.75" customHeight="1"/>
    <row r="367" spans="1:1" ht="15.75" customHeight="1"/>
    <row r="368" spans="1:1"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sheetData>
  <mergeCells count="13">
    <mergeCell ref="A255:P264"/>
    <mergeCell ref="A271:P276"/>
    <mergeCell ref="E305:K317"/>
    <mergeCell ref="A135:N137"/>
    <mergeCell ref="D283:I287"/>
    <mergeCell ref="A291:B291"/>
    <mergeCell ref="D292:I295"/>
    <mergeCell ref="A296:B296"/>
    <mergeCell ref="D297:I301"/>
    <mergeCell ref="A304:D304"/>
    <mergeCell ref="A200:M205"/>
    <mergeCell ref="A232:K236"/>
    <mergeCell ref="A242:O24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818AC-38C3-48E0-995A-1327412A18A9}">
  <dimension ref="A1:K1002"/>
  <sheetViews>
    <sheetView topLeftCell="A301" zoomScale="85" zoomScaleNormal="85" workbookViewId="0">
      <selection activeCell="D331" sqref="D331"/>
    </sheetView>
  </sheetViews>
  <sheetFormatPr defaultColWidth="14.42578125" defaultRowHeight="15" customHeight="1"/>
  <cols>
    <col min="1" max="1" width="58.28515625" customWidth="1"/>
    <col min="2" max="2" width="16.28515625" bestFit="1" customWidth="1"/>
    <col min="3" max="4" width="8.7109375" customWidth="1"/>
    <col min="5" max="5" width="14.28515625" bestFit="1" customWidth="1"/>
    <col min="6" max="7" width="8.7109375" customWidth="1"/>
    <col min="8" max="8" width="14.28515625" bestFit="1" customWidth="1"/>
    <col min="9" max="26" width="8.7109375" customWidth="1"/>
  </cols>
  <sheetData>
    <row r="1" spans="1:9" ht="18">
      <c r="A1" s="424"/>
      <c r="B1" s="405"/>
      <c r="C1" s="405"/>
    </row>
    <row r="2" spans="1:9">
      <c r="A2" s="101" t="s">
        <v>97</v>
      </c>
      <c r="B2" s="102">
        <v>1500000</v>
      </c>
      <c r="C2" s="88"/>
      <c r="D2" s="409" t="s">
        <v>604</v>
      </c>
      <c r="E2" s="409"/>
      <c r="F2" s="409"/>
      <c r="G2" s="409"/>
      <c r="H2" s="409"/>
      <c r="I2" s="410"/>
    </row>
    <row r="3" spans="1:9">
      <c r="A3" s="93" t="s">
        <v>41</v>
      </c>
      <c r="B3" s="34">
        <v>0.13</v>
      </c>
      <c r="D3" s="402"/>
      <c r="E3" s="402"/>
      <c r="F3" s="402"/>
      <c r="G3" s="402"/>
      <c r="H3" s="402"/>
      <c r="I3" s="411"/>
    </row>
    <row r="4" spans="1:9">
      <c r="A4" s="93" t="s">
        <v>48</v>
      </c>
      <c r="B4" s="27">
        <v>7</v>
      </c>
      <c r="D4" s="402"/>
      <c r="E4" s="402"/>
      <c r="F4" s="402"/>
      <c r="G4" s="402"/>
      <c r="H4" s="402"/>
      <c r="I4" s="411"/>
    </row>
    <row r="5" spans="1:9">
      <c r="A5" s="93" t="s">
        <v>605</v>
      </c>
      <c r="B5" s="27">
        <v>12</v>
      </c>
      <c r="D5" s="402"/>
      <c r="E5" s="402"/>
      <c r="F5" s="402"/>
      <c r="G5" s="402"/>
      <c r="H5" s="402"/>
      <c r="I5" s="411"/>
    </row>
    <row r="6" spans="1:9" ht="15" customHeight="1">
      <c r="A6" s="104"/>
      <c r="D6" s="402"/>
      <c r="E6" s="402"/>
      <c r="F6" s="402"/>
      <c r="G6" s="402"/>
      <c r="H6" s="402"/>
      <c r="I6" s="411"/>
    </row>
    <row r="7" spans="1:9">
      <c r="A7" s="93" t="s">
        <v>606</v>
      </c>
      <c r="D7" s="402"/>
      <c r="E7" s="402"/>
      <c r="F7" s="402"/>
      <c r="G7" s="402"/>
      <c r="H7" s="402"/>
      <c r="I7" s="411"/>
    </row>
    <row r="8" spans="1:9" ht="15" customHeight="1">
      <c r="A8" s="104"/>
      <c r="D8" s="402"/>
      <c r="E8" s="402"/>
      <c r="F8" s="402"/>
      <c r="G8" s="402"/>
      <c r="H8" s="402"/>
      <c r="I8" s="411"/>
    </row>
    <row r="9" spans="1:9">
      <c r="A9" s="93" t="s">
        <v>607</v>
      </c>
      <c r="C9" s="27">
        <f>((1+B3/B5)^(B4*B5)-1)/(B5*((1+B3/B5)^(B5/B5)-1))</f>
        <v>11.324571714905561</v>
      </c>
      <c r="I9" s="94"/>
    </row>
    <row r="10" spans="1:9" ht="15" customHeight="1">
      <c r="A10" s="104"/>
      <c r="I10" s="94"/>
    </row>
    <row r="11" spans="1:9">
      <c r="A11" s="95" t="s">
        <v>608</v>
      </c>
      <c r="B11" s="106">
        <f>B2/C9</f>
        <v>132455.34027796201</v>
      </c>
      <c r="C11" s="97"/>
      <c r="D11" s="97"/>
      <c r="E11" s="97"/>
      <c r="F11" s="97"/>
      <c r="G11" s="97"/>
      <c r="H11" s="97"/>
      <c r="I11" s="98"/>
    </row>
    <row r="12" spans="1:9" ht="18">
      <c r="A12" s="424"/>
      <c r="B12" s="405"/>
      <c r="C12" s="405"/>
      <c r="D12" s="405"/>
    </row>
    <row r="13" spans="1:9">
      <c r="A13" s="112" t="s">
        <v>153</v>
      </c>
      <c r="B13" s="88"/>
      <c r="C13" s="88"/>
      <c r="D13" s="409" t="s">
        <v>609</v>
      </c>
      <c r="E13" s="409"/>
      <c r="F13" s="409"/>
      <c r="G13" s="409"/>
      <c r="H13" s="409"/>
      <c r="I13" s="410"/>
    </row>
    <row r="14" spans="1:9">
      <c r="A14" s="93" t="s">
        <v>508</v>
      </c>
      <c r="B14" s="27">
        <v>10000</v>
      </c>
      <c r="D14" s="402"/>
      <c r="E14" s="402"/>
      <c r="F14" s="402"/>
      <c r="G14" s="402"/>
      <c r="H14" s="402"/>
      <c r="I14" s="411"/>
    </row>
    <row r="15" spans="1:9">
      <c r="A15" s="93" t="s">
        <v>610</v>
      </c>
      <c r="B15" s="34">
        <v>0.22</v>
      </c>
      <c r="D15" s="402"/>
      <c r="E15" s="402"/>
      <c r="F15" s="402"/>
      <c r="G15" s="402"/>
      <c r="H15" s="402"/>
      <c r="I15" s="411"/>
    </row>
    <row r="16" spans="1:9">
      <c r="A16" s="93" t="s">
        <v>146</v>
      </c>
      <c r="B16" s="34">
        <v>0.11</v>
      </c>
      <c r="D16" s="402"/>
      <c r="E16" s="402"/>
      <c r="F16" s="402"/>
      <c r="G16" s="402"/>
      <c r="H16" s="402"/>
      <c r="I16" s="411"/>
    </row>
    <row r="17" spans="1:9">
      <c r="A17" s="93" t="s">
        <v>48</v>
      </c>
      <c r="B17" s="27">
        <v>3</v>
      </c>
      <c r="D17" s="402"/>
      <c r="E17" s="402"/>
      <c r="F17" s="402"/>
      <c r="G17" s="402"/>
      <c r="H17" s="402"/>
      <c r="I17" s="411"/>
    </row>
    <row r="18" spans="1:9">
      <c r="A18" s="93" t="s">
        <v>611</v>
      </c>
      <c r="B18" s="27">
        <v>4</v>
      </c>
      <c r="D18" s="402"/>
      <c r="E18" s="402"/>
      <c r="F18" s="402"/>
      <c r="G18" s="402"/>
      <c r="H18" s="402"/>
      <c r="I18" s="411"/>
    </row>
    <row r="19" spans="1:9" ht="15" customHeight="1">
      <c r="A19" s="104"/>
      <c r="I19" s="94"/>
    </row>
    <row r="20" spans="1:9">
      <c r="A20" s="93" t="s">
        <v>612</v>
      </c>
      <c r="I20" s="94"/>
    </row>
    <row r="21" spans="1:9" ht="15.75" customHeight="1">
      <c r="A21" s="93" t="s">
        <v>613</v>
      </c>
      <c r="I21" s="94"/>
    </row>
    <row r="22" spans="1:9" ht="15.75" customHeight="1">
      <c r="A22" s="104"/>
      <c r="I22" s="94"/>
    </row>
    <row r="23" spans="1:9" ht="15.75" customHeight="1">
      <c r="A23" s="93" t="s">
        <v>614</v>
      </c>
      <c r="I23" s="94"/>
    </row>
    <row r="24" spans="1:9" ht="15.75" customHeight="1">
      <c r="A24" s="104"/>
      <c r="I24" s="94"/>
    </row>
    <row r="25" spans="1:9" ht="15.75" customHeight="1">
      <c r="A25" s="93" t="s">
        <v>615</v>
      </c>
      <c r="D25" s="27">
        <f>(1-(1+B15/B18)^(-B18*B17))/B15</f>
        <v>2.1546294621839039</v>
      </c>
      <c r="I25" s="94"/>
    </row>
    <row r="26" spans="1:9" ht="15.75" customHeight="1">
      <c r="A26" s="93" t="s">
        <v>616</v>
      </c>
      <c r="D26" s="27">
        <f>(1-(1+B16/B18)^(-B18*B17))/B16</f>
        <v>2.5260509145431853</v>
      </c>
      <c r="I26" s="94"/>
    </row>
    <row r="27" spans="1:9" ht="15.75" customHeight="1">
      <c r="A27" s="104"/>
      <c r="I27" s="94"/>
    </row>
    <row r="28" spans="1:9" ht="15.75" customHeight="1">
      <c r="A28" s="95" t="s">
        <v>617</v>
      </c>
      <c r="B28" s="106">
        <f>B14*D25/D26</f>
        <v>8529.6359221387665</v>
      </c>
      <c r="C28" s="97"/>
      <c r="D28" s="97"/>
      <c r="E28" s="97"/>
      <c r="F28" s="97"/>
      <c r="G28" s="97"/>
      <c r="H28" s="97"/>
      <c r="I28" s="98"/>
    </row>
    <row r="29" spans="1:9" ht="15.75" customHeight="1">
      <c r="A29" s="424"/>
      <c r="B29" s="405"/>
      <c r="C29" s="405"/>
    </row>
    <row r="30" spans="1:9" ht="15.75" customHeight="1">
      <c r="A30" s="112" t="s">
        <v>161</v>
      </c>
      <c r="B30" s="88"/>
      <c r="C30" s="88"/>
      <c r="D30" s="409" t="s">
        <v>618</v>
      </c>
      <c r="E30" s="409"/>
      <c r="F30" s="409"/>
      <c r="G30" s="409"/>
      <c r="H30" s="409"/>
      <c r="I30" s="410"/>
    </row>
    <row r="31" spans="1:9" ht="15.75" customHeight="1">
      <c r="A31" s="93" t="s">
        <v>42</v>
      </c>
      <c r="B31" s="27">
        <v>1</v>
      </c>
      <c r="D31" s="402"/>
      <c r="E31" s="402"/>
      <c r="F31" s="402"/>
      <c r="G31" s="402"/>
      <c r="H31" s="402"/>
      <c r="I31" s="411"/>
    </row>
    <row r="32" spans="1:9" ht="15.75" customHeight="1">
      <c r="A32" s="93" t="s">
        <v>521</v>
      </c>
      <c r="B32" s="27">
        <v>4</v>
      </c>
      <c r="D32" s="402"/>
      <c r="E32" s="402"/>
      <c r="F32" s="402"/>
      <c r="G32" s="402"/>
      <c r="H32" s="402"/>
      <c r="I32" s="411"/>
    </row>
    <row r="33" spans="1:9" ht="15.75" customHeight="1">
      <c r="A33" s="93" t="s">
        <v>43</v>
      </c>
      <c r="B33" s="34">
        <v>0.25</v>
      </c>
      <c r="D33" s="402"/>
      <c r="E33" s="402"/>
      <c r="F33" s="402"/>
      <c r="G33" s="402"/>
      <c r="H33" s="402"/>
      <c r="I33" s="411"/>
    </row>
    <row r="34" spans="1:9" ht="15.75" customHeight="1">
      <c r="A34" s="93" t="s">
        <v>48</v>
      </c>
      <c r="B34" s="27">
        <v>1</v>
      </c>
      <c r="D34" s="402"/>
      <c r="E34" s="402"/>
      <c r="F34" s="402"/>
      <c r="G34" s="402"/>
      <c r="H34" s="402"/>
      <c r="I34" s="411"/>
    </row>
    <row r="35" spans="1:9" ht="15.75" customHeight="1">
      <c r="A35" s="104"/>
      <c r="D35" s="402"/>
      <c r="E35" s="402"/>
      <c r="F35" s="402"/>
      <c r="G35" s="402"/>
      <c r="H35" s="402"/>
      <c r="I35" s="411"/>
    </row>
    <row r="36" spans="1:9" ht="15.75" customHeight="1">
      <c r="A36" s="95" t="s">
        <v>619</v>
      </c>
      <c r="B36" s="106">
        <f>(1+B33)^(B31/B32)</f>
        <v>1.0573712634405641</v>
      </c>
      <c r="C36" s="97"/>
      <c r="D36" s="97"/>
      <c r="E36" s="97"/>
      <c r="F36" s="97"/>
      <c r="G36" s="97"/>
      <c r="H36" s="97"/>
      <c r="I36" s="98"/>
    </row>
    <row r="37" spans="1:9" ht="15.75" customHeight="1">
      <c r="A37" s="424"/>
      <c r="B37" s="405"/>
      <c r="C37" s="405"/>
    </row>
    <row r="38" spans="1:9" ht="15.75" customHeight="1">
      <c r="A38" s="112" t="s">
        <v>302</v>
      </c>
      <c r="B38" s="88"/>
      <c r="C38" s="88"/>
      <c r="D38" s="409" t="s">
        <v>620</v>
      </c>
      <c r="E38" s="409"/>
      <c r="F38" s="409"/>
      <c r="G38" s="409"/>
      <c r="H38" s="409"/>
      <c r="I38" s="410"/>
    </row>
    <row r="39" spans="1:9" ht="15.75" customHeight="1">
      <c r="A39" s="93" t="s">
        <v>48</v>
      </c>
      <c r="B39" s="27">
        <v>1</v>
      </c>
      <c r="D39" s="402"/>
      <c r="E39" s="402"/>
      <c r="F39" s="402"/>
      <c r="G39" s="402"/>
      <c r="H39" s="402"/>
      <c r="I39" s="411"/>
    </row>
    <row r="40" spans="1:9" ht="15.75" customHeight="1">
      <c r="A40" s="93" t="s">
        <v>42</v>
      </c>
      <c r="B40" s="27">
        <v>360</v>
      </c>
      <c r="D40" s="402"/>
      <c r="E40" s="402"/>
      <c r="F40" s="402"/>
      <c r="G40" s="402"/>
      <c r="H40" s="402"/>
      <c r="I40" s="411"/>
    </row>
    <row r="41" spans="1:9" ht="15.75" customHeight="1">
      <c r="A41" s="93" t="s">
        <v>521</v>
      </c>
      <c r="B41" s="27">
        <v>360</v>
      </c>
      <c r="D41" s="402"/>
      <c r="E41" s="402"/>
      <c r="F41" s="402"/>
      <c r="G41" s="402"/>
      <c r="H41" s="402"/>
      <c r="I41" s="411"/>
    </row>
    <row r="42" spans="1:9" ht="15.75" customHeight="1">
      <c r="A42" s="93" t="s">
        <v>48</v>
      </c>
      <c r="B42" s="27">
        <v>1</v>
      </c>
      <c r="D42" s="402"/>
      <c r="E42" s="402"/>
      <c r="F42" s="402"/>
      <c r="G42" s="402"/>
      <c r="H42" s="402"/>
      <c r="I42" s="411"/>
    </row>
    <row r="43" spans="1:9" ht="15.75" customHeight="1">
      <c r="A43" s="104"/>
      <c r="D43" s="402"/>
      <c r="E43" s="402"/>
      <c r="F43" s="402"/>
      <c r="G43" s="402"/>
      <c r="H43" s="402"/>
      <c r="I43" s="411"/>
    </row>
    <row r="44" spans="1:9" ht="15.75" customHeight="1">
      <c r="A44" s="93" t="s">
        <v>621</v>
      </c>
      <c r="B44" s="27">
        <v>1.0006870000000001</v>
      </c>
      <c r="I44" s="94"/>
    </row>
    <row r="45" spans="1:9" ht="15.75" customHeight="1">
      <c r="A45" s="104"/>
      <c r="I45" s="94"/>
    </row>
    <row r="46" spans="1:9" ht="15.75" customHeight="1">
      <c r="A46" s="95" t="s">
        <v>43</v>
      </c>
      <c r="B46" s="113">
        <f>B44^360-1</f>
        <v>0.28048009838255616</v>
      </c>
      <c r="C46" s="97"/>
      <c r="D46" s="97"/>
      <c r="E46" s="97"/>
      <c r="F46" s="97"/>
      <c r="G46" s="97"/>
      <c r="H46" s="97"/>
      <c r="I46" s="98"/>
    </row>
    <row r="47" spans="1:9" ht="15.75" customHeight="1">
      <c r="A47" s="425"/>
      <c r="B47" s="405"/>
      <c r="C47" s="405"/>
      <c r="D47" s="405"/>
      <c r="E47" s="405"/>
      <c r="F47" s="405"/>
    </row>
    <row r="48" spans="1:9" ht="15.75" customHeight="1">
      <c r="A48" s="115"/>
      <c r="D48" t="s">
        <v>622</v>
      </c>
    </row>
    <row r="49" spans="1:4" ht="15.75" customHeight="1">
      <c r="A49" s="116"/>
      <c r="D49" t="s">
        <v>623</v>
      </c>
    </row>
    <row r="50" spans="1:4" ht="15.75" customHeight="1">
      <c r="A50" s="27" t="s">
        <v>387</v>
      </c>
      <c r="B50" s="27">
        <v>12000</v>
      </c>
      <c r="D50" t="s">
        <v>624</v>
      </c>
    </row>
    <row r="51" spans="1:4" ht="15.75" customHeight="1">
      <c r="A51" s="27" t="s">
        <v>82</v>
      </c>
      <c r="B51" s="34">
        <v>0.12</v>
      </c>
      <c r="D51" t="s">
        <v>625</v>
      </c>
    </row>
    <row r="52" spans="1:4" ht="15.75" customHeight="1">
      <c r="A52" s="27" t="s">
        <v>192</v>
      </c>
      <c r="B52" s="27">
        <v>7</v>
      </c>
      <c r="D52" t="s">
        <v>626</v>
      </c>
    </row>
    <row r="53" spans="1:4" ht="15.75" customHeight="1">
      <c r="A53" s="27" t="s">
        <v>627</v>
      </c>
      <c r="D53" t="s">
        <v>628</v>
      </c>
    </row>
    <row r="54" spans="1:4" ht="15.75" customHeight="1">
      <c r="A54" s="27" t="s">
        <v>93</v>
      </c>
      <c r="B54" s="27" t="s">
        <v>629</v>
      </c>
    </row>
    <row r="55" spans="1:4" ht="15.75" customHeight="1">
      <c r="A55" s="27" t="s">
        <v>630</v>
      </c>
      <c r="B55" s="27">
        <f>((1+B51)^B52-1)/B51</f>
        <v>10.089011728384008</v>
      </c>
    </row>
    <row r="56" spans="1:4" ht="15.75" customHeight="1">
      <c r="A56" s="27" t="s">
        <v>76</v>
      </c>
      <c r="B56" s="27">
        <f>B55*B50</f>
        <v>121068.1407406081</v>
      </c>
    </row>
    <row r="57" spans="1:4" ht="15.75" customHeight="1"/>
    <row r="58" spans="1:4" ht="15.75" customHeight="1">
      <c r="A58" s="27" t="s">
        <v>631</v>
      </c>
    </row>
    <row r="59" spans="1:4" ht="15.75" customHeight="1">
      <c r="A59" s="27" t="s">
        <v>77</v>
      </c>
      <c r="B59" s="27">
        <v>2</v>
      </c>
    </row>
    <row r="60" spans="1:4" ht="15.75" customHeight="1">
      <c r="A60" s="27" t="s">
        <v>445</v>
      </c>
      <c r="B60" s="27">
        <v>1</v>
      </c>
    </row>
    <row r="61" spans="1:4" ht="15.75" customHeight="1">
      <c r="A61" s="27" t="s">
        <v>629</v>
      </c>
    </row>
    <row r="62" spans="1:4" ht="15.75" customHeight="1">
      <c r="A62" s="27" t="s">
        <v>632</v>
      </c>
      <c r="B62" s="117">
        <f>((1+B51/B59)^(B59*B52)-1)/((1+B51/B59)^B59-1)</f>
        <v>10.201488315165248</v>
      </c>
    </row>
    <row r="63" spans="1:4" ht="15.75" customHeight="1">
      <c r="A63" s="27" t="s">
        <v>76</v>
      </c>
      <c r="B63" s="27">
        <f>B62*B50</f>
        <v>122417.85978198297</v>
      </c>
    </row>
    <row r="64" spans="1:4" ht="15.75" customHeight="1"/>
    <row r="65" spans="1:2" ht="15.75" customHeight="1">
      <c r="A65" s="27" t="s">
        <v>95</v>
      </c>
    </row>
    <row r="66" spans="1:2" ht="15.75" customHeight="1">
      <c r="A66" s="27" t="s">
        <v>445</v>
      </c>
      <c r="B66" s="27">
        <v>2</v>
      </c>
    </row>
    <row r="67" spans="1:2" ht="15.75" customHeight="1">
      <c r="A67" s="27" t="s">
        <v>77</v>
      </c>
      <c r="B67" s="27">
        <v>1</v>
      </c>
    </row>
    <row r="68" spans="1:2" ht="15.75" customHeight="1">
      <c r="A68" s="27" t="s">
        <v>629</v>
      </c>
    </row>
    <row r="69" spans="1:2" ht="15.75" customHeight="1">
      <c r="A69" s="27" t="s">
        <v>632</v>
      </c>
      <c r="B69" s="27">
        <f>((1+B51)^7-1)/((1+B51)^(1/2)-1)</f>
        <v>20.766218131471184</v>
      </c>
    </row>
    <row r="70" spans="1:2" ht="15.75" customHeight="1">
      <c r="A70" s="27" t="s">
        <v>633</v>
      </c>
      <c r="B70" s="27">
        <f>B69*B50/2</f>
        <v>124597.30878882711</v>
      </c>
    </row>
    <row r="71" spans="1:2" ht="15.75" customHeight="1"/>
    <row r="72" spans="1:2" ht="15.75" customHeight="1">
      <c r="A72" s="27" t="s">
        <v>634</v>
      </c>
    </row>
    <row r="73" spans="1:2" ht="15.75" customHeight="1">
      <c r="A73" s="27" t="s">
        <v>445</v>
      </c>
      <c r="B73" s="27">
        <v>4</v>
      </c>
    </row>
    <row r="74" spans="1:2" ht="15.75" customHeight="1">
      <c r="A74" s="27" t="s">
        <v>77</v>
      </c>
      <c r="B74" s="27">
        <v>2</v>
      </c>
    </row>
    <row r="75" spans="1:2" ht="15.75" customHeight="1">
      <c r="A75" s="27" t="s">
        <v>629</v>
      </c>
    </row>
    <row r="76" spans="1:2" ht="15.75" customHeight="1">
      <c r="A76" s="27" t="s">
        <v>632</v>
      </c>
      <c r="B76" s="27">
        <f>((1+B51/B74)^(B74*7)-1)/((1+12%/2)^(2/4)-1)</f>
        <v>42.651400548832179</v>
      </c>
    </row>
    <row r="77" spans="1:2" ht="15.75" customHeight="1">
      <c r="A77" s="27" t="s">
        <v>635</v>
      </c>
      <c r="B77" s="27">
        <f>B76*B50/4</f>
        <v>127954.20164649654</v>
      </c>
    </row>
    <row r="78" spans="1:2" ht="15.75" customHeight="1"/>
    <row r="79" spans="1:2" ht="15.75" customHeight="1">
      <c r="A79" s="27" t="s">
        <v>636</v>
      </c>
    </row>
    <row r="80" spans="1:2" ht="15.75" customHeight="1">
      <c r="A80" s="27" t="s">
        <v>637</v>
      </c>
    </row>
    <row r="81" spans="1:9" ht="15.75" customHeight="1">
      <c r="A81" s="27" t="s">
        <v>629</v>
      </c>
    </row>
    <row r="82" spans="1:9" ht="15.75" customHeight="1">
      <c r="A82" s="27" t="s">
        <v>632</v>
      </c>
      <c r="B82" s="27">
        <f>((1+12%/4)^(4*7)-1)/(12%)</f>
        <v>10.732730631143836</v>
      </c>
    </row>
    <row r="83" spans="1:9" ht="15.75" customHeight="1">
      <c r="A83" s="27" t="s">
        <v>76</v>
      </c>
      <c r="B83" s="27">
        <f>B82*B50</f>
        <v>128792.76757372603</v>
      </c>
    </row>
    <row r="84" spans="1:9" ht="15.75" customHeight="1">
      <c r="A84" s="424"/>
      <c r="B84" s="405"/>
      <c r="C84" s="405"/>
      <c r="D84" s="405"/>
    </row>
    <row r="85" spans="1:9" ht="15.75" customHeight="1">
      <c r="A85" s="112" t="s">
        <v>189</v>
      </c>
      <c r="B85" s="88"/>
      <c r="C85" s="88"/>
      <c r="D85" s="88"/>
      <c r="E85" s="88"/>
      <c r="F85" s="88"/>
      <c r="G85" s="88"/>
      <c r="H85" s="88"/>
      <c r="I85" s="89"/>
    </row>
    <row r="86" spans="1:9" ht="15.75" customHeight="1">
      <c r="A86" s="93" t="s">
        <v>77</v>
      </c>
      <c r="B86" s="27">
        <v>2</v>
      </c>
      <c r="D86" s="402" t="s">
        <v>638</v>
      </c>
      <c r="E86" s="402"/>
      <c r="F86" s="402"/>
      <c r="G86" s="402"/>
      <c r="H86" s="402"/>
      <c r="I86" s="411"/>
    </row>
    <row r="87" spans="1:9" ht="15.75" customHeight="1">
      <c r="A87" s="93" t="s">
        <v>445</v>
      </c>
      <c r="B87" s="27">
        <v>4</v>
      </c>
      <c r="D87" s="402"/>
      <c r="E87" s="402"/>
      <c r="F87" s="402"/>
      <c r="G87" s="402"/>
      <c r="H87" s="402"/>
      <c r="I87" s="411"/>
    </row>
    <row r="88" spans="1:9" ht="15.75" customHeight="1">
      <c r="A88" s="93" t="s">
        <v>76</v>
      </c>
      <c r="B88" s="27">
        <v>200000</v>
      </c>
      <c r="D88" s="402"/>
      <c r="E88" s="402"/>
      <c r="F88" s="402"/>
      <c r="G88" s="402"/>
      <c r="H88" s="402"/>
      <c r="I88" s="411"/>
    </row>
    <row r="89" spans="1:9" ht="15.75" customHeight="1">
      <c r="A89" s="93" t="s">
        <v>82</v>
      </c>
      <c r="B89" s="27">
        <v>0.08</v>
      </c>
      <c r="D89" s="402"/>
      <c r="E89" s="402"/>
      <c r="F89" s="402"/>
      <c r="G89" s="402"/>
      <c r="H89" s="402"/>
      <c r="I89" s="411"/>
    </row>
    <row r="90" spans="1:9" ht="15.75" customHeight="1">
      <c r="A90" s="93" t="s">
        <v>639</v>
      </c>
      <c r="B90" s="27">
        <v>10000</v>
      </c>
      <c r="D90" s="402"/>
      <c r="E90" s="402"/>
      <c r="F90" s="402"/>
      <c r="G90" s="402"/>
      <c r="H90" s="402"/>
      <c r="I90" s="411"/>
    </row>
    <row r="91" spans="1:9" ht="15.75" customHeight="1">
      <c r="A91" s="93" t="s">
        <v>192</v>
      </c>
      <c r="B91" s="27" t="s">
        <v>640</v>
      </c>
      <c r="D91" s="402"/>
      <c r="E91" s="402"/>
      <c r="F91" s="402"/>
      <c r="G91" s="402"/>
      <c r="H91" s="402"/>
      <c r="I91" s="411"/>
    </row>
    <row r="92" spans="1:9" ht="15.75" customHeight="1">
      <c r="A92" s="93">
        <f>LN((B88*((1+B89/B86)^(B86/B87)-1))/B90+1)</f>
        <v>0.33366691565042422</v>
      </c>
      <c r="B92" s="27">
        <f>A92/A93</f>
        <v>4.2537079112559253</v>
      </c>
      <c r="I92" s="94"/>
    </row>
    <row r="93" spans="1:9" ht="15.75" customHeight="1">
      <c r="A93" s="95">
        <f>B86*(LN(1+B89/B86))</f>
        <v>7.8441426306562659E-2</v>
      </c>
      <c r="B93" s="97"/>
      <c r="C93" s="97"/>
      <c r="D93" s="97"/>
      <c r="E93" s="97"/>
      <c r="F93" s="97"/>
      <c r="G93" s="97"/>
      <c r="H93" s="97"/>
      <c r="I93" s="98"/>
    </row>
    <row r="94" spans="1:9" ht="15.75" customHeight="1">
      <c r="A94" s="118"/>
      <c r="B94" s="88"/>
      <c r="C94" s="88"/>
      <c r="D94" s="88"/>
      <c r="E94" s="88"/>
      <c r="F94" s="88"/>
      <c r="G94" s="88"/>
      <c r="H94" s="88"/>
      <c r="I94" s="89"/>
    </row>
    <row r="95" spans="1:9" ht="15.75" customHeight="1">
      <c r="A95" s="119" t="s">
        <v>205</v>
      </c>
      <c r="D95" s="422" t="s">
        <v>641</v>
      </c>
      <c r="E95" s="422"/>
      <c r="F95" s="422"/>
      <c r="G95" s="422"/>
      <c r="H95" s="422"/>
      <c r="I95" s="423"/>
    </row>
    <row r="96" spans="1:9" ht="15.75" customHeight="1">
      <c r="A96" s="104"/>
      <c r="D96" s="422"/>
      <c r="E96" s="422"/>
      <c r="F96" s="422"/>
      <c r="G96" s="422"/>
      <c r="H96" s="422"/>
      <c r="I96" s="423"/>
    </row>
    <row r="97" spans="1:9" ht="15.75" customHeight="1">
      <c r="A97" s="104"/>
      <c r="D97" s="422"/>
      <c r="E97" s="422"/>
      <c r="F97" s="422"/>
      <c r="G97" s="422"/>
      <c r="H97" s="422"/>
      <c r="I97" s="423"/>
    </row>
    <row r="98" spans="1:9" ht="15.75" customHeight="1">
      <c r="A98" s="104"/>
      <c r="D98" s="422"/>
      <c r="E98" s="422"/>
      <c r="F98" s="422"/>
      <c r="G98" s="422"/>
      <c r="H98" s="422"/>
      <c r="I98" s="423"/>
    </row>
    <row r="99" spans="1:9" ht="15.75" customHeight="1">
      <c r="A99" s="93" t="s">
        <v>192</v>
      </c>
      <c r="B99" s="27">
        <v>10</v>
      </c>
      <c r="D99" s="422"/>
      <c r="E99" s="422"/>
      <c r="F99" s="422"/>
      <c r="G99" s="422"/>
      <c r="H99" s="422"/>
      <c r="I99" s="423"/>
    </row>
    <row r="100" spans="1:9" ht="15.75" customHeight="1">
      <c r="A100" s="93" t="s">
        <v>445</v>
      </c>
      <c r="B100" s="27">
        <v>4</v>
      </c>
      <c r="D100" s="422"/>
      <c r="E100" s="422"/>
      <c r="F100" s="422"/>
      <c r="G100" s="422"/>
      <c r="H100" s="422"/>
      <c r="I100" s="423"/>
    </row>
    <row r="101" spans="1:9" ht="15.75" customHeight="1">
      <c r="A101" s="93" t="s">
        <v>82</v>
      </c>
      <c r="B101" s="34">
        <v>7.0000000000000007E-2</v>
      </c>
      <c r="D101" s="422"/>
      <c r="E101" s="422"/>
      <c r="F101" s="422"/>
      <c r="G101" s="422"/>
      <c r="H101" s="422"/>
      <c r="I101" s="423"/>
    </row>
    <row r="102" spans="1:9" ht="15.75" customHeight="1">
      <c r="A102" s="104"/>
      <c r="D102" s="422"/>
      <c r="E102" s="422"/>
      <c r="F102" s="422"/>
      <c r="G102" s="422"/>
      <c r="H102" s="422"/>
      <c r="I102" s="423"/>
    </row>
    <row r="103" spans="1:9" ht="15.75" customHeight="1">
      <c r="A103" s="93" t="s">
        <v>642</v>
      </c>
      <c r="C103" s="27" t="s">
        <v>643</v>
      </c>
      <c r="D103" s="422"/>
      <c r="E103" s="422"/>
      <c r="F103" s="422"/>
      <c r="G103" s="422"/>
      <c r="H103" s="422"/>
      <c r="I103" s="423"/>
    </row>
    <row r="104" spans="1:9" ht="15.75" customHeight="1">
      <c r="A104" s="104"/>
      <c r="I104" s="94"/>
    </row>
    <row r="105" spans="1:9" ht="15.75" customHeight="1">
      <c r="A105" s="93">
        <f>(((1+B101)^(B99)-1)/((1+B101)^(1/B100)-1)*4)</f>
        <v>226.78428696194254</v>
      </c>
      <c r="C105" s="27">
        <f>(EXP(B99*B101)-1)/((EXP(B101/B100)-1)*4)</f>
        <v>14.355832042313594</v>
      </c>
      <c r="I105" s="94"/>
    </row>
    <row r="106" spans="1:9" ht="15.75" customHeight="1">
      <c r="A106" s="104"/>
      <c r="I106" s="94"/>
    </row>
    <row r="107" spans="1:9" ht="15.75" customHeight="1">
      <c r="A107" s="104"/>
      <c r="I107" s="94"/>
    </row>
    <row r="108" spans="1:9" ht="15.75" customHeight="1">
      <c r="A108" s="104"/>
      <c r="I108" s="94"/>
    </row>
    <row r="109" spans="1:9" ht="15.75" customHeight="1">
      <c r="A109" s="93" t="s">
        <v>644</v>
      </c>
      <c r="C109" s="27">
        <f>(C105-A105)/A105*100%</f>
        <v>-0.93669829495408263</v>
      </c>
      <c r="I109" s="94"/>
    </row>
    <row r="110" spans="1:9" ht="15.75" customHeight="1">
      <c r="A110" s="104"/>
      <c r="I110" s="94"/>
    </row>
    <row r="111" spans="1:9" ht="15.75" customHeight="1">
      <c r="A111" s="93" t="s">
        <v>642</v>
      </c>
      <c r="C111" s="27" t="s">
        <v>643</v>
      </c>
      <c r="I111" s="94"/>
    </row>
    <row r="112" spans="1:9" ht="15.75" customHeight="1">
      <c r="A112" s="93">
        <f>((1.07^10)-1)/((1.07^0.25)-1)</f>
        <v>56.696071740485635</v>
      </c>
      <c r="C112" s="27">
        <f>(EXP(10*0.07)-1)/(EXP(0.07/4)-1)</f>
        <v>57.423328169254376</v>
      </c>
      <c r="I112" s="94"/>
    </row>
    <row r="113" spans="1:9" ht="15.75" customHeight="1">
      <c r="A113" s="104"/>
      <c r="I113" s="94"/>
    </row>
    <row r="114" spans="1:9" ht="15.75" customHeight="1">
      <c r="A114" s="120">
        <f>(C112-A112)/A112*100%</f>
        <v>1.2827280734679534E-2</v>
      </c>
      <c r="B114" s="106" t="s">
        <v>645</v>
      </c>
      <c r="C114" s="97"/>
      <c r="D114" s="97"/>
      <c r="E114" s="97"/>
      <c r="F114" s="97"/>
      <c r="G114" s="97"/>
      <c r="H114" s="97"/>
      <c r="I114" s="98"/>
    </row>
    <row r="115" spans="1:9" ht="15.75" customHeight="1">
      <c r="A115" s="111"/>
    </row>
    <row r="116" spans="1:9" ht="15.75" customHeight="1">
      <c r="A116" s="112" t="s">
        <v>214</v>
      </c>
      <c r="B116" s="88"/>
      <c r="C116" s="88"/>
      <c r="D116" s="409" t="s">
        <v>646</v>
      </c>
      <c r="E116" s="409"/>
      <c r="F116" s="409"/>
      <c r="G116" s="409"/>
      <c r="H116" s="409"/>
      <c r="I116" s="410"/>
    </row>
    <row r="117" spans="1:9" ht="15.75" customHeight="1">
      <c r="A117" s="93" t="s">
        <v>505</v>
      </c>
      <c r="B117" s="27">
        <v>170</v>
      </c>
      <c r="D117" s="402"/>
      <c r="E117" s="402"/>
      <c r="F117" s="402"/>
      <c r="G117" s="402"/>
      <c r="H117" s="402"/>
      <c r="I117" s="411"/>
    </row>
    <row r="118" spans="1:9" ht="15.75" customHeight="1">
      <c r="A118" s="93" t="s">
        <v>48</v>
      </c>
      <c r="B118" s="27">
        <v>9</v>
      </c>
      <c r="D118" s="402"/>
      <c r="E118" s="402"/>
      <c r="F118" s="402"/>
      <c r="G118" s="402"/>
      <c r="H118" s="402"/>
      <c r="I118" s="411"/>
    </row>
    <row r="119" spans="1:9" ht="15.75" customHeight="1">
      <c r="A119" s="93" t="s">
        <v>43</v>
      </c>
      <c r="B119" s="34">
        <v>0.16</v>
      </c>
      <c r="D119" s="402"/>
      <c r="E119" s="402"/>
      <c r="F119" s="402"/>
      <c r="G119" s="402"/>
      <c r="H119" s="402"/>
      <c r="I119" s="411"/>
    </row>
    <row r="120" spans="1:9" ht="15.75" customHeight="1">
      <c r="A120" s="93" t="s">
        <v>42</v>
      </c>
      <c r="B120" s="27">
        <v>12</v>
      </c>
      <c r="D120" s="402"/>
      <c r="E120" s="402"/>
      <c r="F120" s="402"/>
      <c r="G120" s="402"/>
      <c r="H120" s="402"/>
      <c r="I120" s="411"/>
    </row>
    <row r="121" spans="1:9" ht="15.75" customHeight="1">
      <c r="A121" s="104"/>
      <c r="D121" s="402"/>
      <c r="E121" s="402"/>
      <c r="F121" s="402"/>
      <c r="G121" s="402"/>
      <c r="H121" s="402"/>
      <c r="I121" s="411"/>
    </row>
    <row r="122" spans="1:9" ht="15.75" customHeight="1">
      <c r="A122" s="104"/>
      <c r="D122" s="402"/>
      <c r="E122" s="402"/>
      <c r="F122" s="402"/>
      <c r="G122" s="402"/>
      <c r="H122" s="402"/>
      <c r="I122" s="411"/>
    </row>
    <row r="123" spans="1:9" ht="15.75" customHeight="1">
      <c r="A123" s="104"/>
      <c r="D123" s="402"/>
      <c r="E123" s="402"/>
      <c r="F123" s="402"/>
      <c r="G123" s="402"/>
      <c r="H123" s="402"/>
      <c r="I123" s="411"/>
    </row>
    <row r="124" spans="1:9" ht="15.75" customHeight="1">
      <c r="A124" s="104"/>
      <c r="I124" s="94"/>
    </row>
    <row r="125" spans="1:9" ht="15.75" customHeight="1">
      <c r="A125" s="93" t="s">
        <v>506</v>
      </c>
      <c r="B125" s="27">
        <f>B117*((1-(1+B119/B120)^(-B118*B120))/(B120*LN(1+B119/B120)))</f>
        <v>813.73458226123569</v>
      </c>
      <c r="I125" s="94"/>
    </row>
    <row r="126" spans="1:9" ht="15.75" customHeight="1">
      <c r="A126" s="104"/>
      <c r="I126" s="94"/>
    </row>
    <row r="127" spans="1:9" ht="15.75" customHeight="1">
      <c r="A127" s="95" t="s">
        <v>97</v>
      </c>
      <c r="B127" s="106">
        <f>B117*((1+B119/B120)^(B118*B120)-1)/(B120*LN(1+B119/B120))</f>
        <v>3401.9998736488801</v>
      </c>
      <c r="C127" s="97"/>
      <c r="D127" s="97"/>
      <c r="E127" s="97"/>
      <c r="F127" s="97"/>
      <c r="G127" s="97"/>
      <c r="H127" s="97"/>
      <c r="I127" s="98"/>
    </row>
    <row r="128" spans="1:9" ht="15.75" customHeight="1">
      <c r="A128" s="111"/>
    </row>
    <row r="129" spans="1:8" ht="15.75" customHeight="1">
      <c r="A129" s="112" t="s">
        <v>219</v>
      </c>
      <c r="B129" s="88"/>
      <c r="C129" s="409" t="s">
        <v>647</v>
      </c>
      <c r="D129" s="409"/>
      <c r="E129" s="409"/>
      <c r="F129" s="409"/>
      <c r="G129" s="409"/>
      <c r="H129" s="410"/>
    </row>
    <row r="130" spans="1:8" ht="15.75" customHeight="1">
      <c r="A130" s="104"/>
      <c r="C130" s="402"/>
      <c r="D130" s="402"/>
      <c r="E130" s="402"/>
      <c r="F130" s="402"/>
      <c r="G130" s="402"/>
      <c r="H130" s="411"/>
    </row>
    <row r="131" spans="1:8" ht="15.75" customHeight="1">
      <c r="A131" s="104"/>
      <c r="C131" s="402"/>
      <c r="D131" s="402"/>
      <c r="E131" s="402"/>
      <c r="F131" s="402"/>
      <c r="G131" s="402"/>
      <c r="H131" s="411"/>
    </row>
    <row r="132" spans="1:8" ht="15.75" customHeight="1">
      <c r="A132" s="104"/>
      <c r="C132" s="402"/>
      <c r="D132" s="402"/>
      <c r="E132" s="402"/>
      <c r="F132" s="402"/>
      <c r="G132" s="402"/>
      <c r="H132" s="411"/>
    </row>
    <row r="133" spans="1:8" ht="15.75" customHeight="1">
      <c r="A133" s="104"/>
      <c r="C133" s="402"/>
      <c r="D133" s="402"/>
      <c r="E133" s="402"/>
      <c r="F133" s="402"/>
      <c r="G133" s="402"/>
      <c r="H133" s="411"/>
    </row>
    <row r="134" spans="1:8" ht="15.75" customHeight="1">
      <c r="A134" s="104"/>
      <c r="C134" s="402"/>
      <c r="D134" s="402"/>
      <c r="E134" s="402"/>
      <c r="F134" s="402"/>
      <c r="G134" s="402"/>
      <c r="H134" s="411"/>
    </row>
    <row r="135" spans="1:8" ht="15.75" customHeight="1">
      <c r="A135" s="104"/>
      <c r="C135" s="402"/>
      <c r="D135" s="402"/>
      <c r="E135" s="402"/>
      <c r="F135" s="402"/>
      <c r="G135" s="402"/>
      <c r="H135" s="411"/>
    </row>
    <row r="136" spans="1:8" ht="15.75" customHeight="1">
      <c r="A136" s="93" t="s">
        <v>525</v>
      </c>
      <c r="B136" s="27">
        <v>500</v>
      </c>
      <c r="H136" s="94"/>
    </row>
    <row r="137" spans="1:8" ht="15.75" customHeight="1">
      <c r="A137" s="93" t="s">
        <v>133</v>
      </c>
      <c r="B137" s="27">
        <v>6</v>
      </c>
      <c r="H137" s="94"/>
    </row>
    <row r="138" spans="1:8" ht="15.75" customHeight="1">
      <c r="A138" s="93" t="s">
        <v>648</v>
      </c>
      <c r="B138" s="34">
        <v>0.14000000000000001</v>
      </c>
      <c r="H138" s="94"/>
    </row>
    <row r="139" spans="1:8" ht="15.75" customHeight="1">
      <c r="A139" s="104"/>
      <c r="H139" s="94"/>
    </row>
    <row r="140" spans="1:8" ht="15.75" customHeight="1">
      <c r="A140" s="104"/>
      <c r="H140" s="94"/>
    </row>
    <row r="141" spans="1:8" ht="15.75" customHeight="1">
      <c r="A141" s="104"/>
      <c r="H141" s="94"/>
    </row>
    <row r="142" spans="1:8" ht="15.75" customHeight="1">
      <c r="A142" s="104"/>
      <c r="H142" s="94"/>
    </row>
    <row r="143" spans="1:8" ht="15.75" customHeight="1">
      <c r="A143" s="104"/>
      <c r="H143" s="94"/>
    </row>
    <row r="144" spans="1:8" ht="15.75" customHeight="1">
      <c r="A144" s="93" t="s">
        <v>649</v>
      </c>
      <c r="B144" s="27">
        <f>B136*(1-EXP(-B137*B138))/B138</f>
        <v>2029.6052734675725</v>
      </c>
      <c r="H144" s="94"/>
    </row>
    <row r="145" spans="1:11" ht="15.75" customHeight="1">
      <c r="A145" s="104"/>
      <c r="H145" s="94"/>
    </row>
    <row r="146" spans="1:11" ht="15.75" customHeight="1">
      <c r="A146" s="93" t="s">
        <v>143</v>
      </c>
      <c r="B146" s="27">
        <f>B136*(EXP(B137*B138)-1)/B138</f>
        <v>4701.3106313610424</v>
      </c>
      <c r="H146" s="94"/>
    </row>
    <row r="147" spans="1:11" ht="15.75" customHeight="1">
      <c r="A147" s="105"/>
      <c r="B147" s="97"/>
      <c r="C147" s="97"/>
      <c r="D147" s="97"/>
      <c r="E147" s="97"/>
      <c r="F147" s="97"/>
      <c r="G147" s="97"/>
      <c r="H147" s="98"/>
    </row>
    <row r="148" spans="1:11" ht="15.75" customHeight="1">
      <c r="A148" s="121"/>
    </row>
    <row r="149" spans="1:11" ht="15.75" customHeight="1">
      <c r="A149" s="101" t="s">
        <v>48</v>
      </c>
      <c r="B149" s="102">
        <v>7</v>
      </c>
      <c r="C149" s="88"/>
      <c r="D149" s="88"/>
      <c r="E149" s="88"/>
      <c r="F149" s="409" t="s">
        <v>650</v>
      </c>
      <c r="G149" s="409"/>
      <c r="H149" s="409"/>
      <c r="I149" s="409"/>
      <c r="J149" s="409"/>
      <c r="K149" s="410"/>
    </row>
    <row r="150" spans="1:11" ht="15.75" customHeight="1">
      <c r="A150" s="93" t="s">
        <v>97</v>
      </c>
      <c r="B150" s="27">
        <v>4500000</v>
      </c>
      <c r="F150" s="402"/>
      <c r="G150" s="402"/>
      <c r="H150" s="402"/>
      <c r="I150" s="402"/>
      <c r="J150" s="402"/>
      <c r="K150" s="411"/>
    </row>
    <row r="151" spans="1:11" ht="15.75" customHeight="1">
      <c r="A151" s="93" t="s">
        <v>43</v>
      </c>
      <c r="B151" s="34">
        <v>0.12</v>
      </c>
      <c r="F151" s="402"/>
      <c r="G151" s="402"/>
      <c r="H151" s="402"/>
      <c r="I151" s="402"/>
      <c r="J151" s="402"/>
      <c r="K151" s="411"/>
    </row>
    <row r="152" spans="1:11" ht="15.75" customHeight="1">
      <c r="A152" s="93" t="s">
        <v>42</v>
      </c>
      <c r="B152" s="27">
        <v>12</v>
      </c>
      <c r="F152" s="402"/>
      <c r="G152" s="402"/>
      <c r="H152" s="402"/>
      <c r="I152" s="402"/>
      <c r="J152" s="402"/>
      <c r="K152" s="411"/>
    </row>
    <row r="153" spans="1:11" ht="15.75" customHeight="1">
      <c r="A153" s="93" t="s">
        <v>521</v>
      </c>
      <c r="B153" s="27">
        <v>12</v>
      </c>
      <c r="F153" s="402"/>
      <c r="G153" s="402"/>
      <c r="H153" s="402"/>
      <c r="I153" s="402"/>
      <c r="J153" s="402"/>
      <c r="K153" s="411"/>
    </row>
    <row r="154" spans="1:11" ht="15.75" customHeight="1">
      <c r="A154" s="104"/>
      <c r="F154" s="402"/>
      <c r="G154" s="402"/>
      <c r="H154" s="402"/>
      <c r="I154" s="402"/>
      <c r="J154" s="402"/>
      <c r="K154" s="411"/>
    </row>
    <row r="155" spans="1:11" ht="15.75" customHeight="1">
      <c r="A155" s="93" t="s">
        <v>97</v>
      </c>
      <c r="F155" s="402"/>
      <c r="G155" s="402"/>
      <c r="H155" s="402"/>
      <c r="I155" s="402"/>
      <c r="J155" s="402"/>
      <c r="K155" s="411"/>
    </row>
    <row r="156" spans="1:11" ht="15.75" customHeight="1">
      <c r="A156" s="104"/>
      <c r="F156" s="402"/>
      <c r="G156" s="402"/>
      <c r="H156" s="402"/>
      <c r="I156" s="402"/>
      <c r="J156" s="402"/>
      <c r="K156" s="411"/>
    </row>
    <row r="157" spans="1:11" ht="15.75" customHeight="1">
      <c r="A157" s="93" t="s">
        <v>505</v>
      </c>
      <c r="K157" s="94"/>
    </row>
    <row r="158" spans="1:11" ht="15.75" customHeight="1">
      <c r="A158" s="104"/>
      <c r="C158" s="122" t="s">
        <v>651</v>
      </c>
      <c r="K158" s="94"/>
    </row>
    <row r="159" spans="1:11" ht="15.75" customHeight="1">
      <c r="A159" s="95" t="s">
        <v>652</v>
      </c>
      <c r="B159" s="97"/>
      <c r="C159" s="97"/>
      <c r="D159" s="97"/>
      <c r="E159" s="97"/>
      <c r="F159" s="97"/>
      <c r="G159" s="97"/>
      <c r="H159" s="97"/>
      <c r="I159" s="97"/>
      <c r="J159" s="97"/>
      <c r="K159" s="98"/>
    </row>
    <row r="160" spans="1:11" ht="15.75" customHeight="1">
      <c r="A160" s="116" t="s">
        <v>653</v>
      </c>
    </row>
    <row r="161" spans="1:1" ht="15.75" customHeight="1">
      <c r="A161" s="123"/>
    </row>
    <row r="162" spans="1:1" ht="15.75" customHeight="1">
      <c r="A162" s="116" t="s">
        <v>654</v>
      </c>
    </row>
    <row r="163" spans="1:1" ht="15.75" customHeight="1">
      <c r="A163" s="123"/>
    </row>
    <row r="164" spans="1:1" ht="15.75" customHeight="1">
      <c r="A164" s="116" t="s">
        <v>655</v>
      </c>
    </row>
    <row r="165" spans="1:1" ht="15.75" customHeight="1">
      <c r="A165" s="123"/>
    </row>
    <row r="166" spans="1:1" ht="15.75" customHeight="1">
      <c r="A166" s="116" t="s">
        <v>656</v>
      </c>
    </row>
    <row r="167" spans="1:1" ht="15.75" customHeight="1"/>
    <row r="168" spans="1:1" ht="15.75" customHeight="1">
      <c r="A168" s="124" t="s">
        <v>657</v>
      </c>
    </row>
    <row r="169" spans="1:1" ht="15.75" customHeight="1">
      <c r="A169" s="125"/>
    </row>
    <row r="170" spans="1:1" ht="15.75" customHeight="1">
      <c r="A170" s="116" t="s">
        <v>658</v>
      </c>
    </row>
    <row r="171" spans="1:1" ht="15.75" customHeight="1">
      <c r="A171" s="116"/>
    </row>
    <row r="172" spans="1:1" ht="15.75" customHeight="1">
      <c r="A172" s="116" t="s">
        <v>659</v>
      </c>
    </row>
    <row r="173" spans="1:1" ht="15.75" customHeight="1">
      <c r="A173" s="123"/>
    </row>
    <row r="174" spans="1:1" ht="15.75" customHeight="1">
      <c r="A174" s="116" t="s">
        <v>660</v>
      </c>
    </row>
    <row r="175" spans="1:1" ht="15.75" customHeight="1">
      <c r="A175" s="125"/>
    </row>
    <row r="176" spans="1:1" ht="15.75" customHeight="1">
      <c r="A176" s="124" t="s">
        <v>661</v>
      </c>
    </row>
    <row r="177" spans="1:1" ht="15.75" customHeight="1">
      <c r="A177" s="125"/>
    </row>
    <row r="178" spans="1:1" ht="15.75" customHeight="1">
      <c r="A178" s="116" t="s">
        <v>662</v>
      </c>
    </row>
    <row r="179" spans="1:1" ht="15.75" customHeight="1">
      <c r="A179" s="123"/>
    </row>
    <row r="180" spans="1:1" ht="15.75" customHeight="1">
      <c r="A180" s="116" t="s">
        <v>663</v>
      </c>
    </row>
    <row r="181" spans="1:1" ht="15.75" customHeight="1">
      <c r="A181" s="123"/>
    </row>
    <row r="182" spans="1:1" ht="15.75" customHeight="1">
      <c r="A182" s="126" t="s">
        <v>664</v>
      </c>
    </row>
    <row r="183" spans="1:1" ht="15.75" customHeight="1">
      <c r="A183" s="125"/>
    </row>
    <row r="184" spans="1:1" ht="15.75" customHeight="1">
      <c r="A184" s="127" t="s">
        <v>665</v>
      </c>
    </row>
    <row r="185" spans="1:1" ht="15.75" customHeight="1">
      <c r="A185" s="125" t="s">
        <v>666</v>
      </c>
    </row>
    <row r="186" spans="1:1" ht="15.75" customHeight="1">
      <c r="A186" s="127"/>
    </row>
    <row r="187" spans="1:1" ht="15.75" customHeight="1">
      <c r="A187" s="128" t="s">
        <v>667</v>
      </c>
    </row>
    <row r="188" spans="1:1" ht="15.75" customHeight="1">
      <c r="A188" s="115" t="s">
        <v>668</v>
      </c>
    </row>
    <row r="189" spans="1:1" ht="15.75" customHeight="1"/>
    <row r="190" spans="1:1" ht="15.75" customHeight="1"/>
    <row r="191" spans="1:1" ht="15.75" customHeight="1">
      <c r="A191" s="129"/>
    </row>
    <row r="192" spans="1:1" ht="15.75" customHeight="1">
      <c r="A192" s="128"/>
    </row>
    <row r="193" spans="1:11" ht="15.75" customHeight="1">
      <c r="A193" s="130" t="s">
        <v>150</v>
      </c>
    </row>
    <row r="194" spans="1:11" ht="15.75" customHeight="1">
      <c r="A194" s="131"/>
    </row>
    <row r="195" spans="1:11" ht="15.75" customHeight="1"/>
    <row r="196" spans="1:11" ht="15.75" customHeight="1"/>
    <row r="197" spans="1:11" ht="15.75" customHeight="1"/>
    <row r="198" spans="1:11" ht="15.75" customHeight="1"/>
    <row r="199" spans="1:11" ht="15.75" customHeight="1">
      <c r="A199" s="129"/>
    </row>
    <row r="200" spans="1:11" ht="15.75" customHeight="1"/>
    <row r="201" spans="1:11" ht="15.75" customHeight="1">
      <c r="A201" s="420" t="s">
        <v>669</v>
      </c>
      <c r="B201" s="420"/>
      <c r="C201" s="420"/>
      <c r="D201" s="420"/>
      <c r="E201" s="420"/>
      <c r="F201" s="420"/>
      <c r="G201" s="420"/>
      <c r="H201" s="420"/>
      <c r="I201" s="420"/>
      <c r="J201" s="420"/>
      <c r="K201" s="420"/>
    </row>
    <row r="202" spans="1:11" ht="15.75" customHeight="1">
      <c r="A202" s="420"/>
      <c r="B202" s="420"/>
      <c r="C202" s="420"/>
      <c r="D202" s="420"/>
      <c r="E202" s="420"/>
      <c r="F202" s="420"/>
      <c r="G202" s="420"/>
      <c r="H202" s="420"/>
      <c r="I202" s="420"/>
      <c r="J202" s="420"/>
      <c r="K202" s="420"/>
    </row>
    <row r="203" spans="1:11" ht="15.75" customHeight="1">
      <c r="A203" s="420"/>
      <c r="B203" s="420"/>
      <c r="C203" s="420"/>
      <c r="D203" s="420"/>
      <c r="E203" s="420"/>
      <c r="F203" s="420"/>
      <c r="G203" s="420"/>
      <c r="H203" s="420"/>
      <c r="I203" s="420"/>
      <c r="J203" s="420"/>
      <c r="K203" s="420"/>
    </row>
    <row r="204" spans="1:11" ht="15.75" customHeight="1">
      <c r="A204" s="420"/>
      <c r="B204" s="420"/>
      <c r="C204" s="420"/>
      <c r="D204" s="420"/>
      <c r="E204" s="420"/>
      <c r="F204" s="420"/>
      <c r="G204" s="420"/>
      <c r="H204" s="420"/>
      <c r="I204" s="420"/>
      <c r="J204" s="420"/>
      <c r="K204" s="420"/>
    </row>
    <row r="205" spans="1:11" ht="15.75" customHeight="1">
      <c r="A205" s="420"/>
      <c r="B205" s="420"/>
      <c r="C205" s="420"/>
      <c r="D205" s="420"/>
      <c r="E205" s="420"/>
      <c r="F205" s="420"/>
      <c r="G205" s="420"/>
      <c r="H205" s="420"/>
      <c r="I205" s="420"/>
      <c r="J205" s="420"/>
      <c r="K205" s="420"/>
    </row>
    <row r="206" spans="1:11" ht="15.75" customHeight="1">
      <c r="A206" s="420"/>
      <c r="B206" s="420"/>
      <c r="C206" s="420"/>
      <c r="D206" s="420"/>
      <c r="E206" s="420"/>
      <c r="F206" s="420"/>
      <c r="G206" s="420"/>
      <c r="H206" s="420"/>
      <c r="I206" s="420"/>
      <c r="J206" s="420"/>
      <c r="K206" s="420"/>
    </row>
    <row r="207" spans="1:11" ht="15.75" customHeight="1">
      <c r="A207" s="420"/>
      <c r="B207" s="420"/>
      <c r="C207" s="420"/>
      <c r="D207" s="420"/>
      <c r="E207" s="420"/>
      <c r="F207" s="420"/>
      <c r="G207" s="420"/>
      <c r="H207" s="420"/>
      <c r="I207" s="420"/>
      <c r="J207" s="420"/>
      <c r="K207" s="420"/>
    </row>
    <row r="208" spans="1:11" ht="15.75" customHeight="1">
      <c r="A208" s="420"/>
      <c r="B208" s="420"/>
      <c r="C208" s="420"/>
      <c r="D208" s="420"/>
      <c r="E208" s="420"/>
      <c r="F208" s="420"/>
      <c r="G208" s="420"/>
      <c r="H208" s="420"/>
      <c r="I208" s="420"/>
      <c r="J208" s="420"/>
      <c r="K208" s="420"/>
    </row>
    <row r="209" spans="1:11" ht="15.75" customHeight="1">
      <c r="A209" s="420"/>
      <c r="B209" s="420"/>
      <c r="C209" s="420"/>
      <c r="D209" s="420"/>
      <c r="E209" s="420"/>
      <c r="F209" s="420"/>
      <c r="G209" s="420"/>
      <c r="H209" s="420"/>
      <c r="I209" s="420"/>
      <c r="J209" s="420"/>
      <c r="K209" s="420"/>
    </row>
    <row r="210" spans="1:11" ht="15.75" customHeight="1">
      <c r="A210" s="420"/>
      <c r="B210" s="420"/>
      <c r="C210" s="420"/>
      <c r="D210" s="420"/>
      <c r="E210" s="420"/>
      <c r="F210" s="420"/>
      <c r="G210" s="420"/>
      <c r="H210" s="420"/>
      <c r="I210" s="420"/>
      <c r="J210" s="420"/>
      <c r="K210" s="420"/>
    </row>
    <row r="211" spans="1:11" ht="15.75" customHeight="1">
      <c r="A211" s="420"/>
      <c r="B211" s="420"/>
      <c r="C211" s="420"/>
      <c r="D211" s="420"/>
      <c r="E211" s="420"/>
      <c r="F211" s="420"/>
      <c r="G211" s="420"/>
      <c r="H211" s="420"/>
      <c r="I211" s="420"/>
      <c r="J211" s="420"/>
      <c r="K211" s="420"/>
    </row>
    <row r="212" spans="1:11" ht="15.75" customHeight="1">
      <c r="A212" s="35"/>
      <c r="B212" s="35"/>
      <c r="C212" s="35"/>
      <c r="D212" s="35"/>
      <c r="E212" s="35"/>
      <c r="F212" s="35"/>
      <c r="G212" s="35"/>
      <c r="H212" s="35"/>
      <c r="I212" s="35"/>
      <c r="J212" s="35"/>
      <c r="K212" s="35"/>
    </row>
    <row r="213" spans="1:11" ht="15.75" customHeight="1">
      <c r="A213" s="27" t="s">
        <v>48</v>
      </c>
      <c r="B213" s="27">
        <v>10</v>
      </c>
      <c r="D213" s="27" t="s">
        <v>48</v>
      </c>
      <c r="E213" s="27">
        <v>10</v>
      </c>
    </row>
    <row r="214" spans="1:11" ht="15.75" customHeight="1">
      <c r="A214" s="27" t="s">
        <v>42</v>
      </c>
      <c r="B214" s="27">
        <v>1</v>
      </c>
      <c r="D214" s="27" t="s">
        <v>42</v>
      </c>
      <c r="E214" s="27">
        <v>4</v>
      </c>
    </row>
    <row r="215" spans="1:11" ht="15.75" customHeight="1">
      <c r="A215" s="27" t="s">
        <v>521</v>
      </c>
      <c r="B215" s="27">
        <v>12</v>
      </c>
      <c r="D215" s="27" t="s">
        <v>521</v>
      </c>
      <c r="E215" s="27">
        <v>12</v>
      </c>
    </row>
    <row r="216" spans="1:11" ht="15.75" customHeight="1">
      <c r="A216" s="27" t="s">
        <v>43</v>
      </c>
      <c r="B216" s="34">
        <v>0.06</v>
      </c>
      <c r="D216" s="27" t="s">
        <v>43</v>
      </c>
      <c r="E216" s="34">
        <v>0.1</v>
      </c>
      <c r="H216" s="34"/>
      <c r="K216" s="34"/>
    </row>
    <row r="217" spans="1:11" ht="15.75" customHeight="1">
      <c r="A217" s="27" t="s">
        <v>505</v>
      </c>
      <c r="B217" s="39">
        <v>150</v>
      </c>
      <c r="D217" s="27" t="s">
        <v>505</v>
      </c>
      <c r="E217" s="39">
        <v>150</v>
      </c>
      <c r="H217" s="39"/>
      <c r="K217" s="39"/>
    </row>
    <row r="218" spans="1:11" ht="15.75" customHeight="1">
      <c r="A218" s="27" t="s">
        <v>506</v>
      </c>
      <c r="B218" s="39">
        <f>B217*((1-(1+B216/B214)^-(B214*B213))/((1+B216/B214)^(B214/B215)-1))</f>
        <v>13608.648245868588</v>
      </c>
      <c r="D218" s="27" t="s">
        <v>506</v>
      </c>
      <c r="E218" s="39">
        <f>E217*((1-(1+E216/E214)^-(E214*E213))/((1+E216/E214)^(E214/E215)-1))</f>
        <v>11389.867641467768</v>
      </c>
      <c r="H218" s="39"/>
      <c r="K218" s="39"/>
    </row>
    <row r="219" spans="1:11" ht="15.75" customHeight="1">
      <c r="A219" s="421" t="s">
        <v>670</v>
      </c>
      <c r="B219" s="421"/>
      <c r="C219" s="421"/>
      <c r="D219" s="421"/>
      <c r="E219" s="421"/>
      <c r="F219" s="46"/>
    </row>
    <row r="220" spans="1:11" ht="15.75" customHeight="1">
      <c r="A220" s="421"/>
      <c r="B220" s="421"/>
      <c r="C220" s="421"/>
      <c r="D220" s="421"/>
      <c r="E220" s="421"/>
      <c r="F220" s="46"/>
    </row>
    <row r="221" spans="1:11" ht="15.75" customHeight="1">
      <c r="A221" s="421"/>
      <c r="B221" s="421"/>
      <c r="C221" s="421"/>
      <c r="D221" s="421"/>
      <c r="E221" s="421"/>
      <c r="F221" s="46"/>
    </row>
    <row r="222" spans="1:11" ht="15.75" customHeight="1">
      <c r="A222" s="421"/>
      <c r="B222" s="421"/>
      <c r="C222" s="421"/>
      <c r="D222" s="421"/>
      <c r="E222" s="421"/>
    </row>
    <row r="223" spans="1:11" ht="15.75" customHeight="1">
      <c r="A223" s="421"/>
      <c r="B223" s="421"/>
      <c r="C223" s="421"/>
      <c r="D223" s="421"/>
      <c r="E223" s="421"/>
    </row>
    <row r="224" spans="1:11" ht="15.75" customHeight="1"/>
    <row r="225" spans="1:11" ht="15.75" customHeight="1">
      <c r="A225" s="419" t="s">
        <v>671</v>
      </c>
      <c r="B225" s="419"/>
      <c r="C225" s="419"/>
      <c r="D225" s="419"/>
      <c r="E225" s="419"/>
      <c r="F225" s="419"/>
      <c r="G225" s="419"/>
      <c r="H225" s="419"/>
      <c r="I225" s="419"/>
      <c r="J225" s="419"/>
      <c r="K225" s="419"/>
    </row>
    <row r="226" spans="1:11" ht="15.75" customHeight="1">
      <c r="A226" s="419"/>
      <c r="B226" s="419"/>
      <c r="C226" s="419"/>
      <c r="D226" s="419"/>
      <c r="E226" s="419"/>
      <c r="F226" s="419"/>
      <c r="G226" s="419"/>
      <c r="H226" s="419"/>
      <c r="I226" s="419"/>
      <c r="J226" s="419"/>
      <c r="K226" s="419"/>
    </row>
    <row r="227" spans="1:11" ht="15.75" customHeight="1">
      <c r="A227" s="419"/>
      <c r="B227" s="419"/>
      <c r="C227" s="419"/>
      <c r="D227" s="419"/>
      <c r="E227" s="419"/>
      <c r="F227" s="419"/>
      <c r="G227" s="419"/>
      <c r="H227" s="419"/>
      <c r="I227" s="419"/>
      <c r="J227" s="419"/>
      <c r="K227" s="419"/>
    </row>
    <row r="228" spans="1:11" ht="15.75" customHeight="1">
      <c r="A228" s="419"/>
      <c r="B228" s="419"/>
      <c r="C228" s="419"/>
      <c r="D228" s="419"/>
      <c r="E228" s="419"/>
      <c r="F228" s="419"/>
      <c r="G228" s="419"/>
      <c r="H228" s="419"/>
      <c r="I228" s="419"/>
      <c r="J228" s="419"/>
      <c r="K228" s="419"/>
    </row>
    <row r="229" spans="1:11" ht="15.75" customHeight="1"/>
    <row r="230" spans="1:11" ht="15.75" customHeight="1">
      <c r="A230" s="27" t="s">
        <v>48</v>
      </c>
      <c r="B230" s="27">
        <v>3</v>
      </c>
      <c r="D230" s="27" t="s">
        <v>48</v>
      </c>
      <c r="E230" s="27">
        <v>3</v>
      </c>
    </row>
    <row r="231" spans="1:11" ht="15.75" customHeight="1">
      <c r="A231" s="27" t="s">
        <v>42</v>
      </c>
      <c r="B231" s="27">
        <v>2</v>
      </c>
      <c r="D231" s="27" t="s">
        <v>42</v>
      </c>
      <c r="E231" s="27">
        <v>4</v>
      </c>
    </row>
    <row r="232" spans="1:11" ht="15.75" customHeight="1">
      <c r="A232" s="27" t="s">
        <v>521</v>
      </c>
      <c r="B232" s="27">
        <v>2</v>
      </c>
      <c r="D232" s="27" t="s">
        <v>521</v>
      </c>
      <c r="E232" s="27">
        <v>2</v>
      </c>
    </row>
    <row r="233" spans="1:11" ht="15.75" customHeight="1">
      <c r="A233" s="27" t="s">
        <v>43</v>
      </c>
      <c r="B233" s="34">
        <v>0.15</v>
      </c>
      <c r="D233" s="27" t="s">
        <v>43</v>
      </c>
      <c r="E233" s="34">
        <v>0.15</v>
      </c>
    </row>
    <row r="234" spans="1:11" ht="15.75" customHeight="1">
      <c r="A234" s="27" t="s">
        <v>505</v>
      </c>
      <c r="B234" s="39">
        <v>500000</v>
      </c>
      <c r="D234" s="27" t="s">
        <v>505</v>
      </c>
      <c r="E234" s="39">
        <v>500000</v>
      </c>
    </row>
    <row r="235" spans="1:11" ht="15.75" customHeight="1">
      <c r="A235" s="27" t="s">
        <v>97</v>
      </c>
      <c r="B235" s="132">
        <f>B234*(((1+B233/B231)^(B231*B230)-1)/(B232*((1+B233/B231)^(B231/B232)-1)))</f>
        <v>1811005.0854492188</v>
      </c>
      <c r="D235" s="27" t="s">
        <v>97</v>
      </c>
      <c r="E235" s="132">
        <f>E234*(((1+E233/E231)^(E231*E230)-1)/(E232*((1+E233/E231)^(E231/E232)-1)))</f>
        <v>1817437.48506331</v>
      </c>
    </row>
    <row r="236" spans="1:11" ht="15.75" customHeight="1"/>
    <row r="237" spans="1:11" ht="15.75" customHeight="1">
      <c r="A237" s="419" t="s">
        <v>672</v>
      </c>
      <c r="B237" s="419"/>
      <c r="C237" s="419"/>
      <c r="D237" s="419"/>
      <c r="E237" s="419"/>
      <c r="F237" s="419"/>
      <c r="G237" s="419"/>
      <c r="H237" s="419"/>
      <c r="I237" s="419"/>
      <c r="J237" s="419"/>
      <c r="K237" s="419"/>
    </row>
    <row r="238" spans="1:11" ht="15.75" customHeight="1">
      <c r="A238" s="419"/>
      <c r="B238" s="419"/>
      <c r="C238" s="419"/>
      <c r="D238" s="419"/>
      <c r="E238" s="419"/>
      <c r="F238" s="419"/>
      <c r="G238" s="419"/>
      <c r="H238" s="419"/>
      <c r="I238" s="419"/>
      <c r="J238" s="419"/>
      <c r="K238" s="419"/>
    </row>
    <row r="239" spans="1:11" ht="15.75" customHeight="1">
      <c r="A239" s="419"/>
      <c r="B239" s="419"/>
      <c r="C239" s="419"/>
      <c r="D239" s="419"/>
      <c r="E239" s="419"/>
      <c r="F239" s="419"/>
      <c r="G239" s="419"/>
      <c r="H239" s="419"/>
      <c r="I239" s="419"/>
      <c r="J239" s="419"/>
      <c r="K239" s="419"/>
    </row>
    <row r="240" spans="1:11" ht="15.75" customHeight="1">
      <c r="A240" s="419"/>
      <c r="B240" s="419"/>
      <c r="C240" s="419"/>
      <c r="D240" s="419"/>
      <c r="E240" s="419"/>
      <c r="F240" s="419"/>
      <c r="G240" s="419"/>
      <c r="H240" s="419"/>
      <c r="I240" s="419"/>
      <c r="J240" s="419"/>
      <c r="K240" s="419"/>
    </row>
    <row r="241" spans="1:11" ht="15.75" customHeight="1"/>
    <row r="242" spans="1:11" ht="15.75" customHeight="1">
      <c r="A242" s="27" t="s">
        <v>48</v>
      </c>
      <c r="B242" s="27">
        <v>5</v>
      </c>
      <c r="D242" s="27" t="s">
        <v>48</v>
      </c>
      <c r="E242" s="27">
        <v>5</v>
      </c>
    </row>
    <row r="243" spans="1:11" ht="15.75" customHeight="1">
      <c r="A243" s="27" t="s">
        <v>42</v>
      </c>
      <c r="B243" s="27">
        <v>1</v>
      </c>
      <c r="D243" s="27" t="s">
        <v>42</v>
      </c>
      <c r="E243" s="27">
        <v>1</v>
      </c>
    </row>
    <row r="244" spans="1:11" ht="15.75" customHeight="1">
      <c r="A244" s="27" t="s">
        <v>521</v>
      </c>
      <c r="B244" s="27">
        <v>1</v>
      </c>
      <c r="D244" s="27" t="s">
        <v>521</v>
      </c>
      <c r="E244" s="27">
        <v>1</v>
      </c>
    </row>
    <row r="245" spans="1:11" ht="15.75" customHeight="1">
      <c r="A245" s="27" t="s">
        <v>43</v>
      </c>
      <c r="B245" s="34">
        <v>0.1</v>
      </c>
      <c r="D245" s="27" t="s">
        <v>43</v>
      </c>
      <c r="E245" s="34">
        <v>0.1</v>
      </c>
    </row>
    <row r="246" spans="1:11" ht="15.75" customHeight="1">
      <c r="A246" s="27" t="s">
        <v>505</v>
      </c>
      <c r="B246" s="39">
        <v>30000</v>
      </c>
      <c r="D246" s="27" t="s">
        <v>505</v>
      </c>
      <c r="E246" s="39">
        <v>30000</v>
      </c>
    </row>
    <row r="247" spans="1:11" ht="15.75" customHeight="1">
      <c r="A247" s="27" t="s">
        <v>97</v>
      </c>
      <c r="B247" s="132">
        <f>B246*(((1+B245/B243)^(B243*B242)-1)/(B244*((1+B245/B243)^(B243/B244)-1)))</f>
        <v>183153</v>
      </c>
      <c r="D247" s="27" t="s">
        <v>673</v>
      </c>
      <c r="E247" s="39">
        <f>E246*(((1+E245/E243)^(E243*E242)-1)/(E244*((1+E245/E243)^(E243/E244)-1)))</f>
        <v>183153</v>
      </c>
    </row>
    <row r="248" spans="1:11" ht="15.75" customHeight="1">
      <c r="D248" s="27" t="s">
        <v>674</v>
      </c>
      <c r="E248" s="132">
        <f>E247*(1+(E245/E243)^(E243/E244))</f>
        <v>201468.30000000002</v>
      </c>
    </row>
    <row r="249" spans="1:11" ht="15.75" customHeight="1"/>
    <row r="250" spans="1:11" ht="15.75" customHeight="1">
      <c r="A250" s="419" t="s">
        <v>675</v>
      </c>
      <c r="B250" s="419"/>
      <c r="C250" s="419"/>
      <c r="D250" s="419"/>
      <c r="E250" s="419"/>
      <c r="F250" s="419"/>
      <c r="G250" s="419"/>
      <c r="H250" s="419"/>
      <c r="I250" s="419"/>
      <c r="J250" s="419"/>
      <c r="K250" s="419"/>
    </row>
    <row r="251" spans="1:11" ht="15.75" customHeight="1">
      <c r="A251" s="419"/>
      <c r="B251" s="419"/>
      <c r="C251" s="419"/>
      <c r="D251" s="419"/>
      <c r="E251" s="419"/>
      <c r="F251" s="419"/>
      <c r="G251" s="419"/>
      <c r="H251" s="419"/>
      <c r="I251" s="419"/>
      <c r="J251" s="419"/>
      <c r="K251" s="419"/>
    </row>
    <row r="252" spans="1:11" ht="15.75" customHeight="1">
      <c r="A252" s="419"/>
      <c r="B252" s="419"/>
      <c r="C252" s="419"/>
      <c r="D252" s="419"/>
      <c r="E252" s="419"/>
      <c r="F252" s="419"/>
      <c r="G252" s="419"/>
      <c r="H252" s="419"/>
      <c r="I252" s="419"/>
      <c r="J252" s="419"/>
      <c r="K252" s="419"/>
    </row>
    <row r="253" spans="1:11" ht="15.75" customHeight="1">
      <c r="A253" s="419"/>
      <c r="B253" s="419"/>
      <c r="C253" s="419"/>
      <c r="D253" s="419"/>
      <c r="E253" s="419"/>
      <c r="F253" s="419"/>
      <c r="G253" s="419"/>
      <c r="H253" s="419"/>
      <c r="I253" s="419"/>
      <c r="J253" s="419"/>
      <c r="K253" s="419"/>
    </row>
    <row r="254" spans="1:11" ht="15.75" customHeight="1"/>
    <row r="255" spans="1:11" ht="15.75" customHeight="1">
      <c r="A255" s="27" t="s">
        <v>48</v>
      </c>
      <c r="B255" s="27">
        <v>3</v>
      </c>
      <c r="D255" s="27" t="s">
        <v>48</v>
      </c>
      <c r="E255" s="27">
        <v>9</v>
      </c>
      <c r="G255" s="27" t="s">
        <v>97</v>
      </c>
      <c r="H255" s="132">
        <f>B260*(1+E258)^E255+E260</f>
        <v>1852933.0586094027</v>
      </c>
    </row>
    <row r="256" spans="1:11" ht="15.75" customHeight="1">
      <c r="A256" s="27" t="s">
        <v>42</v>
      </c>
      <c r="B256" s="27">
        <v>1</v>
      </c>
      <c r="D256" s="27" t="s">
        <v>42</v>
      </c>
      <c r="E256" s="27">
        <v>1</v>
      </c>
    </row>
    <row r="257" spans="1:11" ht="15.75" customHeight="1">
      <c r="A257" s="27" t="s">
        <v>521</v>
      </c>
      <c r="B257" s="27">
        <v>1</v>
      </c>
      <c r="D257" s="27" t="s">
        <v>521</v>
      </c>
      <c r="E257" s="27">
        <v>1</v>
      </c>
    </row>
    <row r="258" spans="1:11" ht="15.75" customHeight="1">
      <c r="A258" s="27" t="s">
        <v>43</v>
      </c>
      <c r="B258" s="34">
        <v>0.04</v>
      </c>
      <c r="D258" s="27" t="s">
        <v>43</v>
      </c>
      <c r="E258" s="30">
        <v>4.4999999999999998E-2</v>
      </c>
    </row>
    <row r="259" spans="1:11" ht="15.75" customHeight="1">
      <c r="A259" s="27" t="s">
        <v>505</v>
      </c>
      <c r="B259" s="39">
        <v>120000</v>
      </c>
      <c r="D259" s="27" t="s">
        <v>505</v>
      </c>
      <c r="E259" s="39">
        <v>120000</v>
      </c>
    </row>
    <row r="260" spans="1:11" ht="15.75" customHeight="1">
      <c r="A260" s="27" t="s">
        <v>676</v>
      </c>
      <c r="B260" s="39">
        <f>B259*(((1+B258/B256)^(B256*B255)-1)/(B257*((1+B258/B256)^(B256/B257)-1)))</f>
        <v>374591.99999999994</v>
      </c>
      <c r="C260" s="22"/>
      <c r="D260" s="22" t="s">
        <v>677</v>
      </c>
      <c r="E260" s="39">
        <f>E259*(((1+E258/E256)^(E256*E255)-1)/(E257*((1+E258/E256)^(E256/E257)-1)))</f>
        <v>1296253.7077713464</v>
      </c>
    </row>
    <row r="261" spans="1:11" ht="15.75" customHeight="1"/>
    <row r="262" spans="1:11" ht="15.75" customHeight="1">
      <c r="A262" s="419" t="s">
        <v>678</v>
      </c>
      <c r="B262" s="419"/>
      <c r="C262" s="419"/>
      <c r="D262" s="419"/>
      <c r="E262" s="419"/>
      <c r="F262" s="419"/>
      <c r="G262" s="419"/>
      <c r="H262" s="419"/>
      <c r="I262" s="419"/>
      <c r="J262" s="419"/>
      <c r="K262" s="419"/>
    </row>
    <row r="263" spans="1:11" ht="15.75" customHeight="1">
      <c r="A263" s="419"/>
      <c r="B263" s="419"/>
      <c r="C263" s="419"/>
      <c r="D263" s="419"/>
      <c r="E263" s="419"/>
      <c r="F263" s="419"/>
      <c r="G263" s="419"/>
      <c r="H263" s="419"/>
      <c r="I263" s="419"/>
      <c r="J263" s="419"/>
      <c r="K263" s="419"/>
    </row>
    <row r="264" spans="1:11" ht="15.75" customHeight="1">
      <c r="A264" s="419"/>
      <c r="B264" s="419"/>
      <c r="C264" s="419"/>
      <c r="D264" s="419"/>
      <c r="E264" s="419"/>
      <c r="F264" s="419"/>
      <c r="G264" s="419"/>
      <c r="H264" s="419"/>
      <c r="I264" s="419"/>
      <c r="J264" s="419"/>
      <c r="K264" s="419"/>
    </row>
    <row r="265" spans="1:11" ht="15.75" customHeight="1">
      <c r="A265" s="419"/>
      <c r="B265" s="419"/>
      <c r="C265" s="419"/>
      <c r="D265" s="419"/>
      <c r="E265" s="419"/>
      <c r="F265" s="419"/>
      <c r="G265" s="419"/>
      <c r="H265" s="419"/>
      <c r="I265" s="419"/>
      <c r="J265" s="419"/>
      <c r="K265" s="419"/>
    </row>
    <row r="266" spans="1:11" ht="15.75" customHeight="1"/>
    <row r="267" spans="1:11" ht="15.75" customHeight="1">
      <c r="A267" s="27" t="s">
        <v>506</v>
      </c>
      <c r="B267" s="27">
        <v>600000</v>
      </c>
    </row>
    <row r="268" spans="1:11" ht="15.75" customHeight="1">
      <c r="A268" s="27" t="s">
        <v>43</v>
      </c>
      <c r="B268" s="34">
        <v>0.1</v>
      </c>
    </row>
    <row r="269" spans="1:11" ht="15.75" customHeight="1">
      <c r="A269" s="27" t="s">
        <v>521</v>
      </c>
      <c r="B269" s="27">
        <v>12</v>
      </c>
    </row>
    <row r="270" spans="1:11" ht="15.75" customHeight="1">
      <c r="A270" s="27" t="s">
        <v>42</v>
      </c>
      <c r="B270" s="27">
        <v>1</v>
      </c>
      <c r="E270" s="34"/>
    </row>
    <row r="271" spans="1:11" ht="15.75" customHeight="1">
      <c r="A271" s="27" t="s">
        <v>48</v>
      </c>
      <c r="B271" s="27">
        <v>5</v>
      </c>
      <c r="E271" s="39"/>
    </row>
    <row r="272" spans="1:11" ht="15.75" customHeight="1">
      <c r="A272" s="27" t="s">
        <v>679</v>
      </c>
      <c r="B272" s="27">
        <f>B267*(B269*((1+B268/B270)^(B270/B269)-1))/(1-(1+B268/B270)^-(B271*B270))</f>
        <v>151456.18727868062</v>
      </c>
      <c r="E272" s="39"/>
    </row>
    <row r="273" spans="1:11" ht="15.75" customHeight="1">
      <c r="A273" s="27" t="s">
        <v>505</v>
      </c>
      <c r="B273" s="133">
        <f>B272/B269</f>
        <v>12621.348939890051</v>
      </c>
    </row>
    <row r="274" spans="1:11" ht="15.75" customHeight="1"/>
    <row r="275" spans="1:11" ht="15.75" customHeight="1">
      <c r="A275" s="420" t="s">
        <v>680</v>
      </c>
      <c r="B275" s="420"/>
      <c r="C275" s="420"/>
      <c r="D275" s="420"/>
      <c r="E275" s="420"/>
      <c r="F275" s="420"/>
      <c r="G275" s="420"/>
      <c r="H275" s="420"/>
      <c r="I275" s="420"/>
      <c r="J275" s="420"/>
      <c r="K275" s="420"/>
    </row>
    <row r="276" spans="1:11" ht="15.75" customHeight="1">
      <c r="A276" s="420"/>
      <c r="B276" s="420"/>
      <c r="C276" s="420"/>
      <c r="D276" s="420"/>
      <c r="E276" s="420"/>
      <c r="F276" s="420"/>
      <c r="G276" s="420"/>
      <c r="H276" s="420"/>
      <c r="I276" s="420"/>
      <c r="J276" s="420"/>
      <c r="K276" s="420"/>
    </row>
    <row r="277" spans="1:11" ht="15.75" customHeight="1">
      <c r="A277" s="420"/>
      <c r="B277" s="420"/>
      <c r="C277" s="420"/>
      <c r="D277" s="420"/>
      <c r="E277" s="420"/>
      <c r="F277" s="420"/>
      <c r="G277" s="420"/>
      <c r="H277" s="420"/>
      <c r="I277" s="420"/>
      <c r="J277" s="420"/>
      <c r="K277" s="420"/>
    </row>
    <row r="278" spans="1:11" ht="15.75" customHeight="1">
      <c r="A278" s="420"/>
      <c r="B278" s="420"/>
      <c r="C278" s="420"/>
      <c r="D278" s="420"/>
      <c r="E278" s="420"/>
      <c r="F278" s="420"/>
      <c r="G278" s="420"/>
      <c r="H278" s="420"/>
      <c r="I278" s="420"/>
      <c r="J278" s="420"/>
      <c r="K278" s="420"/>
    </row>
    <row r="279" spans="1:11" ht="15.75" customHeight="1"/>
    <row r="280" spans="1:11" ht="15.75" customHeight="1">
      <c r="A280" s="27" t="s">
        <v>48</v>
      </c>
      <c r="B280" s="27">
        <v>13</v>
      </c>
    </row>
    <row r="281" spans="1:11" ht="15.75" customHeight="1">
      <c r="A281" s="27" t="s">
        <v>107</v>
      </c>
      <c r="B281" s="27">
        <v>3000000</v>
      </c>
    </row>
    <row r="282" spans="1:11" ht="15.75" customHeight="1">
      <c r="A282" s="27" t="s">
        <v>681</v>
      </c>
      <c r="B282" s="27">
        <v>300000</v>
      </c>
    </row>
    <row r="283" spans="1:11" ht="15.75" customHeight="1">
      <c r="A283" s="27" t="s">
        <v>97</v>
      </c>
      <c r="B283" s="79">
        <f>B282*B280+B281</f>
        <v>6900000</v>
      </c>
      <c r="E283" s="134"/>
    </row>
    <row r="284" spans="1:11" ht="15.75" customHeight="1">
      <c r="B284" s="39"/>
      <c r="E284" s="39"/>
    </row>
    <row r="285" spans="1:11" ht="15.75" customHeight="1">
      <c r="A285" s="27" t="s">
        <v>682</v>
      </c>
      <c r="B285" s="39"/>
      <c r="E285" s="39"/>
    </row>
    <row r="286" spans="1:11" ht="15.75" customHeight="1">
      <c r="A286" s="27" t="s">
        <v>43</v>
      </c>
      <c r="B286" s="135">
        <f>(B283/B281)^(1/B280)-1</f>
        <v>6.6166955910818004E-2</v>
      </c>
      <c r="E286" s="39"/>
    </row>
    <row r="287" spans="1:11" ht="15.75" customHeight="1"/>
    <row r="288" spans="1:11" ht="15.75" customHeight="1">
      <c r="A288" s="419" t="s">
        <v>683</v>
      </c>
      <c r="B288" s="419"/>
      <c r="C288" s="419"/>
      <c r="D288" s="419"/>
      <c r="E288" s="419"/>
      <c r="F288" s="419"/>
      <c r="G288" s="419"/>
      <c r="H288" s="419"/>
      <c r="I288" s="419"/>
      <c r="J288" s="419"/>
      <c r="K288" s="419"/>
    </row>
    <row r="289" spans="1:11" ht="15.75" customHeight="1">
      <c r="A289" s="419"/>
      <c r="B289" s="419"/>
      <c r="C289" s="419"/>
      <c r="D289" s="419"/>
      <c r="E289" s="419"/>
      <c r="F289" s="419"/>
      <c r="G289" s="419"/>
      <c r="H289" s="419"/>
      <c r="I289" s="419"/>
      <c r="J289" s="419"/>
      <c r="K289" s="419"/>
    </row>
    <row r="290" spans="1:11" ht="15.75" customHeight="1">
      <c r="A290" s="419"/>
      <c r="B290" s="419"/>
      <c r="C290" s="419"/>
      <c r="D290" s="419"/>
      <c r="E290" s="419"/>
      <c r="F290" s="419"/>
      <c r="G290" s="419"/>
      <c r="H290" s="419"/>
      <c r="I290" s="419"/>
      <c r="J290" s="419"/>
      <c r="K290" s="419"/>
    </row>
    <row r="291" spans="1:11" ht="15.75" customHeight="1">
      <c r="A291" s="419"/>
      <c r="B291" s="419"/>
      <c r="C291" s="419"/>
      <c r="D291" s="419"/>
      <c r="E291" s="419"/>
      <c r="F291" s="419"/>
      <c r="G291" s="419"/>
      <c r="H291" s="419"/>
      <c r="I291" s="419"/>
      <c r="J291" s="419"/>
      <c r="K291" s="419"/>
    </row>
    <row r="292" spans="1:11" ht="15.75" customHeight="1">
      <c r="A292" s="27" t="s">
        <v>506</v>
      </c>
      <c r="B292" s="27">
        <v>27000</v>
      </c>
    </row>
    <row r="293" spans="1:11" ht="15.75" customHeight="1">
      <c r="A293" s="27" t="s">
        <v>43</v>
      </c>
      <c r="B293" s="34">
        <v>0.05</v>
      </c>
    </row>
    <row r="294" spans="1:11" ht="15.75" customHeight="1">
      <c r="A294" s="27" t="s">
        <v>48</v>
      </c>
      <c r="B294" s="27">
        <v>12</v>
      </c>
    </row>
    <row r="295" spans="1:11" ht="15.75" customHeight="1">
      <c r="A295" s="27" t="s">
        <v>97</v>
      </c>
      <c r="B295" s="133">
        <f>(EXP(B294*B293)-1)/(1-EXP(-B294*B293))*B292</f>
        <v>49197.207610543745</v>
      </c>
    </row>
    <row r="296" spans="1:11" ht="15.75" customHeight="1"/>
    <row r="297" spans="1:11" ht="15.75" customHeight="1"/>
    <row r="298" spans="1:11" ht="15.75" customHeight="1"/>
    <row r="299" spans="1:11" ht="15.75" customHeight="1">
      <c r="A299" s="419" t="s">
        <v>684</v>
      </c>
      <c r="B299" s="419"/>
      <c r="C299" s="419"/>
      <c r="D299" s="419"/>
      <c r="E299" s="419"/>
      <c r="F299" s="419"/>
      <c r="G299" s="419"/>
      <c r="H299" s="419"/>
      <c r="I299" s="419"/>
      <c r="J299" s="419"/>
      <c r="K299" s="419"/>
    </row>
    <row r="300" spans="1:11" ht="15.75" customHeight="1">
      <c r="A300" s="419"/>
      <c r="B300" s="419"/>
      <c r="C300" s="419"/>
      <c r="D300" s="419"/>
      <c r="E300" s="419"/>
      <c r="F300" s="419"/>
      <c r="G300" s="419"/>
      <c r="H300" s="419"/>
      <c r="I300" s="419"/>
      <c r="J300" s="419"/>
      <c r="K300" s="419"/>
    </row>
    <row r="301" spans="1:11" ht="15.75" customHeight="1">
      <c r="A301" s="419"/>
      <c r="B301" s="419"/>
      <c r="C301" s="419"/>
      <c r="D301" s="419"/>
      <c r="E301" s="419"/>
      <c r="F301" s="419"/>
      <c r="G301" s="419"/>
      <c r="H301" s="419"/>
      <c r="I301" s="419"/>
      <c r="J301" s="419"/>
      <c r="K301" s="419"/>
    </row>
    <row r="302" spans="1:11" ht="15.75" customHeight="1">
      <c r="A302" s="419"/>
      <c r="B302" s="419"/>
      <c r="C302" s="419"/>
      <c r="D302" s="419"/>
      <c r="E302" s="419"/>
      <c r="F302" s="419"/>
      <c r="G302" s="419"/>
      <c r="H302" s="419"/>
      <c r="I302" s="419"/>
      <c r="J302" s="419"/>
      <c r="K302" s="419"/>
    </row>
    <row r="303" spans="1:11" ht="15.75" customHeight="1">
      <c r="A303" s="27" t="s">
        <v>97</v>
      </c>
      <c r="B303" s="27">
        <v>50000</v>
      </c>
    </row>
    <row r="304" spans="1:11" ht="15.75" customHeight="1">
      <c r="A304" s="27" t="s">
        <v>48</v>
      </c>
      <c r="B304" s="27">
        <v>5</v>
      </c>
    </row>
    <row r="305" spans="1:11" ht="15.75" customHeight="1">
      <c r="A305" s="27" t="s">
        <v>42</v>
      </c>
      <c r="B305" s="27">
        <v>4</v>
      </c>
    </row>
    <row r="306" spans="1:11" ht="15.75" customHeight="1">
      <c r="A306" s="27" t="s">
        <v>43</v>
      </c>
      <c r="B306" s="36">
        <v>4.2500000000000003E-2</v>
      </c>
      <c r="E306" s="36"/>
    </row>
    <row r="307" spans="1:11" ht="15.75" customHeight="1">
      <c r="B307" s="39"/>
      <c r="E307" s="39"/>
    </row>
    <row r="308" spans="1:11" ht="15.75" customHeight="1">
      <c r="A308" s="27" t="s">
        <v>685</v>
      </c>
      <c r="B308" s="117">
        <f>((1+B306/B305)^(B304*B305)-1)/(1-(1+B306/B305)^(-B304*B305))</f>
        <v>1.2353805088835483</v>
      </c>
      <c r="E308" s="117"/>
    </row>
    <row r="309" spans="1:11" ht="15.75" customHeight="1">
      <c r="A309" s="27" t="s">
        <v>506</v>
      </c>
      <c r="B309" s="133">
        <f>B303/B308</f>
        <v>40473.359940887</v>
      </c>
    </row>
    <row r="310" spans="1:11" ht="15.75" customHeight="1"/>
    <row r="311" spans="1:11" ht="15.75" customHeight="1">
      <c r="A311" s="419" t="s">
        <v>686</v>
      </c>
      <c r="B311" s="419"/>
      <c r="C311" s="419"/>
      <c r="D311" s="419"/>
      <c r="E311" s="419"/>
      <c r="F311" s="419"/>
      <c r="G311" s="419"/>
      <c r="H311" s="419"/>
      <c r="I311" s="419"/>
      <c r="J311" s="419"/>
      <c r="K311" s="419"/>
    </row>
    <row r="312" spans="1:11" ht="15.75" customHeight="1">
      <c r="A312" s="419"/>
      <c r="B312" s="419"/>
      <c r="C312" s="419"/>
      <c r="D312" s="419"/>
      <c r="E312" s="419"/>
      <c r="F312" s="419"/>
      <c r="G312" s="419"/>
      <c r="H312" s="419"/>
      <c r="I312" s="419"/>
      <c r="J312" s="419"/>
      <c r="K312" s="419"/>
    </row>
    <row r="313" spans="1:11" ht="15.75" customHeight="1">
      <c r="A313" s="419"/>
      <c r="B313" s="419"/>
      <c r="C313" s="419"/>
      <c r="D313" s="419"/>
      <c r="E313" s="419"/>
      <c r="F313" s="419"/>
      <c r="G313" s="419"/>
      <c r="H313" s="419"/>
      <c r="I313" s="419"/>
      <c r="J313" s="419"/>
      <c r="K313" s="419"/>
    </row>
    <row r="314" spans="1:11" ht="15.75" customHeight="1">
      <c r="A314" s="419"/>
      <c r="B314" s="419"/>
      <c r="C314" s="419"/>
      <c r="D314" s="419"/>
      <c r="E314" s="419"/>
      <c r="F314" s="419"/>
      <c r="G314" s="419"/>
      <c r="H314" s="419"/>
      <c r="I314" s="419"/>
      <c r="J314" s="419"/>
      <c r="K314" s="419"/>
    </row>
    <row r="315" spans="1:11" ht="15.75" customHeight="1">
      <c r="A315" s="419"/>
      <c r="B315" s="419"/>
      <c r="C315" s="419"/>
      <c r="D315" s="419"/>
      <c r="E315" s="419"/>
      <c r="F315" s="419"/>
      <c r="G315" s="419"/>
      <c r="H315" s="419"/>
      <c r="I315" s="419"/>
      <c r="J315" s="419"/>
      <c r="K315" s="419"/>
    </row>
    <row r="316" spans="1:11" ht="15.75" customHeight="1">
      <c r="A316" s="419"/>
      <c r="B316" s="419"/>
      <c r="C316" s="419"/>
      <c r="D316" s="419"/>
      <c r="E316" s="419"/>
      <c r="F316" s="419"/>
      <c r="G316" s="419"/>
      <c r="H316" s="419"/>
      <c r="I316" s="419"/>
      <c r="J316" s="419"/>
      <c r="K316" s="419"/>
    </row>
    <row r="317" spans="1:11" ht="15.75" customHeight="1"/>
    <row r="318" spans="1:11" ht="15.75" customHeight="1">
      <c r="A318" s="27" t="s">
        <v>48</v>
      </c>
      <c r="B318" s="27">
        <v>7</v>
      </c>
      <c r="D318" s="27" t="s">
        <v>48</v>
      </c>
      <c r="E318" s="27">
        <v>7</v>
      </c>
      <c r="G318" s="27" t="s">
        <v>48</v>
      </c>
      <c r="H318" s="27">
        <v>7</v>
      </c>
    </row>
    <row r="319" spans="1:11" ht="15.75" customHeight="1">
      <c r="A319" s="27" t="s">
        <v>42</v>
      </c>
      <c r="B319" s="27">
        <v>4</v>
      </c>
      <c r="D319" s="27" t="s">
        <v>42</v>
      </c>
      <c r="E319" s="27">
        <v>6</v>
      </c>
      <c r="G319" s="27" t="s">
        <v>42</v>
      </c>
      <c r="H319" s="27">
        <v>4</v>
      </c>
    </row>
    <row r="320" spans="1:11" ht="15.75" customHeight="1">
      <c r="A320" s="27" t="s">
        <v>521</v>
      </c>
      <c r="B320" s="27">
        <v>1</v>
      </c>
      <c r="D320" s="27" t="s">
        <v>521</v>
      </c>
      <c r="E320" s="27">
        <v>4</v>
      </c>
      <c r="G320" s="27" t="s">
        <v>521</v>
      </c>
      <c r="H320" s="27">
        <v>12</v>
      </c>
    </row>
    <row r="321" spans="1:11" ht="15.75" customHeight="1">
      <c r="A321" s="27" t="s">
        <v>43</v>
      </c>
      <c r="B321" s="34">
        <v>0.12</v>
      </c>
      <c r="D321" s="27" t="s">
        <v>43</v>
      </c>
      <c r="E321" s="34">
        <v>0.12</v>
      </c>
      <c r="G321" s="27" t="s">
        <v>43</v>
      </c>
      <c r="H321" s="34">
        <v>0.12</v>
      </c>
    </row>
    <row r="322" spans="1:11" ht="15.75" customHeight="1">
      <c r="A322" s="27" t="s">
        <v>505</v>
      </c>
      <c r="B322" s="39">
        <v>15000</v>
      </c>
      <c r="D322" s="27" t="s">
        <v>505</v>
      </c>
      <c r="E322" s="39">
        <v>15000</v>
      </c>
      <c r="G322" s="27" t="s">
        <v>505</v>
      </c>
      <c r="H322" s="39">
        <v>15000</v>
      </c>
    </row>
    <row r="323" spans="1:11" ht="15.75" customHeight="1">
      <c r="A323" s="27" t="s">
        <v>97</v>
      </c>
      <c r="B323" s="132">
        <f>B322*(((1+B321/B319)^(B319*B318)-1)/(B320*((1+B321/B319)^(B319/B320)-1)))</f>
        <v>153924.77337693598</v>
      </c>
      <c r="D323" s="27" t="s">
        <v>97</v>
      </c>
      <c r="E323" s="132">
        <f>E322*(((1+E321/E319)^(E319*E318)-1)/(E320*((1+E321/E319)^(E319/E320)-1)))</f>
        <v>161351.47012409175</v>
      </c>
      <c r="G323" s="27" t="s">
        <v>97</v>
      </c>
      <c r="H323" s="132">
        <f>H322*(((1+H321/H319)^(H319*H318)-1)/(H320*((1+H321/H319)^(H319/H320)-1)))</f>
        <v>162590.29434418754</v>
      </c>
    </row>
    <row r="324" spans="1:11" ht="15.75" customHeight="1"/>
    <row r="325" spans="1:11" ht="15.75" customHeight="1">
      <c r="A325" s="419" t="s">
        <v>687</v>
      </c>
      <c r="B325" s="419"/>
      <c r="C325" s="419"/>
      <c r="D325" s="419"/>
      <c r="E325" s="419"/>
      <c r="F325" s="419"/>
      <c r="G325" s="419"/>
      <c r="H325" s="419"/>
      <c r="I325" s="419"/>
      <c r="J325" s="419"/>
      <c r="K325" s="419"/>
    </row>
    <row r="326" spans="1:11" ht="15.75" customHeight="1">
      <c r="A326" s="419"/>
      <c r="B326" s="419"/>
      <c r="C326" s="419"/>
      <c r="D326" s="419"/>
      <c r="E326" s="419"/>
      <c r="F326" s="419"/>
      <c r="G326" s="419"/>
      <c r="H326" s="419"/>
      <c r="I326" s="419"/>
      <c r="J326" s="419"/>
      <c r="K326" s="419"/>
    </row>
    <row r="327" spans="1:11" ht="15.75" customHeight="1">
      <c r="A327" s="419"/>
      <c r="B327" s="419"/>
      <c r="C327" s="419"/>
      <c r="D327" s="419"/>
      <c r="E327" s="419"/>
      <c r="F327" s="419"/>
      <c r="G327" s="419"/>
      <c r="H327" s="419"/>
      <c r="I327" s="419"/>
      <c r="J327" s="419"/>
      <c r="K327" s="419"/>
    </row>
    <row r="328" spans="1:11" ht="15.75" customHeight="1">
      <c r="A328" s="419"/>
      <c r="B328" s="419"/>
      <c r="C328" s="419"/>
      <c r="D328" s="419"/>
      <c r="E328" s="419"/>
      <c r="F328" s="419"/>
      <c r="G328" s="419"/>
      <c r="H328" s="419"/>
      <c r="I328" s="419"/>
      <c r="J328" s="419"/>
      <c r="K328" s="419"/>
    </row>
    <row r="329" spans="1:11" ht="15.75" customHeight="1">
      <c r="A329" s="419"/>
      <c r="B329" s="419"/>
      <c r="C329" s="419"/>
      <c r="D329" s="419"/>
      <c r="E329" s="419"/>
      <c r="F329" s="419"/>
      <c r="G329" s="419"/>
      <c r="H329" s="419"/>
      <c r="I329" s="419"/>
      <c r="J329" s="419"/>
      <c r="K329" s="419"/>
    </row>
    <row r="330" spans="1:11" ht="15.75" customHeight="1"/>
    <row r="331" spans="1:11" ht="15.75" customHeight="1">
      <c r="A331" s="27" t="s">
        <v>48</v>
      </c>
      <c r="B331" s="27">
        <v>7</v>
      </c>
    </row>
    <row r="332" spans="1:11" ht="15.75" customHeight="1">
      <c r="A332" s="27" t="s">
        <v>42</v>
      </c>
      <c r="B332" s="27">
        <v>1</v>
      </c>
    </row>
    <row r="333" spans="1:11" ht="15.75" customHeight="1">
      <c r="A333" s="27" t="s">
        <v>521</v>
      </c>
      <c r="B333" s="27">
        <v>4</v>
      </c>
    </row>
    <row r="334" spans="1:11" ht="15.75" customHeight="1">
      <c r="A334" s="27" t="s">
        <v>43</v>
      </c>
      <c r="B334" s="36">
        <v>8.5000000000000006E-2</v>
      </c>
    </row>
    <row r="335" spans="1:11" ht="15.75" customHeight="1">
      <c r="A335" s="27" t="s">
        <v>505</v>
      </c>
      <c r="B335" s="39">
        <v>24000</v>
      </c>
    </row>
    <row r="336" spans="1:11" ht="15.75" customHeight="1">
      <c r="A336" s="27" t="s">
        <v>290</v>
      </c>
      <c r="B336" s="79">
        <v>3</v>
      </c>
    </row>
    <row r="337" spans="1:11" ht="15.75" customHeight="1">
      <c r="A337" s="27" t="s">
        <v>506</v>
      </c>
      <c r="B337" s="132">
        <f>B335/B333*(1-(1+B334/B332)^(-B332*B331))/((1+B334/B332)^(B332/B333)-1)*(1+B334/B332)^(-B332*B336)</f>
        <v>99189.324288833435</v>
      </c>
    </row>
    <row r="338" spans="1:11" ht="15.75" customHeight="1"/>
    <row r="339" spans="1:11" ht="15.75" customHeight="1">
      <c r="A339" s="419" t="s">
        <v>688</v>
      </c>
      <c r="B339" s="419"/>
      <c r="C339" s="419"/>
      <c r="D339" s="419"/>
      <c r="E339" s="419"/>
      <c r="F339" s="419"/>
      <c r="G339" s="419"/>
      <c r="H339" s="419"/>
      <c r="I339" s="419"/>
      <c r="J339" s="419"/>
      <c r="K339" s="419"/>
    </row>
    <row r="340" spans="1:11" ht="15.75" customHeight="1">
      <c r="A340" s="419"/>
      <c r="B340" s="419"/>
      <c r="C340" s="419"/>
      <c r="D340" s="419"/>
      <c r="E340" s="419"/>
      <c r="F340" s="419"/>
      <c r="G340" s="419"/>
      <c r="H340" s="419"/>
      <c r="I340" s="419"/>
      <c r="J340" s="419"/>
      <c r="K340" s="419"/>
    </row>
    <row r="341" spans="1:11" ht="15.75" customHeight="1">
      <c r="A341" s="419"/>
      <c r="B341" s="419"/>
      <c r="C341" s="419"/>
      <c r="D341" s="419"/>
      <c r="E341" s="419"/>
      <c r="F341" s="419"/>
      <c r="G341" s="419"/>
      <c r="H341" s="419"/>
      <c r="I341" s="419"/>
      <c r="J341" s="419"/>
      <c r="K341" s="419"/>
    </row>
    <row r="342" spans="1:11" ht="15.75" customHeight="1">
      <c r="A342" s="419"/>
      <c r="B342" s="419"/>
      <c r="C342" s="419"/>
      <c r="D342" s="419"/>
      <c r="E342" s="419"/>
      <c r="F342" s="419"/>
      <c r="G342" s="419"/>
      <c r="H342" s="419"/>
      <c r="I342" s="419"/>
      <c r="J342" s="419"/>
      <c r="K342" s="419"/>
    </row>
    <row r="343" spans="1:11" ht="15.75" customHeight="1">
      <c r="A343" s="419"/>
      <c r="B343" s="419"/>
      <c r="C343" s="419"/>
      <c r="D343" s="419"/>
      <c r="E343" s="419"/>
      <c r="F343" s="419"/>
      <c r="G343" s="419"/>
      <c r="H343" s="419"/>
      <c r="I343" s="419"/>
      <c r="J343" s="419"/>
      <c r="K343" s="419"/>
    </row>
    <row r="344" spans="1:11" ht="15.75" customHeight="1"/>
    <row r="345" spans="1:11" ht="15.75" customHeight="1">
      <c r="A345" s="27" t="s">
        <v>506</v>
      </c>
      <c r="B345" s="27">
        <f>400000*(1+B346)</f>
        <v>424000</v>
      </c>
      <c r="D345" s="27" t="s">
        <v>506</v>
      </c>
      <c r="E345" s="27">
        <v>400000</v>
      </c>
    </row>
    <row r="346" spans="1:11" ht="15.75" customHeight="1">
      <c r="A346" s="27" t="s">
        <v>43</v>
      </c>
      <c r="B346" s="34">
        <v>0.06</v>
      </c>
      <c r="D346" s="27" t="s">
        <v>43</v>
      </c>
      <c r="E346" s="34">
        <v>6.25E-2</v>
      </c>
    </row>
    <row r="347" spans="1:11" ht="15.75" customHeight="1">
      <c r="A347" s="27" t="s">
        <v>521</v>
      </c>
      <c r="B347" s="27">
        <v>1</v>
      </c>
      <c r="D347" s="27" t="s">
        <v>521</v>
      </c>
      <c r="E347" s="27">
        <v>1</v>
      </c>
    </row>
    <row r="348" spans="1:11" ht="15.75" customHeight="1">
      <c r="A348" s="27" t="s">
        <v>42</v>
      </c>
      <c r="B348" s="27">
        <v>1</v>
      </c>
      <c r="D348" s="27" t="s">
        <v>42</v>
      </c>
      <c r="E348" s="27">
        <v>1</v>
      </c>
    </row>
    <row r="349" spans="1:11" ht="15.75" customHeight="1">
      <c r="A349" s="27" t="s">
        <v>48</v>
      </c>
      <c r="B349" s="27">
        <v>6</v>
      </c>
      <c r="D349" s="27" t="s">
        <v>48</v>
      </c>
      <c r="E349" s="27">
        <v>7</v>
      </c>
    </row>
    <row r="350" spans="1:11" ht="15.75" customHeight="1">
      <c r="A350" s="27" t="s">
        <v>505</v>
      </c>
      <c r="B350" s="133">
        <f>B345*(B347*((1+B346/B348)^(B348/B347)-1))/(1-(1+B346/B348)^-(B349*B348))</f>
        <v>86225.754473355657</v>
      </c>
      <c r="D350" s="27" t="s">
        <v>505</v>
      </c>
      <c r="E350" s="133">
        <f>E345*(E347*((1+E346/E348)^(E348/E347)-1))/(1-(1+E346/E348)^-(E349*E348))</f>
        <v>72291.996206118434</v>
      </c>
    </row>
    <row r="351" spans="1:11" ht="15.75" customHeight="1"/>
    <row r="352" spans="1:11" ht="15.75" customHeight="1">
      <c r="A352" s="133" t="s">
        <v>689</v>
      </c>
      <c r="C352" s="133">
        <f>B350-E350</f>
        <v>13933.758267237223</v>
      </c>
    </row>
    <row r="353" spans="1:11" ht="15.75" customHeight="1"/>
    <row r="354" spans="1:11" ht="15.75" customHeight="1"/>
    <row r="355" spans="1:11" ht="15.75" customHeight="1">
      <c r="A355" s="420" t="s">
        <v>690</v>
      </c>
      <c r="B355" s="420"/>
      <c r="C355" s="420"/>
      <c r="D355" s="420"/>
      <c r="E355" s="420"/>
      <c r="F355" s="420"/>
      <c r="G355" s="420"/>
      <c r="H355" s="420"/>
      <c r="I355" s="420"/>
      <c r="J355" s="420"/>
      <c r="K355" s="420"/>
    </row>
    <row r="356" spans="1:11" ht="15.75" customHeight="1">
      <c r="A356" s="420"/>
      <c r="B356" s="420"/>
      <c r="C356" s="420"/>
      <c r="D356" s="420"/>
      <c r="E356" s="420"/>
      <c r="F356" s="420"/>
      <c r="G356" s="420"/>
      <c r="H356" s="420"/>
      <c r="I356" s="420"/>
      <c r="J356" s="420"/>
      <c r="K356" s="420"/>
    </row>
    <row r="357" spans="1:11" ht="15.75" customHeight="1">
      <c r="A357" s="420"/>
      <c r="B357" s="420"/>
      <c r="C357" s="420"/>
      <c r="D357" s="420"/>
      <c r="E357" s="420"/>
      <c r="F357" s="420"/>
      <c r="G357" s="420"/>
      <c r="H357" s="420"/>
      <c r="I357" s="420"/>
      <c r="J357" s="420"/>
      <c r="K357" s="420"/>
    </row>
    <row r="358" spans="1:11" ht="15.75" customHeight="1">
      <c r="A358" s="420"/>
      <c r="B358" s="420"/>
      <c r="C358" s="420"/>
      <c r="D358" s="420"/>
      <c r="E358" s="420"/>
      <c r="F358" s="420"/>
      <c r="G358" s="420"/>
      <c r="H358" s="420"/>
      <c r="I358" s="420"/>
      <c r="J358" s="420"/>
      <c r="K358" s="420"/>
    </row>
    <row r="359" spans="1:11" ht="15.75" customHeight="1"/>
    <row r="360" spans="1:11" ht="15.75" customHeight="1">
      <c r="A360" s="27" t="s">
        <v>48</v>
      </c>
      <c r="B360" s="27">
        <v>2</v>
      </c>
      <c r="D360" s="27" t="s">
        <v>506</v>
      </c>
      <c r="E360" s="39">
        <f>B365</f>
        <v>3.0555555555555558</v>
      </c>
    </row>
    <row r="361" spans="1:11" ht="15.75" customHeight="1">
      <c r="A361" s="27" t="s">
        <v>42</v>
      </c>
      <c r="B361" s="27">
        <v>1</v>
      </c>
      <c r="D361" s="27" t="s">
        <v>43</v>
      </c>
      <c r="E361" s="34">
        <v>0.2</v>
      </c>
    </row>
    <row r="362" spans="1:11" ht="15.75" customHeight="1">
      <c r="A362" s="27" t="s">
        <v>521</v>
      </c>
      <c r="B362" s="27">
        <v>1</v>
      </c>
      <c r="D362" s="27" t="s">
        <v>521</v>
      </c>
      <c r="E362" s="27">
        <v>12</v>
      </c>
    </row>
    <row r="363" spans="1:11" ht="15.75" customHeight="1">
      <c r="A363" s="27" t="s">
        <v>43</v>
      </c>
      <c r="B363" s="34">
        <v>0.2</v>
      </c>
      <c r="D363" s="27" t="s">
        <v>42</v>
      </c>
      <c r="E363" s="27">
        <v>1</v>
      </c>
    </row>
    <row r="364" spans="1:11" ht="15.75" customHeight="1">
      <c r="A364" s="27" t="s">
        <v>505</v>
      </c>
      <c r="B364" s="39">
        <v>2</v>
      </c>
      <c r="D364" s="27" t="s">
        <v>48</v>
      </c>
      <c r="E364" s="27">
        <v>4</v>
      </c>
    </row>
    <row r="365" spans="1:11" ht="15.75" customHeight="1">
      <c r="A365" s="27" t="s">
        <v>506</v>
      </c>
      <c r="B365" s="136">
        <f>B364*(1-(1+B363)^-B360)/B363</f>
        <v>3.0555555555555558</v>
      </c>
      <c r="D365" s="27" t="s">
        <v>505</v>
      </c>
      <c r="E365" s="133">
        <f>E360*E362*((1+E361)^(1/E362)-1)/(1-(1+E361)^-E364)</f>
        <v>1.0842116812924387</v>
      </c>
    </row>
    <row r="366" spans="1:11" ht="15.75" customHeight="1"/>
    <row r="367" spans="1:11" ht="15.75" customHeight="1"/>
    <row r="368" spans="1:11" ht="15.75" customHeight="1">
      <c r="A368" s="420" t="s">
        <v>691</v>
      </c>
      <c r="B368" s="420"/>
      <c r="C368" s="420"/>
      <c r="D368" s="420"/>
      <c r="E368" s="420"/>
      <c r="F368" s="420"/>
      <c r="G368" s="420"/>
      <c r="H368" s="420"/>
      <c r="I368" s="420"/>
      <c r="J368" s="420"/>
      <c r="K368" s="420"/>
    </row>
    <row r="369" spans="1:11" ht="15.75" customHeight="1">
      <c r="A369" s="420"/>
      <c r="B369" s="420"/>
      <c r="C369" s="420"/>
      <c r="D369" s="420"/>
      <c r="E369" s="420"/>
      <c r="F369" s="420"/>
      <c r="G369" s="420"/>
      <c r="H369" s="420"/>
      <c r="I369" s="420"/>
      <c r="J369" s="420"/>
      <c r="K369" s="420"/>
    </row>
    <row r="370" spans="1:11" ht="15.75" customHeight="1">
      <c r="A370" s="420"/>
      <c r="B370" s="420"/>
      <c r="C370" s="420"/>
      <c r="D370" s="420"/>
      <c r="E370" s="420"/>
      <c r="F370" s="420"/>
      <c r="G370" s="420"/>
      <c r="H370" s="420"/>
      <c r="I370" s="420"/>
      <c r="J370" s="420"/>
      <c r="K370" s="420"/>
    </row>
    <row r="371" spans="1:11" ht="15.75" customHeight="1">
      <c r="A371" s="420"/>
      <c r="B371" s="420"/>
      <c r="C371" s="420"/>
      <c r="D371" s="420"/>
      <c r="E371" s="420"/>
      <c r="F371" s="420"/>
      <c r="G371" s="420"/>
      <c r="H371" s="420"/>
      <c r="I371" s="420"/>
      <c r="J371" s="420"/>
      <c r="K371" s="420"/>
    </row>
    <row r="372" spans="1:11" ht="15.75" customHeight="1">
      <c r="A372" s="420"/>
      <c r="B372" s="420"/>
      <c r="C372" s="420"/>
      <c r="D372" s="420"/>
      <c r="E372" s="420"/>
      <c r="F372" s="420"/>
      <c r="G372" s="420"/>
      <c r="H372" s="420"/>
      <c r="I372" s="420"/>
      <c r="J372" s="420"/>
      <c r="K372" s="420"/>
    </row>
    <row r="373" spans="1:11" ht="15.75" customHeight="1"/>
    <row r="374" spans="1:11" ht="15.75" customHeight="1">
      <c r="A374" s="27" t="s">
        <v>506</v>
      </c>
      <c r="B374" s="39">
        <f>345000*(1+B375)^(-2)</f>
        <v>260869.56521739135</v>
      </c>
    </row>
    <row r="375" spans="1:11" ht="15.75" customHeight="1">
      <c r="A375" s="27" t="s">
        <v>43</v>
      </c>
      <c r="B375" s="34">
        <v>0.15</v>
      </c>
    </row>
    <row r="376" spans="1:11" ht="15.75" customHeight="1">
      <c r="A376" s="27" t="s">
        <v>521</v>
      </c>
      <c r="B376" s="27">
        <v>6</v>
      </c>
    </row>
    <row r="377" spans="1:11" ht="15.75" customHeight="1">
      <c r="A377" s="27" t="s">
        <v>42</v>
      </c>
      <c r="B377" s="27">
        <v>1</v>
      </c>
    </row>
    <row r="378" spans="1:11" ht="15.75" customHeight="1">
      <c r="A378" s="27" t="s">
        <v>48</v>
      </c>
      <c r="B378" s="27">
        <v>5</v>
      </c>
    </row>
    <row r="379" spans="1:11" ht="15.75" customHeight="1">
      <c r="A379" s="27" t="s">
        <v>505</v>
      </c>
      <c r="B379" s="133">
        <f>B374*B376*((1+B375)^(1/B376)-1)/(1-(1+B375)^-B378)</f>
        <v>73360.95064842634</v>
      </c>
    </row>
    <row r="380" spans="1:11" ht="15.75" customHeight="1"/>
    <row r="381" spans="1:11" ht="15.75" customHeight="1">
      <c r="A381" s="419" t="s">
        <v>692</v>
      </c>
      <c r="B381" s="419"/>
      <c r="C381" s="419"/>
      <c r="D381" s="419"/>
      <c r="E381" s="419"/>
      <c r="F381" s="419"/>
      <c r="G381" s="419"/>
      <c r="H381" s="419"/>
      <c r="I381" s="419"/>
      <c r="J381" s="419"/>
      <c r="K381" s="419"/>
    </row>
    <row r="382" spans="1:11" ht="15.75" customHeight="1">
      <c r="A382" s="419"/>
      <c r="B382" s="419"/>
      <c r="C382" s="419"/>
      <c r="D382" s="419"/>
      <c r="E382" s="419"/>
      <c r="F382" s="419"/>
      <c r="G382" s="419"/>
      <c r="H382" s="419"/>
      <c r="I382" s="419"/>
      <c r="J382" s="419"/>
      <c r="K382" s="419"/>
    </row>
    <row r="383" spans="1:11" ht="15.75" customHeight="1">
      <c r="A383" s="419"/>
      <c r="B383" s="419"/>
      <c r="C383" s="419"/>
      <c r="D383" s="419"/>
      <c r="E383" s="419"/>
      <c r="F383" s="419"/>
      <c r="G383" s="419"/>
      <c r="H383" s="419"/>
      <c r="I383" s="419"/>
      <c r="J383" s="419"/>
      <c r="K383" s="419"/>
    </row>
    <row r="384" spans="1:11" ht="15.75" customHeight="1">
      <c r="A384" s="419"/>
      <c r="B384" s="419"/>
      <c r="C384" s="419"/>
      <c r="D384" s="419"/>
      <c r="E384" s="419"/>
      <c r="F384" s="419"/>
      <c r="G384" s="419"/>
      <c r="H384" s="419"/>
      <c r="I384" s="419"/>
      <c r="J384" s="419"/>
      <c r="K384" s="419"/>
    </row>
    <row r="385" spans="1:11" ht="15.75" customHeight="1"/>
    <row r="386" spans="1:11" ht="15.75" customHeight="1">
      <c r="A386" s="27" t="s">
        <v>693</v>
      </c>
      <c r="B386" s="27">
        <v>625</v>
      </c>
    </row>
    <row r="387" spans="1:11" ht="15.75" customHeight="1">
      <c r="A387" s="27" t="s">
        <v>48</v>
      </c>
      <c r="B387" s="27">
        <v>3</v>
      </c>
    </row>
    <row r="388" spans="1:11" ht="15.75" customHeight="1">
      <c r="A388" s="27" t="s">
        <v>42</v>
      </c>
      <c r="B388" s="27">
        <v>1</v>
      </c>
    </row>
    <row r="389" spans="1:11" ht="15.75" customHeight="1">
      <c r="A389" s="27" t="s">
        <v>521</v>
      </c>
      <c r="B389" s="27">
        <v>12</v>
      </c>
    </row>
    <row r="390" spans="1:11" ht="15.75" customHeight="1">
      <c r="A390" s="27" t="s">
        <v>43</v>
      </c>
      <c r="B390" s="34">
        <v>0.1</v>
      </c>
    </row>
    <row r="391" spans="1:11" ht="15.75" customHeight="1">
      <c r="A391" s="27" t="s">
        <v>505</v>
      </c>
      <c r="B391" s="39">
        <f>B386*B389</f>
        <v>7500</v>
      </c>
    </row>
    <row r="392" spans="1:11" ht="15.75" customHeight="1">
      <c r="A392" s="27" t="s">
        <v>97</v>
      </c>
      <c r="B392" s="132">
        <f>B391*(((1+B390/B388)^(B388*B387)-1)/(B389*((1+B390/B388)^(B388/B389)-1)))</f>
        <v>25943.235116620606</v>
      </c>
    </row>
    <row r="393" spans="1:11" ht="15.75" customHeight="1"/>
    <row r="394" spans="1:11" ht="15.75" customHeight="1">
      <c r="A394" s="419" t="s">
        <v>694</v>
      </c>
      <c r="B394" s="419"/>
      <c r="C394" s="419"/>
      <c r="D394" s="419"/>
      <c r="E394" s="419"/>
      <c r="F394" s="419"/>
      <c r="G394" s="419"/>
      <c r="H394" s="419"/>
      <c r="I394" s="419"/>
      <c r="J394" s="419"/>
      <c r="K394" s="419"/>
    </row>
    <row r="395" spans="1:11" ht="15.75" customHeight="1">
      <c r="A395" s="419"/>
      <c r="B395" s="419"/>
      <c r="C395" s="419"/>
      <c r="D395" s="419"/>
      <c r="E395" s="419"/>
      <c r="F395" s="419"/>
      <c r="G395" s="419"/>
      <c r="H395" s="419"/>
      <c r="I395" s="419"/>
      <c r="J395" s="419"/>
      <c r="K395" s="419"/>
    </row>
    <row r="396" spans="1:11" ht="15.75" customHeight="1">
      <c r="A396" s="419"/>
      <c r="B396" s="419"/>
      <c r="C396" s="419"/>
      <c r="D396" s="419"/>
      <c r="E396" s="419"/>
      <c r="F396" s="419"/>
      <c r="G396" s="419"/>
      <c r="H396" s="419"/>
      <c r="I396" s="419"/>
      <c r="J396" s="419"/>
      <c r="K396" s="419"/>
    </row>
    <row r="397" spans="1:11" ht="15.75" customHeight="1">
      <c r="A397" s="419"/>
      <c r="B397" s="419"/>
      <c r="C397" s="419"/>
      <c r="D397" s="419"/>
      <c r="E397" s="419"/>
      <c r="F397" s="419"/>
      <c r="G397" s="419"/>
      <c r="H397" s="419"/>
      <c r="I397" s="419"/>
      <c r="J397" s="419"/>
      <c r="K397" s="419"/>
    </row>
    <row r="398" spans="1:11" ht="15.75" customHeight="1">
      <c r="A398" s="419"/>
      <c r="B398" s="419"/>
      <c r="C398" s="419"/>
      <c r="D398" s="419"/>
      <c r="E398" s="419"/>
      <c r="F398" s="419"/>
      <c r="G398" s="419"/>
      <c r="H398" s="419"/>
      <c r="I398" s="419"/>
      <c r="J398" s="419"/>
      <c r="K398" s="419"/>
    </row>
    <row r="399" spans="1:11" ht="15.75" customHeight="1"/>
    <row r="400" spans="1:11" ht="15.75" customHeight="1"/>
    <row r="401" spans="1:11" ht="15.75" customHeight="1">
      <c r="A401" s="27" t="s">
        <v>48</v>
      </c>
      <c r="B401" s="27">
        <v>25</v>
      </c>
      <c r="D401" s="27" t="s">
        <v>48</v>
      </c>
      <c r="E401" s="27">
        <v>25</v>
      </c>
      <c r="G401" s="27" t="s">
        <v>48</v>
      </c>
      <c r="H401" s="27">
        <v>25</v>
      </c>
      <c r="J401" s="27" t="s">
        <v>48</v>
      </c>
      <c r="K401" s="27">
        <v>25</v>
      </c>
    </row>
    <row r="402" spans="1:11" ht="15.75" customHeight="1">
      <c r="A402" s="27" t="s">
        <v>42</v>
      </c>
      <c r="B402" s="27">
        <v>1</v>
      </c>
      <c r="D402" s="27" t="s">
        <v>42</v>
      </c>
      <c r="E402" s="27">
        <v>2</v>
      </c>
      <c r="G402" s="27" t="s">
        <v>42</v>
      </c>
      <c r="H402" s="27">
        <v>4</v>
      </c>
      <c r="J402" s="27" t="s">
        <v>42</v>
      </c>
      <c r="K402" s="27">
        <v>12</v>
      </c>
    </row>
    <row r="403" spans="1:11" ht="15.75" customHeight="1">
      <c r="A403" s="27" t="s">
        <v>521</v>
      </c>
      <c r="B403" s="27">
        <v>12</v>
      </c>
      <c r="D403" s="27" t="s">
        <v>521</v>
      </c>
      <c r="E403" s="27">
        <v>12</v>
      </c>
      <c r="G403" s="27" t="s">
        <v>521</v>
      </c>
      <c r="H403" s="27">
        <v>12</v>
      </c>
      <c r="J403" s="27" t="s">
        <v>521</v>
      </c>
      <c r="K403" s="27">
        <v>12</v>
      </c>
    </row>
    <row r="404" spans="1:11" ht="15.75" customHeight="1">
      <c r="A404" s="27" t="s">
        <v>43</v>
      </c>
      <c r="B404" s="34">
        <v>0.08</v>
      </c>
      <c r="D404" s="27" t="s">
        <v>43</v>
      </c>
      <c r="E404" s="34">
        <v>0.08</v>
      </c>
      <c r="G404" s="27" t="s">
        <v>43</v>
      </c>
      <c r="H404" s="34">
        <v>0.08</v>
      </c>
      <c r="J404" s="27" t="s">
        <v>43</v>
      </c>
      <c r="K404" s="34">
        <v>0.08</v>
      </c>
    </row>
    <row r="405" spans="1:11" ht="15.75" customHeight="1">
      <c r="A405" s="27" t="s">
        <v>693</v>
      </c>
      <c r="B405" s="39">
        <v>15000</v>
      </c>
      <c r="D405" s="27" t="s">
        <v>693</v>
      </c>
      <c r="E405" s="39">
        <v>15000</v>
      </c>
      <c r="G405" s="27" t="s">
        <v>693</v>
      </c>
      <c r="H405" s="39">
        <v>15000</v>
      </c>
      <c r="J405" s="27" t="s">
        <v>693</v>
      </c>
      <c r="K405" s="39">
        <v>15000</v>
      </c>
    </row>
    <row r="406" spans="1:11" ht="15.75" customHeight="1">
      <c r="A406" s="27" t="s">
        <v>506</v>
      </c>
      <c r="B406" s="39">
        <f>B405*((1-(1+B404/B402)^-(B402*B401))/((1+B404/B402)^(B402/B403)-1))</f>
        <v>1990934.3300072725</v>
      </c>
      <c r="D406" s="27" t="s">
        <v>506</v>
      </c>
      <c r="E406" s="39">
        <f>E405*((1-(1+E404/E402)^-(E402*E401))/((1+E404/E402)^(E402/E403)-1))</f>
        <v>1965374.1561417002</v>
      </c>
      <c r="G406" s="27" t="s">
        <v>506</v>
      </c>
      <c r="H406" s="39">
        <f>H405*((1-(1+H404/H402)^-(H402*H401))/((1+H404/H402)^(H402/H403)-1))</f>
        <v>1952298.4323372883</v>
      </c>
      <c r="J406" s="27" t="s">
        <v>506</v>
      </c>
      <c r="K406" s="39">
        <f>K405*((1-(1+K404/K402)^-(K402*K401))/((1+K404/K402)^(K402/K403)-1))*(1+K404/K402)^(K402/K403)</f>
        <v>1956424.2912991431</v>
      </c>
    </row>
    <row r="407" spans="1:11" ht="15.75" customHeight="1">
      <c r="A407" s="27" t="s">
        <v>695</v>
      </c>
      <c r="D407" s="27" t="s">
        <v>695</v>
      </c>
      <c r="G407" s="27" t="s">
        <v>695</v>
      </c>
      <c r="J407" s="27" t="s">
        <v>695</v>
      </c>
    </row>
    <row r="408" spans="1:11" ht="15.75" customHeight="1">
      <c r="A408" s="27" t="s">
        <v>125</v>
      </c>
      <c r="B408" s="27">
        <f>55-42-1</f>
        <v>12</v>
      </c>
      <c r="D408" s="27" t="s">
        <v>125</v>
      </c>
      <c r="E408" s="27">
        <f>55-42-1</f>
        <v>12</v>
      </c>
      <c r="G408" s="27" t="s">
        <v>125</v>
      </c>
      <c r="H408" s="27">
        <f>55-42-1</f>
        <v>12</v>
      </c>
      <c r="J408" s="27" t="s">
        <v>125</v>
      </c>
      <c r="K408" s="27">
        <f>55-42</f>
        <v>13</v>
      </c>
    </row>
    <row r="409" spans="1:11" ht="15.75" customHeight="1">
      <c r="A409" s="27" t="s">
        <v>506</v>
      </c>
      <c r="B409" s="132">
        <f>B406/((1+B404/B402)^(B402*B408))</f>
        <v>790627.4150065264</v>
      </c>
      <c r="D409" s="27" t="s">
        <v>506</v>
      </c>
      <c r="E409" s="132">
        <f>E406/((1+E404/E402)^(E402*E408))</f>
        <v>766734.66343183548</v>
      </c>
      <c r="G409" s="27" t="s">
        <v>506</v>
      </c>
      <c r="H409" s="132">
        <f>H406/((1+H404/H402)^(H402*H408))</f>
        <v>754636.76724064152</v>
      </c>
      <c r="J409" s="27" t="s">
        <v>506</v>
      </c>
      <c r="K409" s="132">
        <f>K406/((1+K404/K402)^(K402*K408))</f>
        <v>693898.07297006738</v>
      </c>
    </row>
    <row r="410" spans="1:11" ht="15.75" customHeight="1"/>
    <row r="411" spans="1:11" ht="15.75" customHeight="1">
      <c r="A411" s="124" t="s">
        <v>73</v>
      </c>
    </row>
    <row r="412" spans="1:11" ht="15.75" customHeight="1">
      <c r="A412" s="125"/>
    </row>
    <row r="413" spans="1:11" ht="15.75" customHeight="1">
      <c r="A413" s="137" t="s">
        <v>696</v>
      </c>
    </row>
    <row r="414" spans="1:11" ht="15.75" customHeight="1">
      <c r="A414" s="137"/>
    </row>
    <row r="415" spans="1:11" ht="15.75" customHeight="1">
      <c r="A415" s="116" t="s">
        <v>697</v>
      </c>
    </row>
    <row r="416" spans="1:11" ht="15.75" customHeight="1">
      <c r="A416" s="123"/>
    </row>
    <row r="417" spans="1:1" ht="15.75" customHeight="1">
      <c r="A417" s="116" t="s">
        <v>698</v>
      </c>
    </row>
    <row r="418" spans="1:1" ht="15.75" customHeight="1">
      <c r="A418" s="123"/>
    </row>
    <row r="419" spans="1:1" ht="15.75" customHeight="1">
      <c r="A419" s="116" t="s">
        <v>699</v>
      </c>
    </row>
    <row r="420" spans="1:1" ht="15.75" customHeight="1">
      <c r="A420" s="123"/>
    </row>
    <row r="421" spans="1:1" ht="15.75" customHeight="1">
      <c r="A421" s="116" t="s">
        <v>700</v>
      </c>
    </row>
    <row r="422" spans="1:1" ht="15.75" customHeight="1">
      <c r="A422" s="123"/>
    </row>
    <row r="423" spans="1:1" ht="15.75" customHeight="1">
      <c r="A423" s="137" t="s">
        <v>701</v>
      </c>
    </row>
    <row r="424" spans="1:1" ht="15.75" customHeight="1">
      <c r="A424" s="137"/>
    </row>
    <row r="425" spans="1:1" ht="15.75" customHeight="1">
      <c r="A425" s="116" t="s">
        <v>702</v>
      </c>
    </row>
    <row r="426" spans="1:1" ht="15.75" customHeight="1">
      <c r="A426" s="123"/>
    </row>
    <row r="427" spans="1:1" ht="15.75" customHeight="1">
      <c r="A427" s="116" t="s">
        <v>703</v>
      </c>
    </row>
    <row r="428" spans="1:1" ht="15.75" customHeight="1">
      <c r="A428" s="137"/>
    </row>
    <row r="429" spans="1:1" ht="15.75" customHeight="1">
      <c r="A429" s="116" t="s">
        <v>704</v>
      </c>
    </row>
    <row r="430" spans="1:1" ht="15.75" customHeight="1">
      <c r="A430" s="123"/>
    </row>
    <row r="431" spans="1:1" ht="15.75" customHeight="1">
      <c r="A431" s="116" t="s">
        <v>705</v>
      </c>
    </row>
    <row r="432" spans="1:1" ht="15.75" customHeight="1">
      <c r="A432" s="123"/>
    </row>
    <row r="433" spans="1:1" ht="15.75" customHeight="1">
      <c r="A433" s="116" t="s">
        <v>706</v>
      </c>
    </row>
    <row r="434" spans="1:1" ht="15.75" customHeight="1">
      <c r="A434" s="123"/>
    </row>
    <row r="435" spans="1:1" ht="15.75" customHeight="1">
      <c r="A435" s="116" t="s">
        <v>707</v>
      </c>
    </row>
    <row r="436" spans="1:1" ht="15.75" customHeight="1">
      <c r="A436" s="123"/>
    </row>
    <row r="437" spans="1:1" ht="15.75" customHeight="1">
      <c r="A437" s="126" t="s">
        <v>708</v>
      </c>
    </row>
    <row r="438" spans="1:1" ht="15.75" customHeight="1">
      <c r="A438" s="137"/>
    </row>
    <row r="439" spans="1:1" ht="15.75" customHeight="1">
      <c r="A439" s="116" t="s">
        <v>709</v>
      </c>
    </row>
    <row r="440" spans="1:1" ht="15.75" customHeight="1">
      <c r="A440" s="125"/>
    </row>
    <row r="441" spans="1:1" ht="15.75" customHeight="1">
      <c r="A441" s="115" t="s">
        <v>710</v>
      </c>
    </row>
    <row r="442" spans="1:1" ht="15.75" customHeight="1">
      <c r="A442" s="125"/>
    </row>
    <row r="443" spans="1:1" ht="15.75" customHeight="1">
      <c r="A443" s="115" t="s">
        <v>711</v>
      </c>
    </row>
    <row r="444" spans="1:1" ht="15.75" customHeight="1">
      <c r="A444" s="125"/>
    </row>
    <row r="445" spans="1:1" ht="15.75" customHeight="1">
      <c r="A445" s="115" t="s">
        <v>712</v>
      </c>
    </row>
    <row r="446" spans="1:1" ht="15.75" customHeight="1">
      <c r="A446" s="123"/>
    </row>
    <row r="447" spans="1:1" ht="15.75" customHeight="1">
      <c r="A447" s="137" t="s">
        <v>713</v>
      </c>
    </row>
    <row r="448" spans="1:1" ht="15.75" customHeight="1">
      <c r="A448" s="137"/>
    </row>
    <row r="449" spans="1:1" ht="15.75" customHeight="1">
      <c r="A449" s="116" t="s">
        <v>714</v>
      </c>
    </row>
    <row r="450" spans="1:1" ht="15.75" customHeight="1">
      <c r="A450" s="123"/>
    </row>
    <row r="451" spans="1:1" ht="15.75" customHeight="1">
      <c r="A451" s="116" t="s">
        <v>715</v>
      </c>
    </row>
    <row r="452" spans="1:1" ht="15.75" customHeight="1">
      <c r="A452" s="123"/>
    </row>
    <row r="453" spans="1:1" ht="15.75" customHeight="1">
      <c r="A453" s="116" t="s">
        <v>716</v>
      </c>
    </row>
    <row r="454" spans="1:1" ht="15.75" customHeight="1">
      <c r="A454" s="137"/>
    </row>
    <row r="455" spans="1:1" ht="15.75" customHeight="1">
      <c r="A455" s="127"/>
    </row>
    <row r="456" spans="1:1" ht="15.75" customHeight="1">
      <c r="A456" s="138"/>
    </row>
    <row r="457" spans="1:1" ht="15.75" customHeight="1">
      <c r="A457" s="138"/>
    </row>
    <row r="458" spans="1:1" ht="15.75" customHeight="1">
      <c r="A458" s="139"/>
    </row>
    <row r="459" spans="1:1" ht="15.75" customHeight="1">
      <c r="A459" s="140"/>
    </row>
    <row r="460" spans="1:1" ht="15.75" customHeight="1">
      <c r="A460" s="139"/>
    </row>
    <row r="461" spans="1:1" ht="15.75" customHeight="1">
      <c r="A461" s="141"/>
    </row>
    <row r="462" spans="1:1" ht="15.75" customHeight="1">
      <c r="A462" s="141"/>
    </row>
    <row r="463" spans="1:1" ht="15.75" customHeight="1">
      <c r="A463" s="139"/>
    </row>
    <row r="464" spans="1:1" ht="15.75" customHeight="1">
      <c r="A464" s="140"/>
    </row>
    <row r="465" spans="1:1" ht="15.75" customHeight="1">
      <c r="A465" s="139"/>
    </row>
    <row r="466" spans="1:1" ht="15.75" customHeight="1">
      <c r="A466" s="139"/>
    </row>
    <row r="467" spans="1:1" ht="15.75" customHeight="1">
      <c r="A467" s="142"/>
    </row>
    <row r="468" spans="1:1" ht="15.75" customHeight="1"/>
    <row r="469" spans="1:1" ht="15.75" customHeight="1"/>
    <row r="470" spans="1:1" ht="15.75" customHeight="1"/>
    <row r="471" spans="1:1" ht="15.75" customHeight="1"/>
    <row r="472" spans="1:1" ht="15.75" customHeight="1"/>
    <row r="473" spans="1:1" ht="15.75" customHeight="1"/>
    <row r="474" spans="1:1" ht="15.75" customHeight="1"/>
    <row r="475" spans="1:1" ht="15.75" customHeight="1"/>
    <row r="476" spans="1:1" ht="15.75" customHeight="1"/>
    <row r="477" spans="1:1" ht="15.75" customHeight="1"/>
    <row r="478" spans="1:1" ht="15.75" customHeight="1"/>
    <row r="479" spans="1:1" ht="15.75" customHeight="1"/>
    <row r="480" spans="1:1"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31">
    <mergeCell ref="D95:I103"/>
    <mergeCell ref="A1:C1"/>
    <mergeCell ref="D2:I8"/>
    <mergeCell ref="A12:D12"/>
    <mergeCell ref="D13:I18"/>
    <mergeCell ref="A29:C29"/>
    <mergeCell ref="D30:I35"/>
    <mergeCell ref="A37:C37"/>
    <mergeCell ref="D38:I43"/>
    <mergeCell ref="A47:F47"/>
    <mergeCell ref="A84:D84"/>
    <mergeCell ref="D86:I91"/>
    <mergeCell ref="A299:K302"/>
    <mergeCell ref="D116:I123"/>
    <mergeCell ref="C129:H135"/>
    <mergeCell ref="F149:K156"/>
    <mergeCell ref="A201:K211"/>
    <mergeCell ref="A219:E223"/>
    <mergeCell ref="A225:K228"/>
    <mergeCell ref="A237:K240"/>
    <mergeCell ref="A250:K253"/>
    <mergeCell ref="A262:K265"/>
    <mergeCell ref="A275:K278"/>
    <mergeCell ref="A288:K291"/>
    <mergeCell ref="A394:K398"/>
    <mergeCell ref="A311:K316"/>
    <mergeCell ref="A325:K329"/>
    <mergeCell ref="A339:K343"/>
    <mergeCell ref="A355:K358"/>
    <mergeCell ref="A368:K372"/>
    <mergeCell ref="A381:K38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254B7-B02B-4E22-A2B6-B69E1C6ECD17}">
  <dimension ref="A1:L1028"/>
  <sheetViews>
    <sheetView topLeftCell="C349" workbookViewId="0">
      <selection activeCell="K334" sqref="K334"/>
    </sheetView>
  </sheetViews>
  <sheetFormatPr defaultColWidth="14.42578125" defaultRowHeight="15" customHeight="1"/>
  <cols>
    <col min="1" max="1" width="15.85546875" style="27" customWidth="1"/>
    <col min="2" max="2" width="10.85546875" customWidth="1"/>
    <col min="3" max="3" width="10.5703125" customWidth="1"/>
    <col min="4" max="6" width="8.7109375" customWidth="1"/>
    <col min="7" max="7" width="11.140625" customWidth="1"/>
    <col min="8" max="8" width="11.7109375" customWidth="1"/>
    <col min="9" max="26" width="8.7109375" customWidth="1"/>
  </cols>
  <sheetData>
    <row r="1" spans="1:7">
      <c r="A1" s="1" t="s">
        <v>717</v>
      </c>
    </row>
    <row r="2" spans="1:7" ht="18">
      <c r="A2" s="143"/>
      <c r="B2" s="144" t="s">
        <v>718</v>
      </c>
    </row>
    <row r="3" spans="1:7" ht="18">
      <c r="B3" s="144" t="s">
        <v>719</v>
      </c>
    </row>
    <row r="4" spans="1:7" ht="18">
      <c r="A4" s="143"/>
      <c r="B4" s="144" t="s">
        <v>720</v>
      </c>
    </row>
    <row r="5" spans="1:7">
      <c r="A5" s="145" t="s">
        <v>721</v>
      </c>
    </row>
    <row r="6" spans="1:7">
      <c r="A6" s="1" t="s">
        <v>151</v>
      </c>
    </row>
    <row r="7" spans="1:7">
      <c r="A7" s="27" t="s">
        <v>722</v>
      </c>
      <c r="B7" s="27">
        <v>0.7</v>
      </c>
      <c r="D7" s="27" t="s">
        <v>723</v>
      </c>
      <c r="E7" s="34">
        <v>-0.05</v>
      </c>
    </row>
    <row r="8" spans="1:7">
      <c r="A8" s="27" t="s">
        <v>724</v>
      </c>
      <c r="B8" s="27">
        <v>0.2</v>
      </c>
      <c r="D8" s="27" t="s">
        <v>725</v>
      </c>
      <c r="E8" s="34">
        <v>0.15</v>
      </c>
    </row>
    <row r="9" spans="1:7">
      <c r="A9" s="27" t="s">
        <v>726</v>
      </c>
      <c r="B9" s="27">
        <v>0.1</v>
      </c>
      <c r="D9" s="27" t="s">
        <v>727</v>
      </c>
      <c r="E9" s="34">
        <v>0.25</v>
      </c>
    </row>
    <row r="11" spans="1:7">
      <c r="B11" s="27">
        <v>81</v>
      </c>
      <c r="C11" s="27">
        <v>-13</v>
      </c>
      <c r="D11" s="27">
        <v>-9</v>
      </c>
    </row>
    <row r="12" spans="1:7">
      <c r="A12" s="27" t="s">
        <v>506</v>
      </c>
      <c r="B12" s="27">
        <v>-13</v>
      </c>
      <c r="C12" s="27">
        <v>36</v>
      </c>
      <c r="D12" s="27">
        <v>10</v>
      </c>
    </row>
    <row r="13" spans="1:7">
      <c r="B13" s="27">
        <v>-9</v>
      </c>
      <c r="C13" s="27">
        <v>10</v>
      </c>
      <c r="D13" s="27">
        <v>49</v>
      </c>
    </row>
    <row r="15" spans="1:7">
      <c r="A15" s="27" t="s">
        <v>728</v>
      </c>
      <c r="B15" s="27">
        <f>SUMPRODUCT(B7:B9,E7:E9)</f>
        <v>2.0000000000000004E-2</v>
      </c>
      <c r="G15" s="340"/>
    </row>
    <row r="17" spans="1:6">
      <c r="A17" s="27" t="s">
        <v>729</v>
      </c>
      <c r="B17" s="27" cm="1">
        <f t="array" ref="B17">MMULT(TRANSPOSE(B7:B9),MMULT(B11:D13,B7:B9))</f>
        <v>37.119999999999997</v>
      </c>
    </row>
    <row r="18" spans="1:6">
      <c r="A18" s="27" t="s">
        <v>730</v>
      </c>
      <c r="B18" s="27">
        <f>B17^0.5</f>
        <v>6.0926184846911262</v>
      </c>
    </row>
    <row r="19" spans="1:6" ht="14.45" customHeight="1">
      <c r="A19" s="1" t="s">
        <v>731</v>
      </c>
      <c r="B19" s="126"/>
      <c r="C19" s="126"/>
    </row>
    <row r="20" spans="1:6">
      <c r="A20" s="145"/>
    </row>
    <row r="21" spans="1:6" ht="15.75">
      <c r="A21" s="146" t="s">
        <v>732</v>
      </c>
      <c r="B21" s="147">
        <v>-18</v>
      </c>
      <c r="C21" s="147">
        <v>-11</v>
      </c>
      <c r="D21" s="147">
        <v>16</v>
      </c>
      <c r="E21" s="147">
        <v>8</v>
      </c>
      <c r="F21" s="147">
        <v>9</v>
      </c>
    </row>
    <row r="22" spans="1:6" ht="15.75">
      <c r="A22" s="148" t="s">
        <v>733</v>
      </c>
      <c r="B22" s="149">
        <v>10</v>
      </c>
      <c r="C22" s="149">
        <v>13</v>
      </c>
      <c r="D22" s="149">
        <v>12</v>
      </c>
      <c r="E22" s="149">
        <v>14</v>
      </c>
      <c r="F22" s="149">
        <v>-17</v>
      </c>
    </row>
    <row r="23" spans="1:6" ht="15.75">
      <c r="A23" s="150" t="s">
        <v>734</v>
      </c>
      <c r="B23" s="149">
        <v>0.12</v>
      </c>
      <c r="C23" s="149">
        <v>0.19</v>
      </c>
      <c r="D23" s="149">
        <v>0.31</v>
      </c>
      <c r="E23" s="149">
        <v>0.2</v>
      </c>
      <c r="F23" s="149">
        <v>0.18</v>
      </c>
    </row>
    <row r="24" spans="1:6">
      <c r="A24" s="145"/>
    </row>
    <row r="25" spans="1:6">
      <c r="A25" s="145" t="s">
        <v>735</v>
      </c>
    </row>
    <row r="26" spans="1:6">
      <c r="A26" s="1" t="s">
        <v>153</v>
      </c>
    </row>
    <row r="27" spans="1:6">
      <c r="A27" s="27" t="s">
        <v>732</v>
      </c>
      <c r="B27" s="27">
        <v>-18</v>
      </c>
      <c r="C27" s="27">
        <v>-11</v>
      </c>
      <c r="D27" s="27">
        <v>16</v>
      </c>
      <c r="E27" s="27">
        <v>8</v>
      </c>
      <c r="F27" s="27">
        <v>9</v>
      </c>
    </row>
    <row r="28" spans="1:6">
      <c r="A28" s="27" t="s">
        <v>733</v>
      </c>
      <c r="B28" s="27">
        <v>10</v>
      </c>
      <c r="C28" s="27">
        <v>13</v>
      </c>
      <c r="D28" s="27">
        <v>12</v>
      </c>
      <c r="E28" s="27">
        <v>14</v>
      </c>
      <c r="F28" s="27">
        <v>-17</v>
      </c>
    </row>
    <row r="29" spans="1:6">
      <c r="A29" s="27" t="s">
        <v>75</v>
      </c>
      <c r="B29" s="27">
        <v>0.12</v>
      </c>
      <c r="C29" s="27">
        <v>0.19</v>
      </c>
      <c r="D29" s="27">
        <v>0.31</v>
      </c>
      <c r="E29" s="27">
        <v>0.2</v>
      </c>
      <c r="F29" s="27">
        <v>0.18</v>
      </c>
    </row>
    <row r="31" spans="1:6">
      <c r="A31" s="27" t="s">
        <v>723</v>
      </c>
      <c r="B31" s="27">
        <f>SUMPRODUCT(B27:F27,B29:F29)</f>
        <v>3.9299999999999997</v>
      </c>
    </row>
    <row r="32" spans="1:6" ht="15.75" customHeight="1">
      <c r="A32" s="27" t="s">
        <v>725</v>
      </c>
      <c r="B32" s="27">
        <f>SUMPRODUCT(B28:F28,B29:F29)</f>
        <v>7.129999999999999</v>
      </c>
    </row>
    <row r="33" spans="1:6" ht="15.75" customHeight="1"/>
    <row r="34" spans="1:6" ht="15.75" customHeight="1">
      <c r="A34" s="27" t="s">
        <v>736</v>
      </c>
      <c r="B34" s="27">
        <f t="shared" ref="B34:F34" si="0">B27-$B$31</f>
        <v>-21.93</v>
      </c>
      <c r="C34" s="27">
        <f t="shared" si="0"/>
        <v>-14.93</v>
      </c>
      <c r="D34" s="27">
        <f t="shared" si="0"/>
        <v>12.07</v>
      </c>
      <c r="E34" s="27">
        <f t="shared" si="0"/>
        <v>4.07</v>
      </c>
      <c r="F34" s="27">
        <f t="shared" si="0"/>
        <v>5.07</v>
      </c>
    </row>
    <row r="35" spans="1:6" ht="15.75" customHeight="1">
      <c r="A35" s="27" t="s">
        <v>737</v>
      </c>
      <c r="B35" s="27">
        <f t="shared" ref="B35:F35" si="1">B28-$B$32</f>
        <v>2.870000000000001</v>
      </c>
      <c r="C35" s="27">
        <f t="shared" si="1"/>
        <v>5.870000000000001</v>
      </c>
      <c r="D35" s="27">
        <f t="shared" si="1"/>
        <v>4.870000000000001</v>
      </c>
      <c r="E35" s="27">
        <f t="shared" si="1"/>
        <v>6.870000000000001</v>
      </c>
      <c r="F35" s="27">
        <f t="shared" si="1"/>
        <v>-24.13</v>
      </c>
    </row>
    <row r="36" spans="1:6" ht="15.75" customHeight="1">
      <c r="A36" s="27" t="s">
        <v>75</v>
      </c>
      <c r="B36" s="27">
        <v>0.12</v>
      </c>
      <c r="C36" s="27">
        <v>0.19</v>
      </c>
      <c r="D36" s="27">
        <v>0.31</v>
      </c>
      <c r="E36" s="27">
        <v>0.2</v>
      </c>
      <c r="F36" s="27">
        <v>0.18</v>
      </c>
    </row>
    <row r="37" spans="1:6" ht="15.75" customHeight="1"/>
    <row r="38" spans="1:6" ht="15.75" customHeight="1">
      <c r="A38" s="27" t="s">
        <v>738</v>
      </c>
      <c r="B38" s="27">
        <f t="shared" ref="B38:F38" si="2">B34*B35</f>
        <v>-62.939100000000018</v>
      </c>
      <c r="C38" s="27">
        <f t="shared" si="2"/>
        <v>-87.639100000000013</v>
      </c>
      <c r="D38" s="27">
        <f t="shared" si="2"/>
        <v>58.780900000000017</v>
      </c>
      <c r="E38" s="27">
        <f t="shared" si="2"/>
        <v>27.960900000000006</v>
      </c>
      <c r="F38" s="27">
        <f t="shared" si="2"/>
        <v>-122.3391</v>
      </c>
    </row>
    <row r="39" spans="1:6" ht="15.75" customHeight="1"/>
    <row r="40" spans="1:6" ht="15.75" customHeight="1">
      <c r="A40" s="27" t="s">
        <v>739</v>
      </c>
      <c r="B40" s="27">
        <f>SUMPRODUCT(B38:F38,B36:F36)</f>
        <v>-22.410900000000002</v>
      </c>
    </row>
    <row r="41" spans="1:6" ht="15.75" customHeight="1"/>
    <row r="42" spans="1:6" ht="15.75" customHeight="1">
      <c r="A42" s="27" t="s">
        <v>740</v>
      </c>
    </row>
    <row r="43" spans="1:6" ht="15.75" customHeight="1"/>
    <row r="44" spans="1:6" ht="15.75" customHeight="1">
      <c r="A44" s="27" t="s">
        <v>741</v>
      </c>
      <c r="B44" s="27">
        <f>SUMPRODUCT(B34:F34^2,B36:F36)</f>
        <v>153.1651</v>
      </c>
      <c r="C44" s="27" t="s">
        <v>742</v>
      </c>
      <c r="D44" s="27">
        <f t="shared" ref="D44:D45" si="3">B44^0.5</f>
        <v>12.375988849380885</v>
      </c>
    </row>
    <row r="45" spans="1:6" ht="15.75" customHeight="1">
      <c r="A45" s="27" t="s">
        <v>743</v>
      </c>
      <c r="B45" s="27">
        <f>SUMPRODUCT(B35:F35^2,B36:F36)</f>
        <v>129.13310000000001</v>
      </c>
      <c r="C45" s="27" t="s">
        <v>744</v>
      </c>
      <c r="D45" s="27">
        <f t="shared" si="3"/>
        <v>11.363674581753916</v>
      </c>
    </row>
    <row r="46" spans="1:6" ht="15.75" customHeight="1"/>
    <row r="47" spans="1:6" ht="15.75" customHeight="1">
      <c r="A47" s="27" t="s">
        <v>745</v>
      </c>
      <c r="B47" s="27">
        <f>B40/(D44*D45)</f>
        <v>-0.15935313058772649</v>
      </c>
    </row>
    <row r="48" spans="1:6" ht="15.75" customHeight="1">
      <c r="A48" s="145" t="s">
        <v>746</v>
      </c>
    </row>
    <row r="49" spans="1:6" ht="15.75" customHeight="1">
      <c r="A49" s="145"/>
    </row>
    <row r="50" spans="1:6" ht="15.75" customHeight="1">
      <c r="A50" s="151" t="s">
        <v>101</v>
      </c>
      <c r="B50" s="152" t="s">
        <v>747</v>
      </c>
      <c r="C50" s="152" t="s">
        <v>748</v>
      </c>
    </row>
    <row r="51" spans="1:6" ht="15.75" customHeight="1">
      <c r="A51" s="150">
        <v>1</v>
      </c>
      <c r="B51" s="153">
        <v>0.1</v>
      </c>
      <c r="C51" s="153">
        <v>0.12</v>
      </c>
    </row>
    <row r="52" spans="1:6" ht="15.75" customHeight="1">
      <c r="A52" s="150">
        <v>2</v>
      </c>
      <c r="B52" s="153">
        <v>0.16</v>
      </c>
      <c r="C52" s="153">
        <v>0.18</v>
      </c>
    </row>
    <row r="53" spans="1:6" ht="15.75" customHeight="1">
      <c r="A53" s="150">
        <v>3</v>
      </c>
      <c r="B53" s="153">
        <v>0.14000000000000001</v>
      </c>
      <c r="C53" s="153">
        <v>0.14000000000000001</v>
      </c>
    </row>
    <row r="54" spans="1:6" ht="15.75" customHeight="1">
      <c r="A54" s="150">
        <v>4</v>
      </c>
      <c r="B54" s="153">
        <v>0.17</v>
      </c>
      <c r="C54" s="153">
        <v>0.15</v>
      </c>
    </row>
    <row r="55" spans="1:6" ht="15.75" customHeight="1">
      <c r="A55" s="145"/>
    </row>
    <row r="56" spans="1:6" ht="15.75" customHeight="1">
      <c r="A56" s="145" t="s">
        <v>749</v>
      </c>
    </row>
    <row r="57" spans="1:6" ht="15.75" customHeight="1">
      <c r="A57" s="1" t="s">
        <v>161</v>
      </c>
    </row>
    <row r="58" spans="1:6" ht="15.75" customHeight="1">
      <c r="A58" t="s">
        <v>101</v>
      </c>
      <c r="B58" t="s">
        <v>750</v>
      </c>
      <c r="C58" t="s">
        <v>751</v>
      </c>
    </row>
    <row r="59" spans="1:6" ht="15.75" customHeight="1">
      <c r="A59">
        <v>1</v>
      </c>
      <c r="B59">
        <v>0.1</v>
      </c>
      <c r="C59">
        <v>0.12</v>
      </c>
      <c r="E59" t="s">
        <v>722</v>
      </c>
      <c r="F59">
        <v>0.5</v>
      </c>
    </row>
    <row r="60" spans="1:6" ht="15.75" customHeight="1">
      <c r="A60">
        <v>2</v>
      </c>
      <c r="B60">
        <v>0.16</v>
      </c>
      <c r="C60">
        <v>0.18</v>
      </c>
      <c r="E60" t="s">
        <v>724</v>
      </c>
      <c r="F60">
        <v>0.5</v>
      </c>
    </row>
    <row r="61" spans="1:6" ht="15.75" customHeight="1">
      <c r="A61">
        <v>3</v>
      </c>
      <c r="B61">
        <v>0.14000000000000001</v>
      </c>
      <c r="C61">
        <v>0.14000000000000001</v>
      </c>
    </row>
    <row r="62" spans="1:6" ht="15.75" customHeight="1">
      <c r="A62">
        <v>4</v>
      </c>
      <c r="B62">
        <v>0.17</v>
      </c>
      <c r="C62">
        <v>0.15</v>
      </c>
    </row>
    <row r="63" spans="1:6" ht="15.75" customHeight="1">
      <c r="A63"/>
    </row>
    <row r="64" spans="1:6" ht="15.75" customHeight="1">
      <c r="A64" t="s">
        <v>750</v>
      </c>
    </row>
    <row r="65" spans="1:8" ht="15.75" customHeight="1" thickBot="1">
      <c r="A65">
        <v>0.1</v>
      </c>
      <c r="C65">
        <f>(A65-$B$51)^2</f>
        <v>0</v>
      </c>
    </row>
    <row r="66" spans="1:8" ht="15.75" customHeight="1">
      <c r="A66">
        <v>0.16</v>
      </c>
      <c r="C66">
        <f>(A66-$B$51)^2</f>
        <v>3.5999999999999999E-3</v>
      </c>
      <c r="F66" s="392"/>
      <c r="G66" s="392" t="s">
        <v>752</v>
      </c>
      <c r="H66" s="392" t="s">
        <v>753</v>
      </c>
    </row>
    <row r="67" spans="1:8" ht="15.75" customHeight="1">
      <c r="A67">
        <v>0.14000000000000001</v>
      </c>
      <c r="C67">
        <f>(A67-$B$51)^2</f>
        <v>1.6000000000000007E-3</v>
      </c>
      <c r="E67" t="s">
        <v>506</v>
      </c>
      <c r="F67" t="s">
        <v>752</v>
      </c>
      <c r="G67">
        <f>VARP([1]Лист1!$B$40:$B$43)</f>
        <v>7.1875000000000064E-4</v>
      </c>
      <c r="H67">
        <f>G68</f>
        <v>4.562499999999999E-4</v>
      </c>
    </row>
    <row r="68" spans="1:8" ht="15.75" customHeight="1" thickBot="1">
      <c r="A68">
        <v>0.17</v>
      </c>
      <c r="C68">
        <f>(A68-$B$51)^2</f>
        <v>4.9000000000000007E-3</v>
      </c>
      <c r="F68" s="393" t="s">
        <v>753</v>
      </c>
      <c r="G68" s="393">
        <v>4.562499999999999E-4</v>
      </c>
      <c r="H68" s="393">
        <f>VARP([1]Лист1!$C$40:$C$43)</f>
        <v>4.6875000000000389E-4</v>
      </c>
    </row>
    <row r="69" spans="1:8" ht="15.75" customHeight="1">
      <c r="A69"/>
    </row>
    <row r="70" spans="1:8" ht="15.75" customHeight="1">
      <c r="A70" t="s">
        <v>723</v>
      </c>
      <c r="B70">
        <f>AVERAGE(A65:A68)</f>
        <v>0.14250000000000002</v>
      </c>
    </row>
    <row r="71" spans="1:8" ht="15.75" customHeight="1">
      <c r="A71" t="s">
        <v>754</v>
      </c>
      <c r="B71">
        <f>AVERAGE(C65:C68)</f>
        <v>2.5250000000000003E-3</v>
      </c>
      <c r="C71">
        <f>_xlfn.VAR.P(A65:A68)</f>
        <v>7.1875000000000064E-4</v>
      </c>
    </row>
    <row r="72" spans="1:8" ht="15.75" customHeight="1">
      <c r="A72"/>
    </row>
    <row r="73" spans="1:8" ht="15.75" customHeight="1">
      <c r="A73" t="s">
        <v>755</v>
      </c>
      <c r="C73">
        <f t="array" ref="C73">MMULT(TRANSPOSE(F59:F60),MMULT(G67:H68,F59:F60))</f>
        <v>5.2500000000000105E-4</v>
      </c>
    </row>
    <row r="74" spans="1:8" ht="15.75" customHeight="1">
      <c r="A74" t="s">
        <v>730</v>
      </c>
      <c r="C74">
        <f>C73^0.5</f>
        <v>2.2912878474779224E-2</v>
      </c>
    </row>
    <row r="75" spans="1:8" ht="15.75" customHeight="1">
      <c r="A75" s="145" t="s">
        <v>756</v>
      </c>
    </row>
    <row r="76" spans="1:8" ht="15.75" customHeight="1">
      <c r="A76" s="145"/>
    </row>
    <row r="77" spans="1:8" ht="15.75" customHeight="1">
      <c r="A77" s="151"/>
      <c r="B77" s="152" t="s">
        <v>732</v>
      </c>
      <c r="C77" s="152" t="s">
        <v>733</v>
      </c>
      <c r="D77" s="152" t="s">
        <v>757</v>
      </c>
      <c r="E77" s="152" t="s">
        <v>438</v>
      </c>
    </row>
    <row r="78" spans="1:8" ht="15.75" customHeight="1">
      <c r="A78" s="150" t="s">
        <v>758</v>
      </c>
      <c r="B78" s="153">
        <v>210</v>
      </c>
      <c r="C78" s="153">
        <v>340</v>
      </c>
      <c r="D78" s="153">
        <v>160</v>
      </c>
      <c r="E78" s="153">
        <v>420</v>
      </c>
    </row>
    <row r="79" spans="1:8" ht="15.75" customHeight="1">
      <c r="A79" s="150" t="s">
        <v>759</v>
      </c>
      <c r="B79" s="153">
        <v>70</v>
      </c>
      <c r="C79" s="153">
        <v>80</v>
      </c>
      <c r="D79" s="153">
        <v>150</v>
      </c>
      <c r="E79" s="153">
        <v>305</v>
      </c>
    </row>
    <row r="80" spans="1:8" ht="15.75" customHeight="1">
      <c r="A80" s="150" t="s">
        <v>760</v>
      </c>
      <c r="B80" s="153">
        <v>110</v>
      </c>
      <c r="C80" s="153">
        <v>90</v>
      </c>
      <c r="D80" s="153">
        <v>230</v>
      </c>
      <c r="E80" s="153">
        <v>310</v>
      </c>
    </row>
    <row r="81" spans="1:12" ht="15.75" customHeight="1">
      <c r="A81" s="145"/>
    </row>
    <row r="82" spans="1:12" ht="15.75" customHeight="1">
      <c r="A82" s="145" t="s">
        <v>761</v>
      </c>
    </row>
    <row r="83" spans="1:12" ht="15.75" customHeight="1">
      <c r="A83" s="1" t="s">
        <v>302</v>
      </c>
    </row>
    <row r="84" spans="1:12" ht="15.75" customHeight="1">
      <c r="B84" s="27" t="s">
        <v>732</v>
      </c>
      <c r="C84" s="27" t="s">
        <v>733</v>
      </c>
      <c r="D84" s="27" t="s">
        <v>757</v>
      </c>
      <c r="E84" s="27" t="s">
        <v>438</v>
      </c>
    </row>
    <row r="85" spans="1:12" ht="15.75" customHeight="1">
      <c r="A85" s="27" t="s">
        <v>762</v>
      </c>
      <c r="B85" s="27">
        <v>210</v>
      </c>
      <c r="C85" s="27">
        <v>340</v>
      </c>
      <c r="D85" s="27">
        <v>160</v>
      </c>
      <c r="E85" s="27">
        <v>420</v>
      </c>
    </row>
    <row r="86" spans="1:12" ht="15.75" customHeight="1">
      <c r="A86" s="27" t="s">
        <v>763</v>
      </c>
      <c r="B86" s="27">
        <v>70</v>
      </c>
      <c r="C86" s="27">
        <v>80</v>
      </c>
      <c r="D86" s="27">
        <v>150</v>
      </c>
      <c r="E86" s="27">
        <v>305</v>
      </c>
    </row>
    <row r="87" spans="1:12" ht="15.75" customHeight="1">
      <c r="A87" s="27" t="s">
        <v>764</v>
      </c>
      <c r="B87" s="27">
        <v>110</v>
      </c>
      <c r="C87" s="27">
        <v>90</v>
      </c>
      <c r="D87" s="27">
        <v>230</v>
      </c>
      <c r="E87" s="27">
        <v>310</v>
      </c>
    </row>
    <row r="88" spans="1:12" ht="15.75" customHeight="1"/>
    <row r="89" spans="1:12" ht="15.75" customHeight="1">
      <c r="A89" s="27" t="s">
        <v>765</v>
      </c>
      <c r="B89" s="27">
        <f>SUMPRODUCT(B85:E85,B86:E86)</f>
        <v>194000</v>
      </c>
    </row>
    <row r="90" spans="1:12" ht="15.75" customHeight="1">
      <c r="A90" s="27" t="s">
        <v>766</v>
      </c>
      <c r="B90" s="27">
        <f>SUMPRODUCT(B85:E85,B87:E87)</f>
        <v>220700</v>
      </c>
    </row>
    <row r="91" spans="1:12" ht="15.75" customHeight="1"/>
    <row r="92" spans="1:12" ht="15.75" customHeight="1">
      <c r="A92" s="27" t="s">
        <v>767</v>
      </c>
      <c r="B92" s="27">
        <f>(B90-B89)/B89</f>
        <v>0.13762886597938145</v>
      </c>
      <c r="C92" s="27">
        <f>B90/B89</f>
        <v>1.1376288659793814</v>
      </c>
    </row>
    <row r="93" spans="1:12" ht="15.75" customHeight="1"/>
    <row r="94" spans="1:12" ht="15.75" customHeight="1">
      <c r="A94" s="154"/>
      <c r="B94" s="88"/>
      <c r="C94" s="88"/>
      <c r="D94" s="88"/>
      <c r="E94" s="88"/>
      <c r="F94" s="88"/>
      <c r="G94" s="409" t="s">
        <v>768</v>
      </c>
      <c r="H94" s="409"/>
      <c r="I94" s="409"/>
      <c r="J94" s="409"/>
      <c r="K94" s="409"/>
      <c r="L94" s="410"/>
    </row>
    <row r="95" spans="1:12" ht="15.75" customHeight="1">
      <c r="A95" s="93"/>
      <c r="G95" s="402"/>
      <c r="H95" s="402"/>
      <c r="I95" s="402"/>
      <c r="J95" s="402"/>
      <c r="K95" s="402"/>
      <c r="L95" s="411"/>
    </row>
    <row r="96" spans="1:12" ht="15.75" customHeight="1">
      <c r="A96" s="155" t="s">
        <v>183</v>
      </c>
      <c r="G96" s="402"/>
      <c r="H96" s="402"/>
      <c r="I96" s="402"/>
      <c r="J96" s="402"/>
      <c r="K96" s="402"/>
      <c r="L96" s="411"/>
    </row>
    <row r="97" spans="1:12" ht="15.75" customHeight="1">
      <c r="A97" s="93" t="s">
        <v>723</v>
      </c>
      <c r="B97" s="34">
        <v>0.09</v>
      </c>
      <c r="G97" s="402"/>
      <c r="H97" s="402"/>
      <c r="I97" s="402"/>
      <c r="J97" s="402"/>
      <c r="K97" s="402"/>
      <c r="L97" s="411"/>
    </row>
    <row r="98" spans="1:12" ht="15.75" customHeight="1">
      <c r="A98" s="93" t="s">
        <v>725</v>
      </c>
      <c r="B98" s="34">
        <v>0.04</v>
      </c>
      <c r="G98" s="402"/>
      <c r="H98" s="402"/>
      <c r="I98" s="402"/>
      <c r="J98" s="402"/>
      <c r="K98" s="402"/>
      <c r="L98" s="411"/>
    </row>
    <row r="99" spans="1:12" ht="15.75" customHeight="1">
      <c r="A99" s="93" t="s">
        <v>722</v>
      </c>
      <c r="B99" s="27">
        <f>12/30</f>
        <v>0.4</v>
      </c>
      <c r="D99" s="27" t="s">
        <v>728</v>
      </c>
      <c r="E99" s="27">
        <f>SUMPRODUCT(B97:B98,B99:B100)</f>
        <v>0.06</v>
      </c>
      <c r="G99" s="402"/>
      <c r="H99" s="402"/>
      <c r="I99" s="402"/>
      <c r="J99" s="402"/>
      <c r="K99" s="402"/>
      <c r="L99" s="411"/>
    </row>
    <row r="100" spans="1:12" ht="15.75" customHeight="1">
      <c r="A100" s="95" t="s">
        <v>724</v>
      </c>
      <c r="B100" s="106">
        <f>18/30</f>
        <v>0.6</v>
      </c>
      <c r="C100" s="97"/>
      <c r="D100" s="97"/>
      <c r="E100" s="97"/>
      <c r="F100" s="97"/>
      <c r="G100" s="97"/>
      <c r="H100" s="97"/>
      <c r="I100" s="97"/>
      <c r="J100" s="97"/>
      <c r="K100" s="97"/>
      <c r="L100" s="98"/>
    </row>
    <row r="101" spans="1:12" ht="15.75" customHeight="1">
      <c r="A101" s="1"/>
    </row>
    <row r="102" spans="1:12" ht="15.75" customHeight="1">
      <c r="A102" s="154" t="s">
        <v>189</v>
      </c>
      <c r="B102" s="88"/>
      <c r="C102" s="88"/>
      <c r="D102" s="409" t="s">
        <v>769</v>
      </c>
      <c r="E102" s="409"/>
      <c r="F102" s="409"/>
      <c r="G102" s="409"/>
      <c r="H102" s="409"/>
      <c r="I102" s="409"/>
      <c r="J102" s="409"/>
      <c r="K102" s="410"/>
    </row>
    <row r="103" spans="1:12" ht="15.75" customHeight="1">
      <c r="A103" s="93" t="s">
        <v>723</v>
      </c>
      <c r="B103" s="27">
        <v>0.4</v>
      </c>
      <c r="D103" s="402"/>
      <c r="E103" s="402"/>
      <c r="F103" s="402"/>
      <c r="G103" s="402"/>
      <c r="H103" s="402"/>
      <c r="I103" s="402"/>
      <c r="J103" s="402"/>
      <c r="K103" s="411"/>
    </row>
    <row r="104" spans="1:12" ht="15.75" customHeight="1">
      <c r="A104" s="93" t="s">
        <v>725</v>
      </c>
      <c r="B104" s="27">
        <v>0.6</v>
      </c>
      <c r="D104" s="402"/>
      <c r="E104" s="402"/>
      <c r="F104" s="402"/>
      <c r="G104" s="402"/>
      <c r="H104" s="402"/>
      <c r="I104" s="402"/>
      <c r="J104" s="402"/>
      <c r="K104" s="411"/>
    </row>
    <row r="105" spans="1:12" ht="15.75" customHeight="1">
      <c r="A105" s="93" t="s">
        <v>722</v>
      </c>
      <c r="B105" s="27">
        <f>2/10</f>
        <v>0.2</v>
      </c>
      <c r="D105" s="402"/>
      <c r="E105" s="402"/>
      <c r="F105" s="402"/>
      <c r="G105" s="402"/>
      <c r="H105" s="402"/>
      <c r="I105" s="402"/>
      <c r="J105" s="402"/>
      <c r="K105" s="411"/>
    </row>
    <row r="106" spans="1:12" ht="15.75" customHeight="1">
      <c r="A106" s="93" t="s">
        <v>724</v>
      </c>
      <c r="B106" s="27">
        <f>8/10</f>
        <v>0.8</v>
      </c>
      <c r="D106" s="402"/>
      <c r="E106" s="402"/>
      <c r="F106" s="402"/>
      <c r="G106" s="402"/>
      <c r="H106" s="402"/>
      <c r="I106" s="402"/>
      <c r="J106" s="402"/>
      <c r="K106" s="411"/>
    </row>
    <row r="107" spans="1:12" ht="15.75" customHeight="1">
      <c r="A107" s="93" t="s">
        <v>742</v>
      </c>
      <c r="B107" s="27">
        <v>0.7</v>
      </c>
      <c r="D107" s="402"/>
      <c r="E107" s="402"/>
      <c r="F107" s="402"/>
      <c r="G107" s="402"/>
      <c r="H107" s="402"/>
      <c r="I107" s="402"/>
      <c r="J107" s="402"/>
      <c r="K107" s="411"/>
    </row>
    <row r="108" spans="1:12" ht="15.75" customHeight="1">
      <c r="A108" s="93" t="s">
        <v>770</v>
      </c>
      <c r="B108" s="27">
        <v>0</v>
      </c>
      <c r="D108" s="402"/>
      <c r="E108" s="402"/>
      <c r="F108" s="402"/>
      <c r="G108" s="402"/>
      <c r="H108" s="402"/>
      <c r="I108" s="402"/>
      <c r="J108" s="402"/>
      <c r="K108" s="411"/>
    </row>
    <row r="109" spans="1:12" ht="15.75" customHeight="1">
      <c r="A109" s="93"/>
      <c r="D109" s="402"/>
      <c r="E109" s="402"/>
      <c r="F109" s="402"/>
      <c r="G109" s="402"/>
      <c r="H109" s="402"/>
      <c r="I109" s="402"/>
      <c r="J109" s="402"/>
      <c r="K109" s="411"/>
    </row>
    <row r="110" spans="1:12" ht="15.75" customHeight="1">
      <c r="A110" s="93" t="s">
        <v>771</v>
      </c>
      <c r="B110" s="27">
        <f>B107^2*B105/B106</f>
        <v>0.12249999999999998</v>
      </c>
      <c r="K110" s="94"/>
    </row>
    <row r="111" spans="1:12" ht="15.75" customHeight="1">
      <c r="A111" s="93" t="s">
        <v>744</v>
      </c>
      <c r="B111" s="27">
        <f>B110^0.5</f>
        <v>0.35</v>
      </c>
      <c r="K111" s="94"/>
    </row>
    <row r="112" spans="1:12" ht="15.75" customHeight="1">
      <c r="A112" s="93"/>
      <c r="K112" s="94"/>
    </row>
    <row r="113" spans="1:11" ht="15.75" customHeight="1">
      <c r="A113" s="93" t="s">
        <v>729</v>
      </c>
      <c r="B113" s="27">
        <f>B105^2*B107^2+B106^2*B110</f>
        <v>9.8000000000000018E-2</v>
      </c>
      <c r="D113" s="27" t="s">
        <v>728</v>
      </c>
      <c r="E113" s="27">
        <f>SUMPRODUCT(B103:B104,B105:B106)</f>
        <v>0.56000000000000005</v>
      </c>
      <c r="K113" s="94"/>
    </row>
    <row r="114" spans="1:11" ht="15.75" customHeight="1">
      <c r="A114" s="95" t="s">
        <v>730</v>
      </c>
      <c r="B114" s="106">
        <f>B113^0.5</f>
        <v>0.31304951684997057</v>
      </c>
      <c r="C114" s="97"/>
      <c r="D114" s="97"/>
      <c r="E114" s="97"/>
      <c r="F114" s="97"/>
      <c r="G114" s="97"/>
      <c r="H114" s="97"/>
      <c r="I114" s="97"/>
      <c r="J114" s="97"/>
      <c r="K114" s="98"/>
    </row>
    <row r="115" spans="1:11" ht="15.75" customHeight="1">
      <c r="A115" s="424"/>
      <c r="B115" s="405"/>
      <c r="C115" s="405"/>
    </row>
    <row r="116" spans="1:11" ht="15.75" customHeight="1">
      <c r="A116" s="154" t="s">
        <v>205</v>
      </c>
      <c r="B116" s="88"/>
      <c r="C116" s="88"/>
      <c r="D116" s="427" t="s">
        <v>772</v>
      </c>
      <c r="E116" s="409"/>
      <c r="F116" s="409"/>
      <c r="G116" s="409"/>
      <c r="H116" s="409"/>
      <c r="I116" s="409"/>
      <c r="J116" s="409"/>
      <c r="K116" s="89"/>
    </row>
    <row r="117" spans="1:11" ht="15.75" customHeight="1">
      <c r="A117" s="93" t="s">
        <v>723</v>
      </c>
      <c r="B117" s="34">
        <v>7.0000000000000007E-2</v>
      </c>
      <c r="D117" s="402"/>
      <c r="E117" s="402"/>
      <c r="F117" s="402"/>
      <c r="G117" s="402"/>
      <c r="H117" s="402"/>
      <c r="I117" s="402"/>
      <c r="J117" s="402"/>
      <c r="K117" s="94"/>
    </row>
    <row r="118" spans="1:11" ht="15.75" customHeight="1">
      <c r="A118" s="93" t="s">
        <v>725</v>
      </c>
      <c r="B118" s="34">
        <v>0.18</v>
      </c>
      <c r="D118" s="402"/>
      <c r="E118" s="402"/>
      <c r="F118" s="402"/>
      <c r="G118" s="402"/>
      <c r="H118" s="402"/>
      <c r="I118" s="402"/>
      <c r="J118" s="402"/>
      <c r="K118" s="94"/>
    </row>
    <row r="119" spans="1:11" ht="15.75" customHeight="1">
      <c r="A119" s="93" t="s">
        <v>742</v>
      </c>
      <c r="B119" s="34">
        <v>0.15</v>
      </c>
      <c r="D119" s="402"/>
      <c r="E119" s="402"/>
      <c r="F119" s="402"/>
      <c r="G119" s="402"/>
      <c r="H119" s="402"/>
      <c r="I119" s="402"/>
      <c r="J119" s="402"/>
      <c r="K119" s="94"/>
    </row>
    <row r="120" spans="1:11" ht="15.75" customHeight="1">
      <c r="A120" s="93" t="s">
        <v>744</v>
      </c>
      <c r="B120" s="34">
        <v>0.35</v>
      </c>
      <c r="D120" s="402"/>
      <c r="E120" s="402"/>
      <c r="F120" s="402"/>
      <c r="G120" s="402"/>
      <c r="H120" s="402"/>
      <c r="I120" s="402"/>
      <c r="J120" s="402"/>
      <c r="K120" s="94"/>
    </row>
    <row r="121" spans="1:11" ht="15.75" customHeight="1">
      <c r="A121" s="93" t="s">
        <v>728</v>
      </c>
      <c r="B121" s="34">
        <v>0.17</v>
      </c>
      <c r="D121" s="402"/>
      <c r="E121" s="402"/>
      <c r="F121" s="402"/>
      <c r="G121" s="402"/>
      <c r="H121" s="402"/>
      <c r="I121" s="402"/>
      <c r="J121" s="402"/>
      <c r="K121" s="94"/>
    </row>
    <row r="122" spans="1:11" ht="15.75" customHeight="1">
      <c r="A122" s="93" t="s">
        <v>770</v>
      </c>
      <c r="B122" s="27">
        <v>1</v>
      </c>
      <c r="K122" s="94"/>
    </row>
    <row r="123" spans="1:11" ht="15.75" customHeight="1">
      <c r="A123" s="93"/>
      <c r="K123" s="94"/>
    </row>
    <row r="124" spans="1:11" ht="15.75" customHeight="1">
      <c r="A124" s="93" t="s">
        <v>724</v>
      </c>
      <c r="B124" s="27">
        <f>0.1/0.11</f>
        <v>0.90909090909090917</v>
      </c>
      <c r="D124" s="27">
        <f>B125</f>
        <v>9.0909090909090828E-2</v>
      </c>
      <c r="K124" s="94"/>
    </row>
    <row r="125" spans="1:11" ht="15.75" customHeight="1">
      <c r="A125" s="93" t="s">
        <v>722</v>
      </c>
      <c r="B125" s="27">
        <f>1-B124</f>
        <v>9.0909090909090828E-2</v>
      </c>
      <c r="D125" s="27">
        <f>B124</f>
        <v>0.90909090909090917</v>
      </c>
      <c r="K125" s="94"/>
    </row>
    <row r="126" spans="1:11" ht="15.75" customHeight="1">
      <c r="A126" s="95" t="s">
        <v>730</v>
      </c>
      <c r="B126" s="106">
        <f>SUMPRODUCT(D124:D125,B119:B120)</f>
        <v>0.33181818181818179</v>
      </c>
      <c r="C126" s="97"/>
      <c r="D126" s="97"/>
      <c r="E126" s="97"/>
      <c r="F126" s="97"/>
      <c r="G126" s="97"/>
      <c r="H126" s="97"/>
      <c r="I126" s="97"/>
      <c r="J126" s="97"/>
      <c r="K126" s="98"/>
    </row>
    <row r="127" spans="1:11" ht="15.75" customHeight="1">
      <c r="A127" s="428"/>
      <c r="B127" s="405"/>
      <c r="C127" s="405"/>
    </row>
    <row r="128" spans="1:11" ht="15.75" customHeight="1">
      <c r="A128" s="101"/>
      <c r="B128" s="88"/>
      <c r="C128" s="88"/>
      <c r="D128" s="409" t="s">
        <v>773</v>
      </c>
      <c r="E128" s="409"/>
      <c r="F128" s="409"/>
      <c r="G128" s="409"/>
      <c r="H128" s="409"/>
      <c r="I128" s="409"/>
      <c r="J128" s="409"/>
      <c r="K128" s="89"/>
    </row>
    <row r="129" spans="1:11" ht="15.75" customHeight="1">
      <c r="A129" s="155" t="s">
        <v>214</v>
      </c>
      <c r="D129" s="402"/>
      <c r="E129" s="402"/>
      <c r="F129" s="402"/>
      <c r="G129" s="402"/>
      <c r="H129" s="402"/>
      <c r="I129" s="402"/>
      <c r="J129" s="402"/>
      <c r="K129" s="94"/>
    </row>
    <row r="130" spans="1:11" ht="15.75" customHeight="1">
      <c r="A130" s="93" t="s">
        <v>774</v>
      </c>
      <c r="B130" s="34">
        <v>0.45</v>
      </c>
      <c r="D130" s="402"/>
      <c r="E130" s="402"/>
      <c r="F130" s="402"/>
      <c r="G130" s="402"/>
      <c r="H130" s="402"/>
      <c r="I130" s="402"/>
      <c r="J130" s="402"/>
      <c r="K130" s="94"/>
    </row>
    <row r="131" spans="1:11" ht="15.75" customHeight="1">
      <c r="A131" s="93" t="s">
        <v>445</v>
      </c>
      <c r="B131" s="27">
        <v>1</v>
      </c>
      <c r="D131" s="402"/>
      <c r="E131" s="402"/>
      <c r="F131" s="402"/>
      <c r="G131" s="402"/>
      <c r="H131" s="402"/>
      <c r="I131" s="402"/>
      <c r="J131" s="402"/>
      <c r="K131" s="94"/>
    </row>
    <row r="132" spans="1:11" ht="15.75" customHeight="1">
      <c r="A132" s="93" t="s">
        <v>775</v>
      </c>
      <c r="B132" s="34">
        <v>0.16</v>
      </c>
      <c r="D132" s="402"/>
      <c r="E132" s="402"/>
      <c r="F132" s="402"/>
      <c r="G132" s="402"/>
      <c r="H132" s="402"/>
      <c r="I132" s="402"/>
      <c r="J132" s="402"/>
      <c r="K132" s="94"/>
    </row>
    <row r="133" spans="1:11" ht="15.75" customHeight="1">
      <c r="A133" s="93" t="s">
        <v>776</v>
      </c>
      <c r="B133" s="34">
        <v>0.32</v>
      </c>
      <c r="D133" s="402"/>
      <c r="E133" s="402"/>
      <c r="F133" s="402"/>
      <c r="G133" s="402"/>
      <c r="H133" s="402"/>
      <c r="I133" s="402"/>
      <c r="J133" s="402"/>
      <c r="K133" s="94"/>
    </row>
    <row r="134" spans="1:11" ht="15.75" customHeight="1">
      <c r="A134" s="93" t="s">
        <v>777</v>
      </c>
      <c r="B134" s="34">
        <v>0.43</v>
      </c>
      <c r="K134" s="94"/>
    </row>
    <row r="135" spans="1:11" ht="15.75" customHeight="1">
      <c r="A135" s="93" t="s">
        <v>778</v>
      </c>
      <c r="B135" s="34">
        <v>0.71</v>
      </c>
      <c r="K135" s="94"/>
    </row>
    <row r="136" spans="1:11" ht="15.75" customHeight="1">
      <c r="A136" s="93"/>
      <c r="K136" s="94"/>
    </row>
    <row r="137" spans="1:11" ht="15.75" customHeight="1">
      <c r="A137" s="93" t="s">
        <v>486</v>
      </c>
      <c r="B137" s="27">
        <f>1-B141</f>
        <v>0.9285714285714286</v>
      </c>
      <c r="K137" s="94"/>
    </row>
    <row r="138" spans="1:11" ht="15.75" customHeight="1">
      <c r="A138" s="93" t="s">
        <v>597</v>
      </c>
      <c r="B138" s="27">
        <f>B141</f>
        <v>7.1428571428571425E-2</v>
      </c>
      <c r="K138" s="94"/>
    </row>
    <row r="139" spans="1:11" ht="15.75" customHeight="1">
      <c r="A139" s="93" t="s">
        <v>779</v>
      </c>
      <c r="B139" s="27">
        <f>SUMPRODUCT(B132:B133,B137:B138)</f>
        <v>0.17142857142857143</v>
      </c>
      <c r="K139" s="94"/>
    </row>
    <row r="140" spans="1:11" ht="15.75" customHeight="1">
      <c r="A140" s="93"/>
      <c r="K140" s="94"/>
    </row>
    <row r="141" spans="1:11" ht="15.75" customHeight="1">
      <c r="A141" s="95" t="s">
        <v>290</v>
      </c>
      <c r="B141" s="106">
        <f>0.02/0.28</f>
        <v>7.1428571428571425E-2</v>
      </c>
      <c r="C141" s="97"/>
      <c r="D141" s="97"/>
      <c r="E141" s="97"/>
      <c r="F141" s="97"/>
      <c r="G141" s="97"/>
      <c r="H141" s="97"/>
      <c r="I141" s="97"/>
      <c r="J141" s="97"/>
      <c r="K141" s="98"/>
    </row>
    <row r="142" spans="1:11" ht="15.75" customHeight="1">
      <c r="A142" s="429"/>
      <c r="B142" s="417"/>
      <c r="C142" s="417"/>
      <c r="D142" s="88"/>
      <c r="E142" s="88"/>
      <c r="F142" s="88"/>
      <c r="G142" s="88"/>
      <c r="H142" s="88"/>
      <c r="I142" s="88"/>
      <c r="J142" s="88"/>
      <c r="K142" s="89"/>
    </row>
    <row r="143" spans="1:11" ht="15.75" customHeight="1">
      <c r="A143" s="155" t="s">
        <v>219</v>
      </c>
      <c r="D143" s="402" t="s">
        <v>780</v>
      </c>
      <c r="E143" s="402"/>
      <c r="F143" s="402"/>
      <c r="G143" s="402"/>
      <c r="H143" s="402"/>
      <c r="I143" s="402"/>
      <c r="K143" s="94"/>
    </row>
    <row r="144" spans="1:11" ht="15.75" customHeight="1">
      <c r="A144" s="93" t="s">
        <v>723</v>
      </c>
      <c r="B144" s="34">
        <v>0.4</v>
      </c>
      <c r="D144" s="402"/>
      <c r="E144" s="402"/>
      <c r="F144" s="402"/>
      <c r="G144" s="402"/>
      <c r="H144" s="402"/>
      <c r="I144" s="402"/>
      <c r="K144" s="94"/>
    </row>
    <row r="145" spans="1:11" ht="15.75" customHeight="1">
      <c r="A145" s="93" t="s">
        <v>725</v>
      </c>
      <c r="B145" s="34">
        <v>0.3</v>
      </c>
      <c r="D145" s="402"/>
      <c r="E145" s="402"/>
      <c r="F145" s="402"/>
      <c r="G145" s="402"/>
      <c r="H145" s="402"/>
      <c r="I145" s="402"/>
      <c r="K145" s="94"/>
    </row>
    <row r="146" spans="1:11" ht="15.75" customHeight="1">
      <c r="A146" s="93" t="s">
        <v>742</v>
      </c>
      <c r="B146" s="34">
        <v>0.2</v>
      </c>
      <c r="D146" s="402"/>
      <c r="E146" s="402"/>
      <c r="F146" s="402"/>
      <c r="G146" s="402"/>
      <c r="H146" s="402"/>
      <c r="I146" s="402"/>
      <c r="K146" s="94"/>
    </row>
    <row r="147" spans="1:11" ht="15.75" customHeight="1">
      <c r="A147" s="93" t="s">
        <v>744</v>
      </c>
      <c r="B147" s="34">
        <v>0.6</v>
      </c>
      <c r="D147" s="402"/>
      <c r="E147" s="402"/>
      <c r="F147" s="402"/>
      <c r="G147" s="402"/>
      <c r="H147" s="402"/>
      <c r="I147" s="402"/>
      <c r="K147" s="94"/>
    </row>
    <row r="148" spans="1:11" ht="15.75" customHeight="1">
      <c r="A148" s="93"/>
      <c r="K148" s="94"/>
    </row>
    <row r="149" spans="1:11" ht="15.75" customHeight="1">
      <c r="A149" s="95" t="s">
        <v>770</v>
      </c>
      <c r="B149" s="156">
        <v>-0.4</v>
      </c>
      <c r="C149" s="97"/>
      <c r="D149" s="97"/>
      <c r="E149" s="97"/>
      <c r="F149" s="97"/>
      <c r="G149" s="97"/>
      <c r="H149" s="97"/>
      <c r="I149" s="97"/>
      <c r="J149" s="97"/>
      <c r="K149" s="98"/>
    </row>
    <row r="150" spans="1:11" ht="15.75" customHeight="1">
      <c r="A150" s="1" t="s">
        <v>781</v>
      </c>
    </row>
    <row r="151" spans="1:11" ht="15.75" customHeight="1">
      <c r="A151" s="1"/>
    </row>
    <row r="152" spans="1:11" ht="15.75" customHeight="1">
      <c r="A152" s="1" t="s">
        <v>782</v>
      </c>
    </row>
    <row r="153" spans="1:11" ht="15.75" customHeight="1">
      <c r="A153" s="1"/>
    </row>
    <row r="154" spans="1:11" ht="15.75" customHeight="1">
      <c r="A154" s="1" t="s">
        <v>783</v>
      </c>
    </row>
    <row r="155" spans="1:11" ht="15.75" customHeight="1">
      <c r="A155" s="1"/>
    </row>
    <row r="156" spans="1:11" ht="15.75" customHeight="1">
      <c r="A156" s="1" t="s">
        <v>784</v>
      </c>
    </row>
    <row r="157" spans="1:11" ht="15.75" customHeight="1">
      <c r="A157" s="1"/>
    </row>
    <row r="158" spans="1:11" ht="15.75" customHeight="1">
      <c r="A158" s="1" t="s">
        <v>785</v>
      </c>
    </row>
    <row r="159" spans="1:11" ht="15.75" customHeight="1">
      <c r="A159" s="1"/>
    </row>
    <row r="160" spans="1:11" ht="15.75" customHeight="1">
      <c r="A160" s="1" t="s">
        <v>786</v>
      </c>
    </row>
    <row r="161" spans="1:10" ht="15.75" customHeight="1">
      <c r="A161" s="1"/>
    </row>
    <row r="162" spans="1:10" ht="15.75" customHeight="1">
      <c r="A162" s="1" t="s">
        <v>787</v>
      </c>
    </row>
    <row r="163" spans="1:10" ht="15.75" customHeight="1">
      <c r="A163" s="1"/>
    </row>
    <row r="164" spans="1:10" ht="15.75" customHeight="1">
      <c r="A164" s="1" t="s">
        <v>150</v>
      </c>
    </row>
    <row r="165" spans="1:10" ht="15.75" customHeight="1">
      <c r="A165" s="426"/>
      <c r="B165" s="405"/>
      <c r="C165" s="405"/>
      <c r="E165" s="402" t="s">
        <v>788</v>
      </c>
      <c r="F165" s="402"/>
      <c r="G165" s="402"/>
      <c r="H165" s="402"/>
      <c r="I165" s="402"/>
      <c r="J165" s="402"/>
    </row>
    <row r="166" spans="1:10" ht="15.75" customHeight="1">
      <c r="E166" s="402"/>
      <c r="F166" s="402"/>
      <c r="G166" s="402"/>
      <c r="H166" s="402"/>
      <c r="I166" s="402"/>
      <c r="J166" s="402"/>
    </row>
    <row r="167" spans="1:10" ht="15.75" customHeight="1">
      <c r="E167" s="402"/>
      <c r="F167" s="402"/>
      <c r="G167" s="402"/>
      <c r="H167" s="402"/>
      <c r="I167" s="402"/>
      <c r="J167" s="402"/>
    </row>
    <row r="168" spans="1:10" ht="15.75" customHeight="1">
      <c r="E168" s="402"/>
      <c r="F168" s="402"/>
      <c r="G168" s="402"/>
      <c r="H168" s="402"/>
      <c r="I168" s="402"/>
      <c r="J168" s="402"/>
    </row>
    <row r="169" spans="1:10" ht="15.75" customHeight="1">
      <c r="E169" s="402"/>
      <c r="F169" s="402"/>
      <c r="G169" s="402"/>
      <c r="H169" s="402"/>
      <c r="I169" s="402"/>
      <c r="J169" s="402"/>
    </row>
    <row r="170" spans="1:10" ht="15.75" customHeight="1"/>
    <row r="171" spans="1:10" ht="15.75" customHeight="1">
      <c r="A171" s="1" t="s">
        <v>789</v>
      </c>
    </row>
    <row r="172" spans="1:10" ht="15.75" customHeight="1">
      <c r="A172" s="27" t="s">
        <v>722</v>
      </c>
      <c r="B172" s="27">
        <v>0.2</v>
      </c>
      <c r="D172" s="27" t="s">
        <v>723</v>
      </c>
      <c r="E172" s="34">
        <v>-0.2</v>
      </c>
    </row>
    <row r="173" spans="1:10" ht="15.75" customHeight="1">
      <c r="A173" s="27" t="s">
        <v>724</v>
      </c>
      <c r="B173" s="27">
        <v>0.3</v>
      </c>
      <c r="D173" s="27" t="s">
        <v>725</v>
      </c>
      <c r="E173" s="34">
        <v>0.15</v>
      </c>
    </row>
    <row r="174" spans="1:10" ht="15.75" customHeight="1">
      <c r="A174" s="27" t="s">
        <v>726</v>
      </c>
      <c r="B174" s="27">
        <v>0.5</v>
      </c>
      <c r="D174" s="27" t="s">
        <v>727</v>
      </c>
      <c r="E174" s="34">
        <v>0.25</v>
      </c>
    </row>
    <row r="175" spans="1:10" ht="15.75" customHeight="1"/>
    <row r="176" spans="1:10" ht="15.75" customHeight="1">
      <c r="B176" s="27">
        <v>16</v>
      </c>
      <c r="C176" s="27">
        <v>-10</v>
      </c>
      <c r="D176" s="27">
        <v>-5</v>
      </c>
    </row>
    <row r="177" spans="1:5" ht="15.75" customHeight="1">
      <c r="A177" s="27" t="s">
        <v>790</v>
      </c>
      <c r="B177" s="27">
        <v>-10</v>
      </c>
      <c r="C177" s="27">
        <v>25</v>
      </c>
      <c r="D177" s="27">
        <v>10</v>
      </c>
    </row>
    <row r="178" spans="1:5" ht="15.75" customHeight="1">
      <c r="B178" s="27">
        <v>-5</v>
      </c>
      <c r="C178" s="27">
        <v>10</v>
      </c>
      <c r="D178" s="27">
        <v>36</v>
      </c>
    </row>
    <row r="179" spans="1:5" ht="15.75" customHeight="1"/>
    <row r="180" spans="1:5" ht="15.75" customHeight="1">
      <c r="A180" s="27" t="s">
        <v>728</v>
      </c>
      <c r="B180" s="158">
        <f>SUMPRODUCT(B172:B174,E172:E174)</f>
        <v>0.13</v>
      </c>
    </row>
    <row r="181" spans="1:5" ht="15.75" customHeight="1">
      <c r="A181" s="27" t="s">
        <v>729</v>
      </c>
      <c r="B181" s="133" cm="1">
        <f t="array" ref="B181">MMULT(TRANSPOSE(B172:B174),MMULT(B176:D178,B172:B174))</f>
        <v>12.69</v>
      </c>
    </row>
    <row r="182" spans="1:5" ht="15.75" customHeight="1">
      <c r="A182" s="27" t="s">
        <v>730</v>
      </c>
      <c r="B182" s="27">
        <f>B181^(1/2)</f>
        <v>3.562302626111375</v>
      </c>
    </row>
    <row r="183" spans="1:5" ht="15.75" customHeight="1">
      <c r="A183" s="137" t="s">
        <v>791</v>
      </c>
    </row>
    <row r="184" spans="1:5" ht="15.75" customHeight="1">
      <c r="B184" s="27" t="s">
        <v>732</v>
      </c>
      <c r="C184" s="27" t="s">
        <v>733</v>
      </c>
      <c r="D184" s="27" t="s">
        <v>757</v>
      </c>
      <c r="E184" s="27" t="s">
        <v>438</v>
      </c>
    </row>
    <row r="185" spans="1:5" ht="15.75" customHeight="1">
      <c r="A185" s="27" t="s">
        <v>762</v>
      </c>
      <c r="B185" s="27">
        <v>200</v>
      </c>
      <c r="C185" s="27">
        <v>350</v>
      </c>
      <c r="D185" s="27">
        <v>150</v>
      </c>
      <c r="E185" s="27">
        <v>400</v>
      </c>
    </row>
    <row r="186" spans="1:5" ht="15.75" customHeight="1">
      <c r="A186" s="27" t="s">
        <v>763</v>
      </c>
      <c r="B186" s="27">
        <v>70</v>
      </c>
      <c r="C186" s="27">
        <v>90</v>
      </c>
      <c r="D186" s="27">
        <v>180</v>
      </c>
      <c r="E186" s="27">
        <v>300</v>
      </c>
    </row>
    <row r="187" spans="1:5" ht="15.75" customHeight="1">
      <c r="A187" s="27" t="s">
        <v>764</v>
      </c>
      <c r="B187" s="27">
        <v>100</v>
      </c>
      <c r="C187" s="27">
        <v>60</v>
      </c>
      <c r="D187" s="27">
        <v>250</v>
      </c>
      <c r="E187" s="27">
        <v>310</v>
      </c>
    </row>
    <row r="188" spans="1:5" ht="15.75" customHeight="1">
      <c r="A188" s="1" t="s">
        <v>792</v>
      </c>
    </row>
    <row r="189" spans="1:5" ht="15.75" customHeight="1">
      <c r="A189" s="27" t="s">
        <v>765</v>
      </c>
      <c r="B189" s="27">
        <f>SUMPRODUCT(B185:E185,B186:E186)</f>
        <v>192500</v>
      </c>
    </row>
    <row r="190" spans="1:5" ht="15.75" customHeight="1">
      <c r="A190" s="27" t="s">
        <v>766</v>
      </c>
      <c r="B190" s="27">
        <f>SUMPRODUCT(B185:E185,B187:E187)</f>
        <v>202500</v>
      </c>
    </row>
    <row r="191" spans="1:5" ht="15.75" customHeight="1">
      <c r="A191" s="27" t="s">
        <v>793</v>
      </c>
      <c r="B191" s="133">
        <f>(B190-B189)/B189</f>
        <v>5.1948051948051951E-2</v>
      </c>
      <c r="C191" s="27">
        <f>B190/B189</f>
        <v>1.051948051948052</v>
      </c>
    </row>
    <row r="192" spans="1:5" ht="15.75" customHeight="1">
      <c r="A192" s="116"/>
    </row>
    <row r="193" spans="1:9" ht="15.75" customHeight="1">
      <c r="A193" s="101"/>
      <c r="B193" s="88"/>
      <c r="C193" s="88"/>
      <c r="D193" s="409" t="s">
        <v>794</v>
      </c>
      <c r="E193" s="409"/>
      <c r="F193" s="409"/>
      <c r="G193" s="409"/>
      <c r="H193" s="409"/>
      <c r="I193" s="410"/>
    </row>
    <row r="194" spans="1:9" ht="15.75" customHeight="1">
      <c r="A194" s="93" t="s">
        <v>723</v>
      </c>
      <c r="B194" s="27">
        <v>0.2</v>
      </c>
      <c r="D194" s="402"/>
      <c r="E194" s="402"/>
      <c r="F194" s="402"/>
      <c r="G194" s="402"/>
      <c r="H194" s="402"/>
      <c r="I194" s="411"/>
    </row>
    <row r="195" spans="1:9" ht="15.75" customHeight="1">
      <c r="A195" s="93" t="s">
        <v>725</v>
      </c>
      <c r="B195" s="27">
        <v>0.6</v>
      </c>
      <c r="D195" s="402"/>
      <c r="E195" s="402"/>
      <c r="F195" s="402"/>
      <c r="G195" s="402"/>
      <c r="H195" s="402"/>
      <c r="I195" s="411"/>
    </row>
    <row r="196" spans="1:9" ht="15.75" customHeight="1">
      <c r="A196" s="93" t="s">
        <v>742</v>
      </c>
      <c r="B196" s="27">
        <v>0</v>
      </c>
      <c r="D196" s="402"/>
      <c r="E196" s="402"/>
      <c r="F196" s="402"/>
      <c r="G196" s="402"/>
      <c r="H196" s="402"/>
      <c r="I196" s="411"/>
    </row>
    <row r="197" spans="1:9" ht="15.75" customHeight="1">
      <c r="A197" s="93" t="s">
        <v>744</v>
      </c>
      <c r="B197" s="27">
        <v>0.5</v>
      </c>
      <c r="D197" s="402"/>
      <c r="E197" s="402"/>
      <c r="F197" s="402"/>
      <c r="G197" s="402"/>
      <c r="H197" s="402"/>
      <c r="I197" s="411"/>
    </row>
    <row r="198" spans="1:9" ht="15.75" customHeight="1">
      <c r="A198" s="93" t="s">
        <v>728</v>
      </c>
      <c r="B198" s="27">
        <v>0.4</v>
      </c>
      <c r="D198" s="402"/>
      <c r="E198" s="402"/>
      <c r="F198" s="402"/>
      <c r="G198" s="402"/>
      <c r="H198" s="402"/>
      <c r="I198" s="411"/>
    </row>
    <row r="199" spans="1:9" ht="15.75" customHeight="1">
      <c r="A199" s="93" t="s">
        <v>795</v>
      </c>
      <c r="I199" s="94"/>
    </row>
    <row r="200" spans="1:9" ht="15.75" customHeight="1">
      <c r="A200" s="93" t="s">
        <v>722</v>
      </c>
      <c r="B200" s="27">
        <v>0.5</v>
      </c>
      <c r="C200" s="27" t="s">
        <v>796</v>
      </c>
      <c r="D200" s="133" t="s">
        <v>797</v>
      </c>
      <c r="I200" s="94"/>
    </row>
    <row r="201" spans="1:9" ht="15.75" customHeight="1">
      <c r="A201" s="93" t="s">
        <v>724</v>
      </c>
      <c r="B201" s="27">
        <f>1-B200</f>
        <v>0.5</v>
      </c>
      <c r="I201" s="94"/>
    </row>
    <row r="202" spans="1:9" ht="15.75" customHeight="1">
      <c r="A202" s="95" t="s">
        <v>730</v>
      </c>
      <c r="B202" s="159">
        <f>B201*B197</f>
        <v>0.25</v>
      </c>
      <c r="C202" s="97"/>
      <c r="D202" s="97"/>
      <c r="E202" s="97"/>
      <c r="F202" s="97"/>
      <c r="G202" s="97"/>
      <c r="H202" s="97"/>
      <c r="I202" s="98"/>
    </row>
    <row r="203" spans="1:9" ht="15.75" customHeight="1">
      <c r="A203" s="424"/>
      <c r="B203" s="405"/>
      <c r="C203" s="405"/>
      <c r="D203" s="405"/>
    </row>
    <row r="204" spans="1:9" ht="15.75" customHeight="1">
      <c r="A204" s="101"/>
      <c r="B204" s="88"/>
      <c r="C204" s="88"/>
      <c r="D204" s="409" t="s">
        <v>798</v>
      </c>
      <c r="E204" s="409"/>
      <c r="F204" s="409"/>
      <c r="G204" s="409"/>
      <c r="H204" s="409"/>
      <c r="I204" s="410"/>
    </row>
    <row r="205" spans="1:9" ht="15.75" customHeight="1">
      <c r="A205" s="93" t="s">
        <v>799</v>
      </c>
      <c r="B205" s="34">
        <v>0.2</v>
      </c>
      <c r="D205" s="402"/>
      <c r="E205" s="402"/>
      <c r="F205" s="402"/>
      <c r="G205" s="402"/>
      <c r="H205" s="402"/>
      <c r="I205" s="411"/>
    </row>
    <row r="206" spans="1:9" ht="15.75" customHeight="1">
      <c r="A206" s="93" t="s">
        <v>800</v>
      </c>
      <c r="B206" s="34">
        <v>0.5</v>
      </c>
      <c r="D206" s="402"/>
      <c r="E206" s="402"/>
      <c r="F206" s="402"/>
      <c r="G206" s="402"/>
      <c r="H206" s="402"/>
      <c r="I206" s="411"/>
    </row>
    <row r="207" spans="1:9" ht="15.75" customHeight="1">
      <c r="A207" s="93" t="s">
        <v>801</v>
      </c>
      <c r="B207" s="27">
        <v>0.2</v>
      </c>
      <c r="D207" s="402"/>
      <c r="E207" s="402"/>
      <c r="F207" s="402"/>
      <c r="G207" s="402"/>
      <c r="H207" s="402"/>
      <c r="I207" s="411"/>
    </row>
    <row r="208" spans="1:9" ht="15.75" customHeight="1">
      <c r="A208" s="93" t="s">
        <v>802</v>
      </c>
      <c r="B208" s="27">
        <v>0.8</v>
      </c>
      <c r="D208" s="402"/>
      <c r="E208" s="402"/>
      <c r="F208" s="402"/>
      <c r="G208" s="402"/>
      <c r="H208" s="402"/>
      <c r="I208" s="411"/>
    </row>
    <row r="209" spans="1:9" ht="15.75" customHeight="1">
      <c r="A209" s="93" t="s">
        <v>796</v>
      </c>
      <c r="B209" s="133" t="s">
        <v>803</v>
      </c>
      <c r="D209" s="402"/>
      <c r="E209" s="402"/>
      <c r="F209" s="402"/>
      <c r="G209" s="402"/>
      <c r="H209" s="402"/>
      <c r="I209" s="411"/>
    </row>
    <row r="210" spans="1:9" ht="15.75" customHeight="1">
      <c r="A210" s="95" t="s">
        <v>728</v>
      </c>
      <c r="B210" s="159">
        <f>SUMPRODUCT(B205:B206,B207:B208)</f>
        <v>0.44000000000000006</v>
      </c>
      <c r="C210" s="97"/>
      <c r="D210" s="412"/>
      <c r="E210" s="412"/>
      <c r="F210" s="412"/>
      <c r="G210" s="412"/>
      <c r="H210" s="412"/>
      <c r="I210" s="413"/>
    </row>
    <row r="211" spans="1:9" ht="15.75" customHeight="1">
      <c r="A211" s="424"/>
      <c r="B211" s="405"/>
      <c r="C211" s="405"/>
      <c r="D211" s="405"/>
      <c r="E211" s="405"/>
    </row>
    <row r="212" spans="1:9" ht="15.75" customHeight="1">
      <c r="A212" s="101" t="s">
        <v>799</v>
      </c>
      <c r="B212" s="160">
        <v>0.08</v>
      </c>
      <c r="C212" s="88"/>
      <c r="D212" s="409" t="s">
        <v>804</v>
      </c>
      <c r="E212" s="409"/>
      <c r="F212" s="409"/>
      <c r="G212" s="409"/>
      <c r="H212" s="409"/>
      <c r="I212" s="410"/>
    </row>
    <row r="213" spans="1:9" ht="15.75" customHeight="1">
      <c r="A213" s="93" t="s">
        <v>800</v>
      </c>
      <c r="B213" s="34">
        <v>0.12</v>
      </c>
      <c r="D213" s="402"/>
      <c r="E213" s="402"/>
      <c r="F213" s="402"/>
      <c r="G213" s="402"/>
      <c r="H213" s="402"/>
      <c r="I213" s="411"/>
    </row>
    <row r="214" spans="1:9" ht="15.75" customHeight="1">
      <c r="A214" s="93" t="s">
        <v>805</v>
      </c>
      <c r="B214" s="34">
        <v>0.2</v>
      </c>
      <c r="D214" s="402"/>
      <c r="E214" s="402"/>
      <c r="F214" s="402"/>
      <c r="G214" s="402"/>
      <c r="H214" s="402"/>
      <c r="I214" s="411"/>
    </row>
    <row r="215" spans="1:9" ht="15.75" customHeight="1">
      <c r="A215" s="93" t="s">
        <v>806</v>
      </c>
      <c r="B215" s="34">
        <v>0.24</v>
      </c>
      <c r="D215" s="402"/>
      <c r="E215" s="402"/>
      <c r="F215" s="402"/>
      <c r="G215" s="402"/>
      <c r="H215" s="402"/>
      <c r="I215" s="411"/>
    </row>
    <row r="216" spans="1:9" ht="15.75" customHeight="1">
      <c r="A216" s="93" t="s">
        <v>807</v>
      </c>
      <c r="B216" s="22">
        <v>1</v>
      </c>
      <c r="D216" s="402"/>
      <c r="E216" s="402"/>
      <c r="F216" s="402"/>
      <c r="G216" s="402"/>
      <c r="H216" s="402"/>
      <c r="I216" s="411"/>
    </row>
    <row r="217" spans="1:9" ht="15.75" customHeight="1">
      <c r="A217" s="93"/>
      <c r="D217" s="402"/>
      <c r="E217" s="402"/>
      <c r="F217" s="402"/>
      <c r="G217" s="402"/>
      <c r="H217" s="402"/>
      <c r="I217" s="411"/>
    </row>
    <row r="218" spans="1:9" ht="15.75" customHeight="1">
      <c r="A218" s="93"/>
      <c r="D218" s="402"/>
      <c r="E218" s="402"/>
      <c r="F218" s="402"/>
      <c r="G218" s="402"/>
      <c r="H218" s="402"/>
      <c r="I218" s="411"/>
    </row>
    <row r="219" spans="1:9" ht="15.75" customHeight="1">
      <c r="A219" s="93" t="s">
        <v>290</v>
      </c>
      <c r="B219" s="27">
        <v>0</v>
      </c>
      <c r="D219" s="402"/>
      <c r="E219" s="402"/>
      <c r="F219" s="402"/>
      <c r="G219" s="402"/>
      <c r="H219" s="402"/>
      <c r="I219" s="411"/>
    </row>
    <row r="220" spans="1:9" ht="15.75" customHeight="1">
      <c r="A220" s="93" t="s">
        <v>722</v>
      </c>
      <c r="B220" s="27">
        <f>1-B219</f>
        <v>1</v>
      </c>
      <c r="I220" s="94"/>
    </row>
    <row r="221" spans="1:9" ht="15.75" customHeight="1">
      <c r="A221" s="93" t="s">
        <v>724</v>
      </c>
      <c r="B221" s="27">
        <f>B219</f>
        <v>0</v>
      </c>
      <c r="I221" s="94"/>
    </row>
    <row r="222" spans="1:9" ht="15.75" customHeight="1">
      <c r="A222" s="95" t="s">
        <v>728</v>
      </c>
      <c r="B222" s="161">
        <f>SUMPRODUCT(B212:B213,B220:B221)</f>
        <v>0.08</v>
      </c>
      <c r="C222" s="97"/>
      <c r="D222" s="97"/>
      <c r="E222" s="97"/>
      <c r="F222" s="97"/>
      <c r="G222" s="97"/>
      <c r="H222" s="97"/>
      <c r="I222" s="98"/>
    </row>
    <row r="223" spans="1:9" ht="15.75" customHeight="1">
      <c r="A223" s="426"/>
      <c r="B223" s="405"/>
      <c r="C223" s="405"/>
    </row>
    <row r="224" spans="1:9" ht="15.75" customHeight="1">
      <c r="A224" s="101" t="s">
        <v>799</v>
      </c>
      <c r="B224" s="160">
        <v>0.1</v>
      </c>
      <c r="C224" s="88"/>
      <c r="D224" s="409" t="s">
        <v>808</v>
      </c>
      <c r="E224" s="409"/>
      <c r="F224" s="409"/>
      <c r="G224" s="409"/>
      <c r="H224" s="409"/>
      <c r="I224" s="410"/>
    </row>
    <row r="225" spans="1:9" ht="15.75" customHeight="1">
      <c r="A225" s="93" t="s">
        <v>800</v>
      </c>
      <c r="B225" s="34">
        <v>0.3</v>
      </c>
      <c r="D225" s="402"/>
      <c r="E225" s="402"/>
      <c r="F225" s="402"/>
      <c r="G225" s="402"/>
      <c r="H225" s="402"/>
      <c r="I225" s="411"/>
    </row>
    <row r="226" spans="1:9" ht="15.75" customHeight="1">
      <c r="A226" s="93" t="s">
        <v>805</v>
      </c>
      <c r="B226" s="34">
        <v>0.25</v>
      </c>
      <c r="D226" s="402"/>
      <c r="E226" s="402"/>
      <c r="F226" s="402"/>
      <c r="G226" s="402"/>
      <c r="H226" s="402"/>
      <c r="I226" s="411"/>
    </row>
    <row r="227" spans="1:9" ht="15.75" customHeight="1">
      <c r="A227" s="93" t="s">
        <v>806</v>
      </c>
      <c r="B227" s="34">
        <v>0.45</v>
      </c>
      <c r="D227" s="402"/>
      <c r="E227" s="402"/>
      <c r="F227" s="402"/>
      <c r="G227" s="402"/>
      <c r="H227" s="402"/>
      <c r="I227" s="411"/>
    </row>
    <row r="228" spans="1:9" ht="15.75" customHeight="1">
      <c r="A228" s="93" t="s">
        <v>807</v>
      </c>
      <c r="B228" s="22">
        <v>-1</v>
      </c>
      <c r="D228" s="402"/>
      <c r="E228" s="402"/>
      <c r="F228" s="402"/>
      <c r="G228" s="402"/>
      <c r="H228" s="402"/>
      <c r="I228" s="411"/>
    </row>
    <row r="229" spans="1:9" ht="15.75" customHeight="1">
      <c r="A229" s="93" t="s">
        <v>728</v>
      </c>
      <c r="B229" s="34">
        <v>0.2</v>
      </c>
      <c r="D229" s="402"/>
      <c r="E229" s="402"/>
      <c r="F229" s="402"/>
      <c r="G229" s="402"/>
      <c r="H229" s="402"/>
      <c r="I229" s="411"/>
    </row>
    <row r="230" spans="1:9" ht="15.75" customHeight="1">
      <c r="A230" s="93" t="s">
        <v>809</v>
      </c>
      <c r="D230" s="402"/>
      <c r="E230" s="402"/>
      <c r="F230" s="402"/>
      <c r="G230" s="402"/>
      <c r="H230" s="402"/>
      <c r="I230" s="411"/>
    </row>
    <row r="231" spans="1:9" ht="15.75" customHeight="1">
      <c r="A231" s="93" t="s">
        <v>801</v>
      </c>
      <c r="B231" s="22">
        <v>0.5</v>
      </c>
      <c r="C231" s="133" t="s">
        <v>810</v>
      </c>
      <c r="D231" s="402"/>
      <c r="E231" s="402"/>
      <c r="F231" s="402"/>
      <c r="G231" s="402"/>
      <c r="H231" s="402"/>
      <c r="I231" s="411"/>
    </row>
    <row r="232" spans="1:9" ht="15.75" customHeight="1">
      <c r="A232" s="93" t="s">
        <v>802</v>
      </c>
      <c r="B232" s="27">
        <v>0.5</v>
      </c>
      <c r="I232" s="94"/>
    </row>
    <row r="233" spans="1:9" ht="15.75" customHeight="1">
      <c r="A233" s="95" t="s">
        <v>730</v>
      </c>
      <c r="B233" s="162">
        <f>ABS(B226*B231-B227*B232)</f>
        <v>0.1</v>
      </c>
      <c r="C233" s="97"/>
      <c r="D233" s="97"/>
      <c r="E233" s="97"/>
      <c r="F233" s="97"/>
      <c r="G233" s="97"/>
      <c r="H233" s="97"/>
      <c r="I233" s="98"/>
    </row>
    <row r="234" spans="1:9" ht="15.75" customHeight="1"/>
    <row r="235" spans="1:9" ht="15.75" customHeight="1">
      <c r="A235" s="424"/>
      <c r="B235" s="405"/>
      <c r="C235" s="405"/>
      <c r="D235" s="405"/>
    </row>
    <row r="236" spans="1:9" ht="15.75" customHeight="1">
      <c r="A236" s="101" t="s">
        <v>799</v>
      </c>
      <c r="B236" s="160">
        <v>0.2</v>
      </c>
      <c r="C236" s="88"/>
      <c r="D236" s="409" t="s">
        <v>811</v>
      </c>
      <c r="E236" s="409"/>
      <c r="F236" s="409"/>
      <c r="G236" s="409"/>
      <c r="H236" s="409"/>
      <c r="I236" s="410"/>
    </row>
    <row r="237" spans="1:9" ht="15.75" customHeight="1">
      <c r="A237" s="93" t="s">
        <v>800</v>
      </c>
      <c r="B237" s="34">
        <v>0.3</v>
      </c>
      <c r="D237" s="402"/>
      <c r="E237" s="402"/>
      <c r="F237" s="402"/>
      <c r="G237" s="402"/>
      <c r="H237" s="402"/>
      <c r="I237" s="411"/>
    </row>
    <row r="238" spans="1:9" ht="15.75" customHeight="1">
      <c r="A238" s="93" t="s">
        <v>805</v>
      </c>
      <c r="B238" s="34">
        <v>0.3</v>
      </c>
      <c r="D238" s="402"/>
      <c r="E238" s="402"/>
      <c r="F238" s="402"/>
      <c r="G238" s="402"/>
      <c r="H238" s="402"/>
      <c r="I238" s="411"/>
    </row>
    <row r="239" spans="1:9" ht="15.75" customHeight="1">
      <c r="A239" s="93" t="s">
        <v>806</v>
      </c>
      <c r="B239" s="34">
        <v>0.5</v>
      </c>
      <c r="D239" s="402"/>
      <c r="E239" s="402"/>
      <c r="F239" s="402"/>
      <c r="G239" s="402"/>
      <c r="H239" s="402"/>
      <c r="I239" s="411"/>
    </row>
    <row r="240" spans="1:9" ht="15.75" customHeight="1">
      <c r="A240" s="93" t="s">
        <v>807</v>
      </c>
      <c r="B240" s="22">
        <v>1</v>
      </c>
      <c r="D240" s="402"/>
      <c r="E240" s="402"/>
      <c r="F240" s="402"/>
      <c r="G240" s="402"/>
      <c r="H240" s="402"/>
      <c r="I240" s="411"/>
    </row>
    <row r="241" spans="1:12" ht="15.75" customHeight="1">
      <c r="A241" s="93" t="s">
        <v>728</v>
      </c>
      <c r="B241" s="34">
        <v>0.25</v>
      </c>
      <c r="D241" s="402"/>
      <c r="E241" s="402"/>
      <c r="F241" s="402"/>
      <c r="G241" s="402"/>
      <c r="H241" s="402"/>
      <c r="I241" s="411"/>
    </row>
    <row r="242" spans="1:12" ht="15.75" customHeight="1">
      <c r="A242" s="93" t="s">
        <v>812</v>
      </c>
      <c r="D242" s="402"/>
      <c r="E242" s="402"/>
      <c r="F242" s="402"/>
      <c r="G242" s="402"/>
      <c r="H242" s="402"/>
      <c r="I242" s="411"/>
    </row>
    <row r="243" spans="1:12" ht="15.75" customHeight="1">
      <c r="A243" s="93" t="s">
        <v>801</v>
      </c>
      <c r="B243" s="22">
        <v>0.5</v>
      </c>
      <c r="C243" s="133" t="s">
        <v>810</v>
      </c>
      <c r="D243" s="402"/>
      <c r="E243" s="402"/>
      <c r="F243" s="402"/>
      <c r="G243" s="402"/>
      <c r="H243" s="402"/>
      <c r="I243" s="411"/>
    </row>
    <row r="244" spans="1:12" ht="15.75" customHeight="1">
      <c r="A244" s="93" t="s">
        <v>802</v>
      </c>
      <c r="B244" s="27">
        <v>0.5</v>
      </c>
      <c r="D244" s="402"/>
      <c r="E244" s="402"/>
      <c r="F244" s="402"/>
      <c r="G244" s="402"/>
      <c r="H244" s="402"/>
      <c r="I244" s="411"/>
    </row>
    <row r="245" spans="1:12" ht="15.75" customHeight="1">
      <c r="A245" s="95" t="s">
        <v>730</v>
      </c>
      <c r="B245" s="162">
        <f>SUMPRODUCT(B238:B239,B243:B244)</f>
        <v>0.4</v>
      </c>
      <c r="C245" s="97"/>
      <c r="D245" s="97"/>
      <c r="E245" s="97"/>
      <c r="F245" s="97"/>
      <c r="G245" s="97"/>
      <c r="H245" s="97"/>
      <c r="I245" s="98"/>
    </row>
    <row r="246" spans="1:12" ht="15.75" customHeight="1">
      <c r="A246" s="426"/>
      <c r="B246" s="405"/>
      <c r="C246" s="405"/>
    </row>
    <row r="247" spans="1:12" ht="15.75" customHeight="1">
      <c r="A247" s="101" t="s">
        <v>799</v>
      </c>
      <c r="B247" s="163">
        <v>0.2</v>
      </c>
      <c r="C247" s="88"/>
      <c r="D247" s="88"/>
      <c r="E247" s="88"/>
      <c r="F247" s="88"/>
      <c r="G247" s="409" t="s">
        <v>813</v>
      </c>
      <c r="H247" s="409"/>
      <c r="I247" s="409"/>
      <c r="J247" s="409"/>
      <c r="K247" s="409"/>
      <c r="L247" s="410"/>
    </row>
    <row r="248" spans="1:12" ht="15.75" customHeight="1">
      <c r="A248" s="93" t="s">
        <v>800</v>
      </c>
      <c r="B248" s="22">
        <v>0.9</v>
      </c>
      <c r="G248" s="402"/>
      <c r="H248" s="402"/>
      <c r="I248" s="402"/>
      <c r="J248" s="402"/>
      <c r="K248" s="402"/>
      <c r="L248" s="411"/>
    </row>
    <row r="249" spans="1:12" ht="15.75" customHeight="1">
      <c r="A249" s="93" t="s">
        <v>814</v>
      </c>
      <c r="B249" s="27" t="s">
        <v>408</v>
      </c>
      <c r="C249" s="27" t="s">
        <v>815</v>
      </c>
      <c r="G249" s="402"/>
      <c r="H249" s="402"/>
      <c r="I249" s="402"/>
      <c r="J249" s="402"/>
      <c r="K249" s="402"/>
      <c r="L249" s="411"/>
    </row>
    <row r="250" spans="1:12" ht="15.75" customHeight="1">
      <c r="A250" s="93" t="s">
        <v>805</v>
      </c>
      <c r="B250" s="27">
        <v>0.3</v>
      </c>
      <c r="C250" s="27">
        <f t="shared" ref="C250:C252" si="4">B250^2</f>
        <v>0.09</v>
      </c>
      <c r="G250" s="402"/>
      <c r="H250" s="402"/>
      <c r="I250" s="402"/>
      <c r="J250" s="402"/>
      <c r="K250" s="402"/>
      <c r="L250" s="411"/>
    </row>
    <row r="251" spans="1:12" ht="15.75" customHeight="1">
      <c r="A251" s="93" t="s">
        <v>806</v>
      </c>
      <c r="B251" s="27">
        <v>0.6</v>
      </c>
      <c r="C251" s="27">
        <f t="shared" si="4"/>
        <v>0.36</v>
      </c>
      <c r="G251" s="402"/>
      <c r="H251" s="402"/>
      <c r="I251" s="402"/>
      <c r="J251" s="402"/>
      <c r="K251" s="402"/>
      <c r="L251" s="411"/>
    </row>
    <row r="252" spans="1:12" ht="15.75" customHeight="1">
      <c r="A252" s="93" t="s">
        <v>816</v>
      </c>
      <c r="B252" s="27">
        <v>0.8</v>
      </c>
      <c r="C252" s="27">
        <f t="shared" si="4"/>
        <v>0.64000000000000012</v>
      </c>
      <c r="G252" s="402"/>
      <c r="H252" s="402"/>
      <c r="I252" s="402"/>
      <c r="J252" s="402"/>
      <c r="K252" s="402"/>
      <c r="L252" s="411"/>
    </row>
    <row r="253" spans="1:12" ht="15.75" customHeight="1">
      <c r="A253" s="93" t="s">
        <v>728</v>
      </c>
      <c r="B253" s="27">
        <v>0.75</v>
      </c>
      <c r="D253" s="27" t="s">
        <v>817</v>
      </c>
      <c r="F253" s="27">
        <f>SUM(C250*C251+C250*C252+C251*C252)</f>
        <v>0.32040000000000007</v>
      </c>
      <c r="G253" s="402"/>
      <c r="H253" s="402"/>
      <c r="I253" s="402"/>
      <c r="J253" s="402"/>
      <c r="K253" s="402"/>
      <c r="L253" s="411"/>
    </row>
    <row r="254" spans="1:12" ht="15.75" customHeight="1">
      <c r="A254" s="93" t="s">
        <v>801</v>
      </c>
      <c r="B254" s="133">
        <f>C251*C252/(F253)</f>
        <v>0.7191011235955056</v>
      </c>
      <c r="G254" s="402"/>
      <c r="H254" s="402"/>
      <c r="I254" s="402"/>
      <c r="J254" s="402"/>
      <c r="K254" s="402"/>
      <c r="L254" s="411"/>
    </row>
    <row r="255" spans="1:12" ht="15.75" customHeight="1">
      <c r="A255" s="93" t="s">
        <v>802</v>
      </c>
      <c r="B255" s="133">
        <f>C250*C252/F253</f>
        <v>0.1797752808988764</v>
      </c>
      <c r="G255" s="402"/>
      <c r="H255" s="402"/>
      <c r="I255" s="402"/>
      <c r="J255" s="402"/>
      <c r="K255" s="402"/>
      <c r="L255" s="411"/>
    </row>
    <row r="256" spans="1:12" ht="15.75" customHeight="1">
      <c r="A256" s="93" t="s">
        <v>818</v>
      </c>
      <c r="B256" s="133">
        <f>C250*C251/F253</f>
        <v>0.10112359550561795</v>
      </c>
      <c r="L256" s="94"/>
    </row>
    <row r="257" spans="1:12" ht="15.75" customHeight="1">
      <c r="A257" s="95" t="s">
        <v>814</v>
      </c>
      <c r="B257" s="159">
        <f>(B253*F253-(B247*C251*C252+B248*C250*C252))/(C250*C251)</f>
        <v>4.3944444444444466</v>
      </c>
      <c r="C257" s="97"/>
      <c r="D257" s="97"/>
      <c r="E257" s="97"/>
      <c r="F257" s="97"/>
      <c r="G257" s="97"/>
      <c r="H257" s="97"/>
      <c r="I257" s="97"/>
      <c r="J257" s="97"/>
      <c r="K257" s="97"/>
      <c r="L257" s="98"/>
    </row>
    <row r="258" spans="1:12" ht="15.75" customHeight="1">
      <c r="A258" s="424"/>
      <c r="B258" s="405"/>
      <c r="C258" s="405"/>
      <c r="D258" s="405"/>
    </row>
    <row r="259" spans="1:12" ht="15.75" customHeight="1">
      <c r="A259" s="101" t="s">
        <v>799</v>
      </c>
      <c r="B259" s="160">
        <v>0.2</v>
      </c>
      <c r="C259" s="88"/>
      <c r="D259" s="88"/>
      <c r="E259" s="409" t="s">
        <v>819</v>
      </c>
      <c r="F259" s="409"/>
      <c r="G259" s="409"/>
      <c r="H259" s="409"/>
      <c r="I259" s="409"/>
      <c r="J259" s="409"/>
      <c r="K259" s="410"/>
    </row>
    <row r="260" spans="1:12" ht="15.75" customHeight="1">
      <c r="A260" s="93" t="s">
        <v>800</v>
      </c>
      <c r="B260" s="34">
        <v>0.3</v>
      </c>
      <c r="E260" s="402"/>
      <c r="F260" s="402"/>
      <c r="G260" s="402"/>
      <c r="H260" s="402"/>
      <c r="I260" s="402"/>
      <c r="J260" s="402"/>
      <c r="K260" s="411"/>
    </row>
    <row r="261" spans="1:12" ht="15.75" customHeight="1">
      <c r="A261" s="93" t="s">
        <v>805</v>
      </c>
      <c r="B261" s="34">
        <v>0.3</v>
      </c>
      <c r="E261" s="402"/>
      <c r="F261" s="402"/>
      <c r="G261" s="402"/>
      <c r="H261" s="402"/>
      <c r="I261" s="402"/>
      <c r="J261" s="402"/>
      <c r="K261" s="411"/>
    </row>
    <row r="262" spans="1:12" ht="15.75" customHeight="1">
      <c r="A262" s="93" t="s">
        <v>806</v>
      </c>
      <c r="B262" s="34">
        <v>0.6</v>
      </c>
      <c r="E262" s="402"/>
      <c r="F262" s="402"/>
      <c r="G262" s="402"/>
      <c r="H262" s="402"/>
      <c r="I262" s="402"/>
      <c r="J262" s="402"/>
      <c r="K262" s="411"/>
    </row>
    <row r="263" spans="1:12" ht="15.75" customHeight="1">
      <c r="A263" s="93" t="s">
        <v>807</v>
      </c>
      <c r="B263" s="22">
        <v>1</v>
      </c>
      <c r="E263" s="402"/>
      <c r="F263" s="402"/>
      <c r="G263" s="402"/>
      <c r="H263" s="402"/>
      <c r="I263" s="402"/>
      <c r="J263" s="402"/>
      <c r="K263" s="411"/>
    </row>
    <row r="264" spans="1:12" ht="15.75" customHeight="1">
      <c r="A264" s="93" t="s">
        <v>774</v>
      </c>
      <c r="B264" s="34">
        <v>0.5</v>
      </c>
      <c r="E264" s="402"/>
      <c r="F264" s="402"/>
      <c r="G264" s="402"/>
      <c r="H264" s="402"/>
      <c r="I264" s="402"/>
      <c r="J264" s="402"/>
      <c r="K264" s="411"/>
    </row>
    <row r="265" spans="1:12" ht="15.75" customHeight="1">
      <c r="A265" s="93" t="s">
        <v>820</v>
      </c>
      <c r="E265" s="402"/>
      <c r="F265" s="402"/>
      <c r="G265" s="402"/>
      <c r="H265" s="402"/>
      <c r="I265" s="402"/>
      <c r="J265" s="402"/>
      <c r="K265" s="411"/>
    </row>
    <row r="266" spans="1:12" ht="15.75" customHeight="1">
      <c r="A266" s="93" t="s">
        <v>801</v>
      </c>
      <c r="B266" s="22">
        <f>1/3</f>
        <v>0.33333333333333331</v>
      </c>
      <c r="C266" s="133" t="s">
        <v>821</v>
      </c>
      <c r="E266" s="402"/>
      <c r="F266" s="402"/>
      <c r="G266" s="402"/>
      <c r="H266" s="402"/>
      <c r="I266" s="402"/>
      <c r="J266" s="402"/>
      <c r="K266" s="411"/>
    </row>
    <row r="267" spans="1:12" ht="15.75" customHeight="1">
      <c r="A267" s="93" t="s">
        <v>802</v>
      </c>
      <c r="B267" s="27">
        <f>1-B266</f>
        <v>0.66666666666666674</v>
      </c>
      <c r="K267" s="94"/>
    </row>
    <row r="268" spans="1:12" ht="15.75" customHeight="1">
      <c r="A268" s="95" t="s">
        <v>728</v>
      </c>
      <c r="B268" s="161">
        <f>SUMPRODUCT(B259:B260,B266:B267)</f>
        <v>0.26666666666666666</v>
      </c>
      <c r="C268" s="97"/>
      <c r="D268" s="97"/>
      <c r="E268" s="97"/>
      <c r="F268" s="97"/>
      <c r="G268" s="97"/>
      <c r="H268" s="97"/>
      <c r="I268" s="97"/>
      <c r="J268" s="97"/>
      <c r="K268" s="98"/>
    </row>
    <row r="269" spans="1:12" ht="15.75" customHeight="1">
      <c r="A269" s="424"/>
      <c r="B269" s="405"/>
      <c r="C269" s="405"/>
      <c r="D269" s="405"/>
    </row>
    <row r="270" spans="1:12" ht="15.75" customHeight="1">
      <c r="A270" s="101" t="s">
        <v>799</v>
      </c>
      <c r="B270" s="163" t="s">
        <v>408</v>
      </c>
      <c r="C270" s="88"/>
      <c r="D270" s="88"/>
      <c r="E270" s="88"/>
      <c r="F270" s="88"/>
      <c r="G270" s="409" t="s">
        <v>822</v>
      </c>
      <c r="H270" s="409"/>
      <c r="I270" s="409"/>
      <c r="J270" s="409"/>
      <c r="K270" s="410"/>
    </row>
    <row r="271" spans="1:12" ht="15.75" customHeight="1">
      <c r="A271" s="93" t="s">
        <v>800</v>
      </c>
      <c r="B271" s="22">
        <v>0.3</v>
      </c>
      <c r="G271" s="402"/>
      <c r="H271" s="402"/>
      <c r="I271" s="402"/>
      <c r="J271" s="402"/>
      <c r="K271" s="411"/>
    </row>
    <row r="272" spans="1:12" ht="15.75" customHeight="1">
      <c r="A272" s="93" t="s">
        <v>814</v>
      </c>
      <c r="B272" s="27">
        <v>0.4</v>
      </c>
      <c r="C272" s="27" t="s">
        <v>815</v>
      </c>
      <c r="G272" s="402"/>
      <c r="H272" s="402"/>
      <c r="I272" s="402"/>
      <c r="J272" s="402"/>
      <c r="K272" s="411"/>
    </row>
    <row r="273" spans="1:11" ht="15.75" customHeight="1">
      <c r="A273" s="93" t="s">
        <v>805</v>
      </c>
      <c r="B273" s="27">
        <v>0.7</v>
      </c>
      <c r="C273" s="27">
        <f t="shared" ref="C273:C275" si="5">B273^2</f>
        <v>0.48999999999999994</v>
      </c>
      <c r="G273" s="402"/>
      <c r="H273" s="402"/>
      <c r="I273" s="402"/>
      <c r="J273" s="402"/>
      <c r="K273" s="411"/>
    </row>
    <row r="274" spans="1:11" ht="15.75" customHeight="1">
      <c r="A274" s="93" t="s">
        <v>806</v>
      </c>
      <c r="B274" s="27">
        <v>0.6</v>
      </c>
      <c r="C274" s="27">
        <f t="shared" si="5"/>
        <v>0.36</v>
      </c>
      <c r="G274" s="402"/>
      <c r="H274" s="402"/>
      <c r="I274" s="402"/>
      <c r="J274" s="402"/>
      <c r="K274" s="411"/>
    </row>
    <row r="275" spans="1:11" ht="15.75" customHeight="1">
      <c r="A275" s="93" t="s">
        <v>816</v>
      </c>
      <c r="B275" s="27">
        <v>0.8</v>
      </c>
      <c r="C275" s="27">
        <f t="shared" si="5"/>
        <v>0.64000000000000012</v>
      </c>
      <c r="G275" s="402"/>
      <c r="H275" s="402"/>
      <c r="I275" s="402"/>
      <c r="J275" s="402"/>
      <c r="K275" s="411"/>
    </row>
    <row r="276" spans="1:11" ht="15.75" customHeight="1">
      <c r="A276" s="93" t="s">
        <v>728</v>
      </c>
      <c r="B276" s="27">
        <v>0.5</v>
      </c>
      <c r="D276" s="27" t="s">
        <v>817</v>
      </c>
      <c r="F276" s="27">
        <f>SUM(C273*C274+C273*C275+C274*C275)</f>
        <v>0.72040000000000004</v>
      </c>
      <c r="G276" s="402"/>
      <c r="H276" s="402"/>
      <c r="I276" s="402"/>
      <c r="J276" s="402"/>
      <c r="K276" s="411"/>
    </row>
    <row r="277" spans="1:11" ht="15.75" customHeight="1">
      <c r="A277" s="93" t="s">
        <v>801</v>
      </c>
      <c r="B277" s="133">
        <f>C274*C275/(F276)</f>
        <v>0.31982232093281515</v>
      </c>
      <c r="G277" s="402"/>
      <c r="H277" s="402"/>
      <c r="I277" s="402"/>
      <c r="J277" s="402"/>
      <c r="K277" s="411"/>
    </row>
    <row r="278" spans="1:11" ht="15.75" customHeight="1">
      <c r="A278" s="93" t="s">
        <v>802</v>
      </c>
      <c r="B278" s="133">
        <f>C273*C275/F276</f>
        <v>0.43531371460299839</v>
      </c>
      <c r="G278" s="402"/>
      <c r="H278" s="402"/>
      <c r="I278" s="402"/>
      <c r="J278" s="402"/>
      <c r="K278" s="411"/>
    </row>
    <row r="279" spans="1:11" ht="15.75" customHeight="1">
      <c r="A279" s="93" t="s">
        <v>818</v>
      </c>
      <c r="B279" s="133">
        <f>C273*C274/F276</f>
        <v>0.24486396446418651</v>
      </c>
      <c r="G279" s="402"/>
      <c r="H279" s="402"/>
      <c r="I279" s="402"/>
      <c r="J279" s="402"/>
      <c r="K279" s="411"/>
    </row>
    <row r="280" spans="1:11" ht="15.75" customHeight="1">
      <c r="A280" s="95" t="s">
        <v>814</v>
      </c>
      <c r="B280" s="159">
        <f>(B276*F276-(B272*C274*C273+B271*C273*C275))/(C275*C274)</f>
        <v>0.84878472222222223</v>
      </c>
      <c r="C280" s="97"/>
      <c r="D280" s="97"/>
      <c r="E280" s="97"/>
      <c r="F280" s="97"/>
      <c r="G280" s="97"/>
      <c r="H280" s="97"/>
      <c r="I280" s="97"/>
      <c r="J280" s="97"/>
      <c r="K280" s="98"/>
    </row>
    <row r="281" spans="1:11" ht="15.75" customHeight="1">
      <c r="A281" s="424"/>
      <c r="B281" s="405"/>
      <c r="C281" s="405"/>
      <c r="D281" s="405"/>
    </row>
    <row r="282" spans="1:11" ht="15.75" customHeight="1">
      <c r="A282" s="101" t="s">
        <v>799</v>
      </c>
      <c r="B282" s="163">
        <v>0.3</v>
      </c>
      <c r="C282" s="88"/>
      <c r="D282" s="88"/>
      <c r="E282" s="88"/>
      <c r="F282" s="88"/>
      <c r="G282" s="409" t="s">
        <v>823</v>
      </c>
      <c r="H282" s="409"/>
      <c r="I282" s="409"/>
      <c r="J282" s="409"/>
      <c r="K282" s="410"/>
    </row>
    <row r="283" spans="1:11" ht="15.75" customHeight="1">
      <c r="A283" s="93" t="s">
        <v>800</v>
      </c>
      <c r="B283" s="22">
        <v>0.2</v>
      </c>
      <c r="G283" s="402"/>
      <c r="H283" s="402"/>
      <c r="I283" s="402"/>
      <c r="J283" s="402"/>
      <c r="K283" s="411"/>
    </row>
    <row r="284" spans="1:11" ht="15.75" customHeight="1">
      <c r="A284" s="93" t="s">
        <v>814</v>
      </c>
      <c r="B284" s="27">
        <v>0.4</v>
      </c>
      <c r="C284" s="27" t="s">
        <v>815</v>
      </c>
      <c r="G284" s="402"/>
      <c r="H284" s="402"/>
      <c r="I284" s="402"/>
      <c r="J284" s="402"/>
      <c r="K284" s="411"/>
    </row>
    <row r="285" spans="1:11" ht="15.75" customHeight="1">
      <c r="A285" s="93" t="s">
        <v>805</v>
      </c>
      <c r="B285" s="27">
        <v>0.7</v>
      </c>
      <c r="C285" s="27">
        <f t="shared" ref="C285:C287" si="6">B285^2</f>
        <v>0.48999999999999994</v>
      </c>
      <c r="G285" s="402"/>
      <c r="H285" s="402"/>
      <c r="I285" s="402"/>
      <c r="J285" s="402"/>
      <c r="K285" s="411"/>
    </row>
    <row r="286" spans="1:11" ht="15.75" customHeight="1">
      <c r="A286" s="93" t="s">
        <v>806</v>
      </c>
      <c r="B286" s="27">
        <v>0.6</v>
      </c>
      <c r="C286" s="27">
        <f t="shared" si="6"/>
        <v>0.36</v>
      </c>
      <c r="G286" s="402"/>
      <c r="H286" s="402"/>
      <c r="I286" s="402"/>
      <c r="J286" s="402"/>
      <c r="K286" s="411"/>
    </row>
    <row r="287" spans="1:11" ht="15.75" customHeight="1">
      <c r="A287" s="93" t="s">
        <v>816</v>
      </c>
      <c r="B287" s="27">
        <v>0.8</v>
      </c>
      <c r="C287" s="27">
        <f t="shared" si="6"/>
        <v>0.64000000000000012</v>
      </c>
      <c r="G287" s="402"/>
      <c r="H287" s="402"/>
      <c r="I287" s="402"/>
      <c r="J287" s="402"/>
      <c r="K287" s="411"/>
    </row>
    <row r="288" spans="1:11" ht="15.75" customHeight="1">
      <c r="A288" s="93"/>
      <c r="D288" s="27" t="s">
        <v>817</v>
      </c>
      <c r="F288" s="27">
        <f>SUM(C285*C286+C285*C287+C286*C287)</f>
        <v>0.72040000000000004</v>
      </c>
      <c r="G288" s="402"/>
      <c r="H288" s="402"/>
      <c r="I288" s="402"/>
      <c r="J288" s="402"/>
      <c r="K288" s="411"/>
    </row>
    <row r="289" spans="1:11" ht="15.75" customHeight="1">
      <c r="A289" s="93" t="s">
        <v>801</v>
      </c>
      <c r="B289" s="133">
        <f>C286*C287/(F288)</f>
        <v>0.31982232093281515</v>
      </c>
      <c r="G289" s="402"/>
      <c r="H289" s="402"/>
      <c r="I289" s="402"/>
      <c r="J289" s="402"/>
      <c r="K289" s="411"/>
    </row>
    <row r="290" spans="1:11" ht="15.75" customHeight="1">
      <c r="A290" s="93" t="s">
        <v>802</v>
      </c>
      <c r="B290" s="133">
        <f>C285*C287/F288</f>
        <v>0.43531371460299839</v>
      </c>
      <c r="K290" s="94"/>
    </row>
    <row r="291" spans="1:11" ht="15.75" customHeight="1">
      <c r="A291" s="93" t="s">
        <v>818</v>
      </c>
      <c r="B291" s="133">
        <f>C285*C286/F288</f>
        <v>0.24486396446418651</v>
      </c>
      <c r="K291" s="94"/>
    </row>
    <row r="292" spans="1:11" ht="15.75" customHeight="1">
      <c r="A292" s="93" t="s">
        <v>728</v>
      </c>
      <c r="B292" s="133">
        <f>(B282*C286*C287+B283*C285*C287+B284*C286*C285)/F288</f>
        <v>0.2809550249861188</v>
      </c>
      <c r="K292" s="94"/>
    </row>
    <row r="293" spans="1:11" ht="15.75" customHeight="1">
      <c r="A293" s="95" t="s">
        <v>730</v>
      </c>
      <c r="B293" s="159">
        <f>PRODUCT(B285:B287)/SQRT(C286*C287+C285*C287+C285*C286)</f>
        <v>0.39586984888606941</v>
      </c>
      <c r="C293" s="97"/>
      <c r="D293" s="97"/>
      <c r="E293" s="97"/>
      <c r="F293" s="97"/>
      <c r="G293" s="97"/>
      <c r="H293" s="97"/>
      <c r="I293" s="97"/>
      <c r="J293" s="97"/>
      <c r="K293" s="98"/>
    </row>
    <row r="294" spans="1:11" ht="15.75" customHeight="1">
      <c r="A294" s="424"/>
      <c r="B294" s="405"/>
      <c r="C294" s="405"/>
    </row>
    <row r="295" spans="1:11" ht="15.75" customHeight="1">
      <c r="A295" s="101" t="s">
        <v>799</v>
      </c>
      <c r="B295" s="160">
        <v>0.2</v>
      </c>
      <c r="C295" s="88"/>
      <c r="D295" s="88"/>
      <c r="E295" s="409" t="s">
        <v>824</v>
      </c>
      <c r="F295" s="409"/>
      <c r="G295" s="409"/>
      <c r="H295" s="409"/>
      <c r="I295" s="410"/>
    </row>
    <row r="296" spans="1:11" ht="15.75" customHeight="1">
      <c r="A296" s="93" t="s">
        <v>800</v>
      </c>
      <c r="B296" s="34">
        <v>0.7</v>
      </c>
      <c r="E296" s="402"/>
      <c r="F296" s="402"/>
      <c r="G296" s="402"/>
      <c r="H296" s="402"/>
      <c r="I296" s="411"/>
    </row>
    <row r="297" spans="1:11" ht="15.75" customHeight="1">
      <c r="A297" s="93" t="s">
        <v>801</v>
      </c>
      <c r="B297" s="22">
        <f>1/4</f>
        <v>0.25</v>
      </c>
      <c r="C297" s="133" t="s">
        <v>825</v>
      </c>
      <c r="E297" s="402"/>
      <c r="F297" s="402"/>
      <c r="G297" s="402"/>
      <c r="H297" s="402"/>
      <c r="I297" s="411"/>
    </row>
    <row r="298" spans="1:11" ht="15.75" customHeight="1">
      <c r="A298" s="93" t="s">
        <v>802</v>
      </c>
      <c r="B298" s="27">
        <f>1-B297</f>
        <v>0.75</v>
      </c>
      <c r="E298" s="402"/>
      <c r="F298" s="402"/>
      <c r="G298" s="402"/>
      <c r="H298" s="402"/>
      <c r="I298" s="411"/>
    </row>
    <row r="299" spans="1:11" ht="15.75" customHeight="1">
      <c r="A299" s="95" t="s">
        <v>728</v>
      </c>
      <c r="B299" s="164">
        <f>SUMPRODUCT(B295:B296,B297:B298)</f>
        <v>0.57499999999999996</v>
      </c>
      <c r="C299" s="97"/>
      <c r="D299" s="97"/>
      <c r="E299" s="412"/>
      <c r="F299" s="412"/>
      <c r="G299" s="412"/>
      <c r="H299" s="412"/>
      <c r="I299" s="413"/>
    </row>
    <row r="300" spans="1:11" ht="15.75" customHeight="1">
      <c r="A300" s="424"/>
      <c r="B300" s="405"/>
      <c r="C300" s="405"/>
      <c r="D300" s="405"/>
    </row>
    <row r="301" spans="1:11" ht="15.75" customHeight="1">
      <c r="A301" s="101" t="s">
        <v>799</v>
      </c>
      <c r="B301" s="160">
        <v>0.1</v>
      </c>
      <c r="C301" s="88"/>
      <c r="D301" s="88"/>
      <c r="E301" s="409" t="s">
        <v>826</v>
      </c>
      <c r="F301" s="409"/>
      <c r="G301" s="409"/>
      <c r="H301" s="409"/>
      <c r="I301" s="410"/>
    </row>
    <row r="302" spans="1:11" ht="15.75" customHeight="1">
      <c r="A302" s="93" t="s">
        <v>800</v>
      </c>
      <c r="B302" s="34">
        <v>0.3</v>
      </c>
      <c r="E302" s="402"/>
      <c r="F302" s="402"/>
      <c r="G302" s="402"/>
      <c r="H302" s="402"/>
      <c r="I302" s="411"/>
    </row>
    <row r="303" spans="1:11" ht="15.75" customHeight="1">
      <c r="A303" s="93" t="s">
        <v>805</v>
      </c>
      <c r="B303" s="34">
        <v>0.3</v>
      </c>
      <c r="E303" s="402"/>
      <c r="F303" s="402"/>
      <c r="G303" s="402"/>
      <c r="H303" s="402"/>
      <c r="I303" s="411"/>
    </row>
    <row r="304" spans="1:11" ht="15.75" customHeight="1">
      <c r="A304" s="93" t="s">
        <v>806</v>
      </c>
      <c r="B304" s="34">
        <v>0.6</v>
      </c>
      <c r="E304" s="402"/>
      <c r="F304" s="402"/>
      <c r="G304" s="402"/>
      <c r="H304" s="402"/>
      <c r="I304" s="411"/>
    </row>
    <row r="305" spans="1:12" ht="15.75" customHeight="1">
      <c r="A305" s="93" t="s">
        <v>827</v>
      </c>
      <c r="B305" s="22">
        <v>-1</v>
      </c>
      <c r="E305" s="402"/>
      <c r="F305" s="402"/>
      <c r="G305" s="402"/>
      <c r="H305" s="402"/>
      <c r="I305" s="411"/>
    </row>
    <row r="306" spans="1:12" ht="15.75" customHeight="1">
      <c r="A306" s="93" t="s">
        <v>801</v>
      </c>
      <c r="B306" s="34">
        <f>B304/SUM($B$303:$B$304)</f>
        <v>0.66666666666666674</v>
      </c>
      <c r="C306" s="133" t="s">
        <v>828</v>
      </c>
      <c r="E306" s="402"/>
      <c r="F306" s="402"/>
      <c r="G306" s="402"/>
      <c r="H306" s="402"/>
      <c r="I306" s="411"/>
    </row>
    <row r="307" spans="1:12" ht="15.75" customHeight="1">
      <c r="A307" s="93" t="s">
        <v>802</v>
      </c>
      <c r="B307" s="34">
        <f>B303/SUM($B$303:$B$304)</f>
        <v>0.33333333333333337</v>
      </c>
      <c r="E307" s="402"/>
      <c r="F307" s="402"/>
      <c r="G307" s="402"/>
      <c r="H307" s="402"/>
      <c r="I307" s="411"/>
    </row>
    <row r="308" spans="1:12" ht="15.75" customHeight="1">
      <c r="A308" s="93" t="s">
        <v>728</v>
      </c>
      <c r="B308" s="165">
        <f>SUMPRODUCT(B301:B302,B306:B307)</f>
        <v>0.16666666666666669</v>
      </c>
      <c r="I308" s="94"/>
    </row>
    <row r="309" spans="1:12" ht="15.75" customHeight="1">
      <c r="A309" s="93" t="s">
        <v>829</v>
      </c>
      <c r="I309" s="94"/>
    </row>
    <row r="310" spans="1:12" ht="15.75" customHeight="1">
      <c r="A310" s="93" t="s">
        <v>801</v>
      </c>
      <c r="B310" s="27">
        <v>0</v>
      </c>
      <c r="I310" s="94"/>
    </row>
    <row r="311" spans="1:12" ht="15.75" customHeight="1">
      <c r="A311" s="93" t="s">
        <v>802</v>
      </c>
      <c r="B311" s="27">
        <v>1</v>
      </c>
      <c r="I311" s="94"/>
    </row>
    <row r="312" spans="1:12" ht="15.75" customHeight="1">
      <c r="A312" s="95" t="s">
        <v>730</v>
      </c>
      <c r="B312" s="156">
        <f>SUMPRODUCT(B303:B304,B310:B311)</f>
        <v>0.6</v>
      </c>
      <c r="C312" s="97"/>
      <c r="D312" s="97"/>
      <c r="E312" s="97"/>
      <c r="F312" s="97"/>
      <c r="G312" s="97"/>
      <c r="H312" s="97"/>
      <c r="I312" s="98"/>
    </row>
    <row r="313" spans="1:12" ht="15.75" customHeight="1">
      <c r="A313" s="424"/>
      <c r="B313" s="405"/>
      <c r="C313" s="405"/>
    </row>
    <row r="314" spans="1:12" ht="15.75" customHeight="1">
      <c r="A314" s="101"/>
      <c r="B314" s="88"/>
      <c r="C314" s="88"/>
      <c r="D314" s="88"/>
      <c r="E314" s="88"/>
      <c r="F314" s="88"/>
      <c r="G314" s="88"/>
      <c r="H314" s="409" t="s">
        <v>830</v>
      </c>
      <c r="I314" s="409"/>
      <c r="J314" s="409"/>
      <c r="K314" s="409"/>
      <c r="L314" s="410"/>
    </row>
    <row r="315" spans="1:12" ht="15.75" customHeight="1">
      <c r="A315" s="93" t="s">
        <v>799</v>
      </c>
      <c r="B315" s="22">
        <v>0.2</v>
      </c>
      <c r="H315" s="402"/>
      <c r="I315" s="402"/>
      <c r="J315" s="402"/>
      <c r="K315" s="402"/>
      <c r="L315" s="411"/>
    </row>
    <row r="316" spans="1:12" ht="15.75" customHeight="1">
      <c r="A316" s="93" t="s">
        <v>800</v>
      </c>
      <c r="B316" s="22">
        <v>0.4</v>
      </c>
      <c r="H316" s="402"/>
      <c r="I316" s="402"/>
      <c r="J316" s="402"/>
      <c r="K316" s="402"/>
      <c r="L316" s="411"/>
    </row>
    <row r="317" spans="1:12" ht="15.75" customHeight="1">
      <c r="A317" s="93" t="s">
        <v>805</v>
      </c>
      <c r="B317" s="22">
        <v>0.6</v>
      </c>
      <c r="H317" s="402"/>
      <c r="I317" s="402"/>
      <c r="J317" s="402"/>
      <c r="K317" s="402"/>
      <c r="L317" s="411"/>
    </row>
    <row r="318" spans="1:12" ht="15.75" customHeight="1">
      <c r="A318" s="93" t="s">
        <v>806</v>
      </c>
      <c r="B318" s="22">
        <v>0.9</v>
      </c>
      <c r="H318" s="402"/>
      <c r="I318" s="402"/>
      <c r="J318" s="402"/>
      <c r="K318" s="402"/>
      <c r="L318" s="411"/>
    </row>
    <row r="319" spans="1:12" ht="15.75" customHeight="1">
      <c r="A319" s="93" t="s">
        <v>827</v>
      </c>
      <c r="B319" s="22">
        <v>-1</v>
      </c>
      <c r="D319" s="27" t="s">
        <v>831</v>
      </c>
      <c r="H319" s="402"/>
      <c r="I319" s="402"/>
      <c r="J319" s="402"/>
      <c r="K319" s="402"/>
      <c r="L319" s="411"/>
    </row>
    <row r="320" spans="1:12" ht="15.75" customHeight="1">
      <c r="A320" s="93" t="s">
        <v>801</v>
      </c>
      <c r="B320" s="22">
        <f>B318/SUM(B317:B318)</f>
        <v>0.6</v>
      </c>
      <c r="C320" s="133" t="s">
        <v>832</v>
      </c>
      <c r="H320" s="402"/>
      <c r="I320" s="402"/>
      <c r="J320" s="402"/>
      <c r="K320" s="402"/>
      <c r="L320" s="411"/>
    </row>
    <row r="321" spans="1:12" ht="15.75" customHeight="1">
      <c r="A321" s="93" t="s">
        <v>802</v>
      </c>
      <c r="B321" s="22">
        <f>B317/SUM(B317:B318)</f>
        <v>0.39999999999999997</v>
      </c>
      <c r="H321" s="402"/>
      <c r="I321" s="402"/>
      <c r="J321" s="402"/>
      <c r="K321" s="402"/>
      <c r="L321" s="411"/>
    </row>
    <row r="322" spans="1:12" ht="15.75" customHeight="1">
      <c r="A322" s="93" t="s">
        <v>728</v>
      </c>
      <c r="B322" s="165">
        <f>SUMPRODUCT(B315:B316,B320:B321)</f>
        <v>0.28000000000000003</v>
      </c>
      <c r="L322" s="94"/>
    </row>
    <row r="323" spans="1:12" ht="15.75" customHeight="1">
      <c r="A323" s="95" t="s">
        <v>833</v>
      </c>
      <c r="B323" s="97"/>
      <c r="C323" s="162">
        <f>B315*B321+B316*B320</f>
        <v>0.32</v>
      </c>
      <c r="D323" s="97"/>
      <c r="E323" s="97"/>
      <c r="F323" s="97"/>
      <c r="G323" s="97"/>
      <c r="H323" s="97"/>
      <c r="I323" s="97"/>
      <c r="J323" s="97"/>
      <c r="K323" s="97"/>
      <c r="L323" s="98"/>
    </row>
    <row r="324" spans="1:12" ht="15.75" customHeight="1">
      <c r="A324" s="424"/>
      <c r="B324" s="405"/>
      <c r="C324" s="405"/>
      <c r="D324" s="405"/>
    </row>
    <row r="325" spans="1:12" ht="15.75" customHeight="1">
      <c r="A325" s="101" t="s">
        <v>799</v>
      </c>
      <c r="B325" s="160">
        <v>0.1</v>
      </c>
      <c r="C325" s="88"/>
      <c r="D325" s="88"/>
      <c r="E325" s="88"/>
      <c r="F325" s="88"/>
      <c r="G325" s="409" t="s">
        <v>834</v>
      </c>
      <c r="H325" s="409"/>
      <c r="I325" s="409"/>
      <c r="J325" s="409"/>
      <c r="K325" s="409"/>
      <c r="L325" s="410"/>
    </row>
    <row r="326" spans="1:12" ht="15.75" customHeight="1">
      <c r="A326" s="93" t="s">
        <v>800</v>
      </c>
      <c r="B326" s="34">
        <v>0.2</v>
      </c>
      <c r="C326" s="27" t="s">
        <v>815</v>
      </c>
      <c r="G326" s="402"/>
      <c r="H326" s="402"/>
      <c r="I326" s="402"/>
      <c r="J326" s="402"/>
      <c r="K326" s="402"/>
      <c r="L326" s="411"/>
    </row>
    <row r="327" spans="1:12" ht="15.75" customHeight="1">
      <c r="A327" s="93" t="s">
        <v>805</v>
      </c>
      <c r="B327" s="34">
        <v>0.2</v>
      </c>
      <c r="C327" s="27">
        <f t="shared" ref="C327:C328" si="7">B327^2</f>
        <v>4.0000000000000008E-2</v>
      </c>
      <c r="D327" s="27" t="s">
        <v>835</v>
      </c>
      <c r="F327" s="27">
        <f>B329*B327*B328</f>
        <v>2.4E-2</v>
      </c>
      <c r="G327" s="402"/>
      <c r="H327" s="402"/>
      <c r="I327" s="402"/>
      <c r="J327" s="402"/>
      <c r="K327" s="402"/>
      <c r="L327" s="411"/>
    </row>
    <row r="328" spans="1:12" ht="15.75" customHeight="1">
      <c r="A328" s="93" t="s">
        <v>806</v>
      </c>
      <c r="B328" s="34">
        <v>0.4</v>
      </c>
      <c r="C328" s="27">
        <f t="shared" si="7"/>
        <v>0.16000000000000003</v>
      </c>
      <c r="D328" s="27" t="s">
        <v>836</v>
      </c>
      <c r="F328" s="27">
        <f>(C327+C328-2*F327)</f>
        <v>0.15200000000000002</v>
      </c>
      <c r="G328" s="402"/>
      <c r="H328" s="402"/>
      <c r="I328" s="402"/>
      <c r="J328" s="402"/>
      <c r="K328" s="402"/>
      <c r="L328" s="411"/>
    </row>
    <row r="329" spans="1:12" ht="15.75" customHeight="1">
      <c r="A329" s="93" t="s">
        <v>827</v>
      </c>
      <c r="B329" s="22">
        <v>0.3</v>
      </c>
      <c r="C329" s="27" t="s">
        <v>837</v>
      </c>
      <c r="G329" s="402"/>
      <c r="H329" s="402"/>
      <c r="I329" s="402"/>
      <c r="J329" s="402"/>
      <c r="K329" s="402"/>
      <c r="L329" s="411"/>
    </row>
    <row r="330" spans="1:12" ht="15.75" customHeight="1">
      <c r="A330" s="93" t="s">
        <v>801</v>
      </c>
      <c r="B330" s="133">
        <f>(C328-F327)/F328</f>
        <v>0.89473684210526327</v>
      </c>
      <c r="C330" s="27">
        <f t="shared" ref="C330:C331" si="8">B330^2</f>
        <v>0.80055401662049885</v>
      </c>
      <c r="G330" s="402"/>
      <c r="H330" s="402"/>
      <c r="I330" s="402"/>
      <c r="J330" s="402"/>
      <c r="K330" s="402"/>
      <c r="L330" s="411"/>
    </row>
    <row r="331" spans="1:12" ht="15.75" customHeight="1">
      <c r="A331" s="93" t="s">
        <v>802</v>
      </c>
      <c r="B331" s="133">
        <f>(C327-F327)/F328</f>
        <v>0.10526315789473688</v>
      </c>
      <c r="C331" s="27">
        <f t="shared" si="8"/>
        <v>1.1080332409972306E-2</v>
      </c>
      <c r="G331" s="402"/>
      <c r="H331" s="402"/>
      <c r="I331" s="402"/>
      <c r="J331" s="402"/>
      <c r="K331" s="402"/>
      <c r="L331" s="411"/>
    </row>
    <row r="332" spans="1:12" ht="15.75" customHeight="1">
      <c r="A332" s="93" t="s">
        <v>728</v>
      </c>
      <c r="B332" s="165">
        <f>SUMPRODUCT(B325:B326,B330:B331)</f>
        <v>0.11052631578947371</v>
      </c>
      <c r="G332" s="402"/>
      <c r="H332" s="402"/>
      <c r="I332" s="402"/>
      <c r="J332" s="402"/>
      <c r="K332" s="402"/>
      <c r="L332" s="411"/>
    </row>
    <row r="333" spans="1:12" ht="15.75" customHeight="1">
      <c r="A333" s="95" t="s">
        <v>730</v>
      </c>
      <c r="B333" s="166">
        <f>SQRT(C330*C327+2*B330*B331*B329*B327*B328+C331*C328)</f>
        <v>0.1957441939718372</v>
      </c>
      <c r="C333" s="97"/>
      <c r="D333" s="97"/>
      <c r="E333" s="97"/>
      <c r="F333" s="97"/>
      <c r="G333" s="97"/>
      <c r="H333" s="97"/>
      <c r="I333" s="97"/>
      <c r="J333" s="97"/>
      <c r="K333" s="97"/>
      <c r="L333" s="98"/>
    </row>
    <row r="334" spans="1:12" ht="15.75" customHeight="1">
      <c r="A334" s="424"/>
      <c r="B334" s="405"/>
      <c r="C334" s="405"/>
      <c r="D334" s="405"/>
    </row>
    <row r="335" spans="1:12" ht="15.75" customHeight="1">
      <c r="A335" s="101" t="s">
        <v>799</v>
      </c>
      <c r="B335" s="160">
        <v>0.1</v>
      </c>
      <c r="C335" s="88"/>
      <c r="D335" s="88"/>
      <c r="E335" s="409" t="s">
        <v>838</v>
      </c>
      <c r="F335" s="409"/>
      <c r="G335" s="409"/>
      <c r="H335" s="409"/>
      <c r="I335" s="409"/>
      <c r="J335" s="410"/>
    </row>
    <row r="336" spans="1:12" ht="15.75" customHeight="1">
      <c r="A336" s="93" t="s">
        <v>800</v>
      </c>
      <c r="B336" s="34">
        <v>0.2</v>
      </c>
      <c r="C336" s="27" t="s">
        <v>815</v>
      </c>
      <c r="E336" s="402"/>
      <c r="F336" s="402"/>
      <c r="G336" s="402"/>
      <c r="H336" s="402"/>
      <c r="I336" s="402"/>
      <c r="J336" s="411"/>
    </row>
    <row r="337" spans="1:10" ht="15.75" customHeight="1">
      <c r="A337" s="93" t="s">
        <v>805</v>
      </c>
      <c r="B337" s="34">
        <v>0.15</v>
      </c>
      <c r="C337" s="27">
        <f t="shared" ref="C337:C338" si="9">B337^2</f>
        <v>2.2499999999999999E-2</v>
      </c>
      <c r="E337" s="402"/>
      <c r="F337" s="402"/>
      <c r="G337" s="402"/>
      <c r="H337" s="402"/>
      <c r="I337" s="402"/>
      <c r="J337" s="411"/>
    </row>
    <row r="338" spans="1:10" ht="15.75" customHeight="1">
      <c r="A338" s="93" t="s">
        <v>806</v>
      </c>
      <c r="B338" s="34">
        <v>0.3</v>
      </c>
      <c r="C338" s="27">
        <f t="shared" si="9"/>
        <v>0.09</v>
      </c>
      <c r="E338" s="402"/>
      <c r="F338" s="402"/>
      <c r="G338" s="402"/>
      <c r="H338" s="402"/>
      <c r="I338" s="402"/>
      <c r="J338" s="411"/>
    </row>
    <row r="339" spans="1:10" ht="15.75" customHeight="1">
      <c r="A339" s="93" t="s">
        <v>827</v>
      </c>
      <c r="B339" s="22">
        <v>-0.5</v>
      </c>
      <c r="E339" s="402"/>
      <c r="F339" s="402"/>
      <c r="G339" s="402"/>
      <c r="H339" s="402"/>
      <c r="I339" s="402"/>
      <c r="J339" s="411"/>
    </row>
    <row r="340" spans="1:10" ht="15.75" customHeight="1">
      <c r="A340" s="93" t="s">
        <v>728</v>
      </c>
      <c r="B340" s="36">
        <v>0.14000000000000001</v>
      </c>
      <c r="E340" s="402"/>
      <c r="F340" s="402"/>
      <c r="G340" s="402"/>
      <c r="H340" s="402"/>
      <c r="I340" s="402"/>
      <c r="J340" s="411"/>
    </row>
    <row r="341" spans="1:10" ht="15.75" customHeight="1">
      <c r="A341" s="93" t="s">
        <v>839</v>
      </c>
      <c r="B341" s="36"/>
      <c r="E341" s="402"/>
      <c r="F341" s="402"/>
      <c r="G341" s="402"/>
      <c r="H341" s="402"/>
      <c r="I341" s="402"/>
      <c r="J341" s="411"/>
    </row>
    <row r="342" spans="1:10" ht="15.75" customHeight="1">
      <c r="A342" s="93"/>
      <c r="B342" s="36"/>
      <c r="C342" s="27" t="s">
        <v>837</v>
      </c>
      <c r="J342" s="94"/>
    </row>
    <row r="343" spans="1:10" ht="15.75" customHeight="1">
      <c r="A343" s="93" t="s">
        <v>801</v>
      </c>
      <c r="B343" s="22">
        <v>0.6</v>
      </c>
      <c r="C343" s="27">
        <f t="shared" ref="C343:C344" si="10">B343^2</f>
        <v>0.36</v>
      </c>
      <c r="D343" s="133" t="s">
        <v>840</v>
      </c>
      <c r="J343" s="94"/>
    </row>
    <row r="344" spans="1:10" ht="15.75" customHeight="1">
      <c r="A344" s="93" t="s">
        <v>802</v>
      </c>
      <c r="B344" s="22">
        <f>1-B343</f>
        <v>0.4</v>
      </c>
      <c r="C344" s="27">
        <f t="shared" si="10"/>
        <v>0.16000000000000003</v>
      </c>
      <c r="J344" s="94"/>
    </row>
    <row r="345" spans="1:10" ht="15.75" customHeight="1">
      <c r="A345" s="93"/>
      <c r="J345" s="94"/>
    </row>
    <row r="346" spans="1:10" ht="15.75" customHeight="1">
      <c r="A346" s="95" t="s">
        <v>729</v>
      </c>
      <c r="B346" s="166">
        <f>SQRT(C343*C337+C344*C338+2*B343*B344*B337*B338*B339)</f>
        <v>0.1081665382639197</v>
      </c>
      <c r="C346" s="97"/>
      <c r="D346" s="97"/>
      <c r="E346" s="97"/>
      <c r="F346" s="97"/>
      <c r="G346" s="97"/>
      <c r="H346" s="97"/>
      <c r="I346" s="97"/>
      <c r="J346" s="98"/>
    </row>
    <row r="347" spans="1:10" ht="15.75" customHeight="1">
      <c r="A347" s="424"/>
      <c r="B347" s="405"/>
      <c r="C347" s="405"/>
      <c r="D347" s="405"/>
    </row>
    <row r="348" spans="1:10" ht="15.75" customHeight="1">
      <c r="A348" s="101" t="s">
        <v>799</v>
      </c>
      <c r="B348" s="160">
        <v>0.1</v>
      </c>
      <c r="C348" s="88"/>
      <c r="D348" s="88"/>
      <c r="E348" s="409" t="s">
        <v>841</v>
      </c>
      <c r="F348" s="409"/>
      <c r="G348" s="409"/>
      <c r="H348" s="409"/>
      <c r="I348" s="409"/>
      <c r="J348" s="410"/>
    </row>
    <row r="349" spans="1:10" ht="15.75" customHeight="1">
      <c r="A349" s="93" t="s">
        <v>800</v>
      </c>
      <c r="B349" s="34">
        <v>0.2</v>
      </c>
      <c r="E349" s="402"/>
      <c r="F349" s="402"/>
      <c r="G349" s="402"/>
      <c r="H349" s="402"/>
      <c r="I349" s="402"/>
      <c r="J349" s="411"/>
    </row>
    <row r="350" spans="1:10" ht="15.75" customHeight="1">
      <c r="A350" s="93" t="s">
        <v>805</v>
      </c>
      <c r="B350" s="27" t="s">
        <v>842</v>
      </c>
      <c r="E350" s="402"/>
      <c r="F350" s="402"/>
      <c r="G350" s="402"/>
      <c r="H350" s="402"/>
      <c r="I350" s="402"/>
      <c r="J350" s="411"/>
    </row>
    <row r="351" spans="1:10" ht="15.75" customHeight="1">
      <c r="A351" s="93" t="s">
        <v>806</v>
      </c>
      <c r="B351" s="27" t="s">
        <v>843</v>
      </c>
      <c r="C351" s="27" t="s">
        <v>844</v>
      </c>
      <c r="E351" s="402"/>
      <c r="F351" s="402"/>
      <c r="G351" s="402"/>
      <c r="H351" s="402"/>
      <c r="I351" s="402"/>
      <c r="J351" s="411"/>
    </row>
    <row r="352" spans="1:10" ht="15.75" customHeight="1">
      <c r="A352" s="93" t="s">
        <v>730</v>
      </c>
      <c r="B352" s="34">
        <v>0.12</v>
      </c>
      <c r="C352" s="27">
        <f t="shared" ref="C352:C354" si="11">B352^2</f>
        <v>1.44E-2</v>
      </c>
      <c r="E352" s="402"/>
      <c r="F352" s="402"/>
      <c r="G352" s="402"/>
      <c r="H352" s="402"/>
      <c r="I352" s="402"/>
      <c r="J352" s="411"/>
    </row>
    <row r="353" spans="1:10" ht="15.75" customHeight="1">
      <c r="A353" s="93" t="s">
        <v>801</v>
      </c>
      <c r="B353" s="133">
        <f>4^2/(4^2+3^2)</f>
        <v>0.64</v>
      </c>
      <c r="C353" s="27">
        <f t="shared" si="11"/>
        <v>0.40960000000000002</v>
      </c>
      <c r="E353" s="402"/>
      <c r="F353" s="402"/>
      <c r="G353" s="402"/>
      <c r="H353" s="402"/>
      <c r="I353" s="402"/>
      <c r="J353" s="411"/>
    </row>
    <row r="354" spans="1:10" ht="15.75" customHeight="1">
      <c r="A354" s="93" t="s">
        <v>802</v>
      </c>
      <c r="B354" s="133">
        <f>3^2/(4^2+3^2)</f>
        <v>0.36</v>
      </c>
      <c r="C354" s="27">
        <f t="shared" si="11"/>
        <v>0.12959999999999999</v>
      </c>
      <c r="E354" s="402"/>
      <c r="F354" s="402"/>
      <c r="G354" s="402"/>
      <c r="H354" s="402"/>
      <c r="I354" s="402"/>
      <c r="J354" s="411"/>
    </row>
    <row r="355" spans="1:10" ht="15.75" customHeight="1">
      <c r="A355" s="93" t="s">
        <v>845</v>
      </c>
      <c r="E355" s="402"/>
      <c r="F355" s="402"/>
      <c r="G355" s="402"/>
      <c r="H355" s="402"/>
      <c r="I355" s="402"/>
      <c r="J355" s="411"/>
    </row>
    <row r="356" spans="1:10" ht="15.75" customHeight="1">
      <c r="A356" s="93" t="s">
        <v>846</v>
      </c>
      <c r="B356" s="27">
        <f>SQRT(0.0144/(0.4096*9+0.1296*16))</f>
        <v>0.05</v>
      </c>
      <c r="J356" s="94"/>
    </row>
    <row r="357" spans="1:10" ht="15.75" customHeight="1">
      <c r="A357" s="93" t="s">
        <v>805</v>
      </c>
      <c r="B357" s="158">
        <f>B356*3</f>
        <v>0.15000000000000002</v>
      </c>
      <c r="J357" s="94"/>
    </row>
    <row r="358" spans="1:10" ht="15.75" customHeight="1">
      <c r="A358" s="93" t="s">
        <v>806</v>
      </c>
      <c r="B358" s="158">
        <f>B356*4</f>
        <v>0.2</v>
      </c>
      <c r="J358" s="94"/>
    </row>
    <row r="359" spans="1:10" ht="15.75" customHeight="1">
      <c r="A359" s="95" t="s">
        <v>728</v>
      </c>
      <c r="B359" s="164">
        <f>SUMPRODUCT(B348:B349,B353:B354)</f>
        <v>0.13600000000000001</v>
      </c>
      <c r="C359" s="97"/>
      <c r="D359" s="97"/>
      <c r="E359" s="97"/>
      <c r="F359" s="97"/>
      <c r="G359" s="97"/>
      <c r="H359" s="97"/>
      <c r="I359" s="97"/>
      <c r="J359" s="98"/>
    </row>
    <row r="360" spans="1:10" ht="15.75" customHeight="1">
      <c r="A360" s="426"/>
      <c r="B360" s="405"/>
      <c r="C360" s="405"/>
    </row>
    <row r="361" spans="1:10" ht="15.75" customHeight="1">
      <c r="A361" s="101" t="s">
        <v>801</v>
      </c>
      <c r="B361" s="167">
        <v>0.2</v>
      </c>
      <c r="C361" s="88"/>
      <c r="D361" s="409" t="s">
        <v>847</v>
      </c>
      <c r="E361" s="409"/>
      <c r="F361" s="409"/>
      <c r="G361" s="409"/>
      <c r="H361" s="410"/>
    </row>
    <row r="362" spans="1:10" ht="15.75" customHeight="1">
      <c r="A362" s="93" t="s">
        <v>802</v>
      </c>
      <c r="B362" s="27" t="s">
        <v>848</v>
      </c>
      <c r="D362" s="402"/>
      <c r="E362" s="402"/>
      <c r="F362" s="402"/>
      <c r="G362" s="402"/>
      <c r="H362" s="411"/>
    </row>
    <row r="363" spans="1:10" ht="15.75" customHeight="1">
      <c r="A363" s="93" t="s">
        <v>818</v>
      </c>
      <c r="B363" s="27" t="s">
        <v>849</v>
      </c>
      <c r="D363" s="402"/>
      <c r="E363" s="402"/>
      <c r="F363" s="402"/>
      <c r="G363" s="402"/>
      <c r="H363" s="411"/>
    </row>
    <row r="364" spans="1:10" ht="15.75" customHeight="1">
      <c r="A364" s="93" t="s">
        <v>850</v>
      </c>
      <c r="D364" s="402"/>
      <c r="E364" s="402"/>
      <c r="F364" s="402"/>
      <c r="G364" s="402"/>
      <c r="H364" s="411"/>
    </row>
    <row r="365" spans="1:10" ht="15.75" customHeight="1">
      <c r="A365" s="93" t="s">
        <v>851</v>
      </c>
      <c r="B365" s="27">
        <f>0.4/3</f>
        <v>0.13333333333333333</v>
      </c>
      <c r="D365" s="402"/>
      <c r="E365" s="402"/>
      <c r="F365" s="402"/>
      <c r="G365" s="402"/>
      <c r="H365" s="411"/>
    </row>
    <row r="366" spans="1:10" ht="15.75" customHeight="1">
      <c r="A366" s="93" t="s">
        <v>802</v>
      </c>
      <c r="B366" s="133">
        <f>B361+B365</f>
        <v>0.33333333333333337</v>
      </c>
      <c r="H366" s="94"/>
    </row>
    <row r="367" spans="1:10" ht="15.75" customHeight="1">
      <c r="A367" s="95" t="s">
        <v>818</v>
      </c>
      <c r="B367" s="159">
        <f>B361+2*B365</f>
        <v>0.46666666666666667</v>
      </c>
      <c r="C367" s="97"/>
      <c r="D367" s="97"/>
      <c r="E367" s="97"/>
      <c r="F367" s="97"/>
      <c r="G367" s="97"/>
      <c r="H367" s="98"/>
    </row>
    <row r="368" spans="1:10" ht="15.75" customHeight="1">
      <c r="A368" s="424"/>
      <c r="B368" s="405"/>
      <c r="C368" s="405"/>
    </row>
    <row r="369" spans="1:8" ht="15.75" customHeight="1">
      <c r="A369" s="101" t="s">
        <v>801</v>
      </c>
      <c r="B369" s="102" t="s">
        <v>852</v>
      </c>
      <c r="C369" s="88"/>
      <c r="D369" s="409" t="s">
        <v>853</v>
      </c>
      <c r="E369" s="409"/>
      <c r="F369" s="409"/>
      <c r="G369" s="409"/>
      <c r="H369" s="410"/>
    </row>
    <row r="370" spans="1:8" ht="15.75" customHeight="1">
      <c r="A370" s="93" t="s">
        <v>802</v>
      </c>
      <c r="B370" s="133">
        <v>0.22</v>
      </c>
      <c r="D370" s="402"/>
      <c r="E370" s="402"/>
      <c r="F370" s="402"/>
      <c r="G370" s="402"/>
      <c r="H370" s="411"/>
    </row>
    <row r="371" spans="1:8" ht="15.75" customHeight="1">
      <c r="A371" s="93" t="s">
        <v>818</v>
      </c>
      <c r="B371" s="27" t="s">
        <v>408</v>
      </c>
      <c r="D371" s="402"/>
      <c r="E371" s="402"/>
      <c r="F371" s="402"/>
      <c r="G371" s="402"/>
      <c r="H371" s="411"/>
    </row>
    <row r="372" spans="1:8" ht="15.75" customHeight="1">
      <c r="A372" s="93" t="s">
        <v>850</v>
      </c>
      <c r="D372" s="402"/>
      <c r="E372" s="402"/>
      <c r="F372" s="402"/>
      <c r="G372" s="402"/>
      <c r="H372" s="411"/>
    </row>
    <row r="373" spans="1:8" ht="15.75" customHeight="1">
      <c r="A373" s="93" t="s">
        <v>818</v>
      </c>
      <c r="B373" s="133">
        <f>(1-B370)/(2+7.54%)</f>
        <v>0.37583116507661174</v>
      </c>
      <c r="D373" s="402"/>
      <c r="E373" s="402"/>
      <c r="F373" s="402"/>
      <c r="G373" s="402"/>
      <c r="H373" s="411"/>
    </row>
    <row r="374" spans="1:8" ht="15.75" customHeight="1">
      <c r="A374" s="95" t="s">
        <v>801</v>
      </c>
      <c r="B374" s="159">
        <f>B373*(1+7.54%)</f>
        <v>0.40416883492338823</v>
      </c>
      <c r="C374" s="97"/>
      <c r="D374" s="97"/>
      <c r="E374" s="97"/>
      <c r="F374" s="97"/>
      <c r="G374" s="97"/>
      <c r="H374" s="98"/>
    </row>
    <row r="375" spans="1:8" ht="15.75" customHeight="1">
      <c r="A375" s="424"/>
      <c r="B375" s="405"/>
      <c r="C375" s="405"/>
    </row>
    <row r="376" spans="1:8" ht="15.75" customHeight="1">
      <c r="A376" s="101" t="s">
        <v>801</v>
      </c>
      <c r="B376" s="167">
        <v>0.4</v>
      </c>
      <c r="C376" s="88"/>
      <c r="D376" s="409" t="s">
        <v>854</v>
      </c>
      <c r="E376" s="409"/>
      <c r="F376" s="409"/>
      <c r="G376" s="409"/>
      <c r="H376" s="410"/>
    </row>
    <row r="377" spans="1:8" ht="15.75" customHeight="1">
      <c r="A377" s="93" t="s">
        <v>802</v>
      </c>
      <c r="B377" s="27" t="s">
        <v>855</v>
      </c>
      <c r="D377" s="402"/>
      <c r="E377" s="402"/>
      <c r="F377" s="402"/>
      <c r="G377" s="402"/>
      <c r="H377" s="411"/>
    </row>
    <row r="378" spans="1:8" ht="15.75" customHeight="1">
      <c r="A378" s="93" t="s">
        <v>818</v>
      </c>
      <c r="B378" s="27" t="s">
        <v>408</v>
      </c>
      <c r="D378" s="402"/>
      <c r="E378" s="402"/>
      <c r="F378" s="402"/>
      <c r="G378" s="402"/>
      <c r="H378" s="411"/>
    </row>
    <row r="379" spans="1:8" ht="15.75" customHeight="1">
      <c r="A379" s="93" t="s">
        <v>850</v>
      </c>
      <c r="D379" s="402"/>
      <c r="E379" s="402"/>
      <c r="F379" s="402"/>
      <c r="G379" s="402"/>
      <c r="H379" s="411"/>
    </row>
    <row r="380" spans="1:8" ht="15.75" customHeight="1">
      <c r="A380" s="93" t="s">
        <v>818</v>
      </c>
      <c r="B380" s="133">
        <f>(1-B376)/2.4</f>
        <v>0.25</v>
      </c>
      <c r="D380" s="402"/>
      <c r="E380" s="402"/>
      <c r="F380" s="402"/>
      <c r="G380" s="402"/>
      <c r="H380" s="411"/>
    </row>
    <row r="381" spans="1:8" ht="15.75" customHeight="1">
      <c r="A381" s="95" t="s">
        <v>802</v>
      </c>
      <c r="B381" s="159">
        <f>B380*1.4</f>
        <v>0.35</v>
      </c>
      <c r="C381" s="97"/>
      <c r="D381" s="412"/>
      <c r="E381" s="412"/>
      <c r="F381" s="412"/>
      <c r="G381" s="412"/>
      <c r="H381" s="413"/>
    </row>
    <row r="382" spans="1:8" ht="15.75" customHeight="1">
      <c r="B382" s="124" t="s">
        <v>73</v>
      </c>
    </row>
    <row r="383" spans="1:8" ht="15.75" customHeight="1">
      <c r="A383" s="145"/>
    </row>
    <row r="384" spans="1:8" ht="15.75" customHeight="1">
      <c r="A384" s="1" t="s">
        <v>856</v>
      </c>
    </row>
    <row r="385" spans="1:1" ht="15.75" customHeight="1">
      <c r="A385" s="1"/>
    </row>
    <row r="386" spans="1:1" ht="15.75" customHeight="1">
      <c r="A386" s="1" t="s">
        <v>857</v>
      </c>
    </row>
    <row r="387" spans="1:1" ht="15.75" customHeight="1">
      <c r="A387" s="145"/>
    </row>
    <row r="388" spans="1:1" ht="15.75" customHeight="1">
      <c r="A388" s="168"/>
    </row>
    <row r="389" spans="1:1" ht="15.75" customHeight="1">
      <c r="A389" s="169"/>
    </row>
    <row r="390" spans="1:1" ht="15.75" customHeight="1">
      <c r="A390" s="169"/>
    </row>
    <row r="391" spans="1:1" ht="15.75" customHeight="1">
      <c r="A391" s="170"/>
    </row>
    <row r="392" spans="1:1" ht="15.75" customHeight="1">
      <c r="A392" s="171"/>
    </row>
    <row r="393" spans="1:1" ht="15.75" customHeight="1">
      <c r="A393" s="171" t="s">
        <v>858</v>
      </c>
    </row>
    <row r="394" spans="1:1" ht="15.75" customHeight="1">
      <c r="A394" s="171"/>
    </row>
    <row r="395" spans="1:1" ht="15.75" customHeight="1">
      <c r="A395" s="171" t="s">
        <v>859</v>
      </c>
    </row>
    <row r="396" spans="1:1" ht="15.75" customHeight="1">
      <c r="A396" s="171"/>
    </row>
    <row r="397" spans="1:1" ht="15.75" customHeight="1">
      <c r="A397" s="171" t="s">
        <v>860</v>
      </c>
    </row>
    <row r="398" spans="1:1" ht="15.75" customHeight="1">
      <c r="A398" s="171"/>
    </row>
    <row r="399" spans="1:1" ht="15.75" customHeight="1">
      <c r="A399" s="171" t="s">
        <v>861</v>
      </c>
    </row>
    <row r="400" spans="1:1" ht="15.75" customHeight="1">
      <c r="A400" s="171"/>
    </row>
    <row r="401" spans="1:1" ht="15.75" customHeight="1">
      <c r="A401" s="171" t="s">
        <v>862</v>
      </c>
    </row>
    <row r="402" spans="1:1" ht="15.75" customHeight="1">
      <c r="A402" s="171"/>
    </row>
    <row r="403" spans="1:1" ht="15.75" customHeight="1">
      <c r="A403" s="171" t="s">
        <v>863</v>
      </c>
    </row>
    <row r="404" spans="1:1" ht="15.75" customHeight="1">
      <c r="A404" s="171"/>
    </row>
    <row r="405" spans="1:1" ht="15.75" customHeight="1">
      <c r="A405" s="171" t="s">
        <v>864</v>
      </c>
    </row>
    <row r="406" spans="1:1" ht="15.75" customHeight="1">
      <c r="A406" s="169"/>
    </row>
    <row r="407" spans="1:1" ht="15.75" customHeight="1">
      <c r="A407" s="169" t="s">
        <v>865</v>
      </c>
    </row>
    <row r="408" spans="1:1" ht="15.75" customHeight="1">
      <c r="A408" s="171"/>
    </row>
    <row r="409" spans="1:1" ht="15.75" customHeight="1">
      <c r="A409" s="171" t="s">
        <v>866</v>
      </c>
    </row>
    <row r="410" spans="1:1" ht="15.75" customHeight="1">
      <c r="A410" s="171"/>
    </row>
    <row r="411" spans="1:1" ht="15.75" customHeight="1">
      <c r="A411" s="171" t="s">
        <v>867</v>
      </c>
    </row>
    <row r="412" spans="1:1" ht="15.75" customHeight="1">
      <c r="A412" s="171"/>
    </row>
    <row r="413" spans="1:1" ht="15.75" customHeight="1">
      <c r="A413" s="171" t="s">
        <v>868</v>
      </c>
    </row>
    <row r="414" spans="1:1" ht="15.75" customHeight="1">
      <c r="A414" s="171"/>
    </row>
    <row r="415" spans="1:1" ht="15.75" customHeight="1">
      <c r="A415" s="171" t="s">
        <v>869</v>
      </c>
    </row>
    <row r="416" spans="1:1" ht="15.75" customHeight="1">
      <c r="A416" s="171"/>
    </row>
    <row r="417" spans="1:1" ht="15.75" customHeight="1">
      <c r="A417" s="171" t="s">
        <v>870</v>
      </c>
    </row>
    <row r="418" spans="1:1" ht="15.75" customHeight="1">
      <c r="A418" s="171"/>
    </row>
    <row r="419" spans="1:1" ht="15.75" customHeight="1">
      <c r="A419" s="171" t="s">
        <v>871</v>
      </c>
    </row>
    <row r="420" spans="1:1" ht="15.75" customHeight="1">
      <c r="A420" s="171"/>
    </row>
    <row r="421" spans="1:1" ht="15.75" customHeight="1">
      <c r="A421" s="171" t="s">
        <v>872</v>
      </c>
    </row>
    <row r="422" spans="1:1" ht="15.75" customHeight="1">
      <c r="A422" s="171"/>
    </row>
    <row r="423" spans="1:1" ht="15.75" customHeight="1">
      <c r="A423" s="171" t="s">
        <v>873</v>
      </c>
    </row>
    <row r="424" spans="1:1" ht="15.75" customHeight="1">
      <c r="A424" s="171"/>
    </row>
    <row r="425" spans="1:1" ht="15.75" customHeight="1">
      <c r="A425" s="171" t="s">
        <v>874</v>
      </c>
    </row>
    <row r="426" spans="1:1" ht="15.75" customHeight="1">
      <c r="A426" s="171"/>
    </row>
    <row r="427" spans="1:1" ht="15.75" customHeight="1">
      <c r="A427" s="171" t="s">
        <v>875</v>
      </c>
    </row>
    <row r="428" spans="1:1" ht="15.75" customHeight="1">
      <c r="A428" s="171"/>
    </row>
    <row r="429" spans="1:1" ht="15.75" customHeight="1">
      <c r="A429" s="171" t="s">
        <v>876</v>
      </c>
    </row>
    <row r="430" spans="1:1" ht="15.75" customHeight="1">
      <c r="A430" s="169"/>
    </row>
    <row r="431" spans="1:1" ht="15.75" customHeight="1">
      <c r="A431" s="169" t="s">
        <v>877</v>
      </c>
    </row>
    <row r="432" spans="1:1" ht="15.75" customHeight="1">
      <c r="A432" s="171"/>
    </row>
    <row r="433" spans="1:1" ht="15.75" customHeight="1">
      <c r="A433" s="171" t="s">
        <v>878</v>
      </c>
    </row>
    <row r="434" spans="1:1" ht="15.75" customHeight="1">
      <c r="A434" s="171"/>
    </row>
    <row r="435" spans="1:1" ht="15.75" customHeight="1">
      <c r="A435" s="171" t="s">
        <v>879</v>
      </c>
    </row>
    <row r="436" spans="1:1" ht="15.75" customHeight="1">
      <c r="A436" s="171"/>
    </row>
    <row r="437" spans="1:1" ht="15.75" customHeight="1">
      <c r="A437" s="171" t="s">
        <v>880</v>
      </c>
    </row>
    <row r="438" spans="1:1" ht="15.75" customHeight="1">
      <c r="A438" s="171"/>
    </row>
    <row r="439" spans="1:1" ht="15.75" customHeight="1">
      <c r="A439" s="171" t="s">
        <v>881</v>
      </c>
    </row>
    <row r="440" spans="1:1" ht="15.75" customHeight="1">
      <c r="A440" s="171"/>
    </row>
    <row r="441" spans="1:1" ht="15.75" customHeight="1">
      <c r="A441" s="171" t="s">
        <v>882</v>
      </c>
    </row>
    <row r="442" spans="1:1" ht="15.75" customHeight="1">
      <c r="A442" s="171"/>
    </row>
    <row r="443" spans="1:1" ht="15.75" customHeight="1">
      <c r="A443" s="171" t="s">
        <v>883</v>
      </c>
    </row>
    <row r="444" spans="1:1" ht="15.75" customHeight="1">
      <c r="A444" s="171"/>
    </row>
    <row r="445" spans="1:1" ht="15.75" customHeight="1">
      <c r="A445" s="171" t="s">
        <v>884</v>
      </c>
    </row>
    <row r="446" spans="1:1" ht="15.75" customHeight="1">
      <c r="A446" s="171"/>
    </row>
    <row r="447" spans="1:1" ht="15.75" customHeight="1">
      <c r="A447" s="171" t="s">
        <v>885</v>
      </c>
    </row>
    <row r="448" spans="1:1" ht="15.75" customHeight="1">
      <c r="A448" s="169"/>
    </row>
    <row r="449" spans="1:1" ht="15.75" customHeight="1">
      <c r="A449" s="169" t="s">
        <v>886</v>
      </c>
    </row>
    <row r="450" spans="1:1" ht="15.75" customHeight="1">
      <c r="A450" s="171"/>
    </row>
    <row r="451" spans="1:1" ht="15.75" customHeight="1">
      <c r="A451" s="171" t="s">
        <v>887</v>
      </c>
    </row>
    <row r="452" spans="1:1" ht="15.75" customHeight="1">
      <c r="A452" s="171"/>
    </row>
    <row r="453" spans="1:1" ht="15.75" customHeight="1">
      <c r="A453" s="171" t="s">
        <v>888</v>
      </c>
    </row>
    <row r="454" spans="1:1" ht="15.75" customHeight="1">
      <c r="A454" s="171"/>
    </row>
    <row r="455" spans="1:1" ht="15.75" customHeight="1">
      <c r="A455" s="171" t="s">
        <v>889</v>
      </c>
    </row>
    <row r="456" spans="1:1" ht="15.75" customHeight="1">
      <c r="A456" s="171"/>
    </row>
    <row r="457" spans="1:1" ht="15.75" customHeight="1">
      <c r="A457" s="171" t="s">
        <v>890</v>
      </c>
    </row>
    <row r="458" spans="1:1" ht="15.75" customHeight="1">
      <c r="A458" s="171"/>
    </row>
    <row r="459" spans="1:1" ht="15.75" customHeight="1">
      <c r="A459" s="171" t="s">
        <v>891</v>
      </c>
    </row>
    <row r="460" spans="1:1" ht="15.75" customHeight="1">
      <c r="A460" s="171"/>
    </row>
    <row r="461" spans="1:1" ht="15.75" customHeight="1">
      <c r="A461" s="171" t="s">
        <v>892</v>
      </c>
    </row>
    <row r="462" spans="1:1" ht="15.75" customHeight="1">
      <c r="A462" s="171"/>
    </row>
    <row r="463" spans="1:1" ht="15.75" customHeight="1">
      <c r="A463" s="171" t="s">
        <v>893</v>
      </c>
    </row>
    <row r="464" spans="1:1" ht="15.75" customHeight="1">
      <c r="A464" s="171"/>
    </row>
    <row r="465" spans="1:1" ht="15.75" customHeight="1">
      <c r="A465" s="171" t="s">
        <v>894</v>
      </c>
    </row>
    <row r="466" spans="1:1" ht="15.75" customHeight="1"/>
    <row r="467" spans="1:1" ht="15.75" customHeight="1"/>
    <row r="468" spans="1:1" ht="15.75" customHeight="1"/>
    <row r="469" spans="1:1" ht="15.75" customHeight="1"/>
    <row r="470" spans="1:1" ht="15.75" customHeight="1"/>
    <row r="471" spans="1:1" ht="15.75" customHeight="1"/>
    <row r="472" spans="1:1" ht="15.75" customHeight="1"/>
    <row r="473" spans="1:1" ht="15.75" customHeight="1"/>
    <row r="474" spans="1:1" ht="15.75" customHeight="1"/>
    <row r="475" spans="1:1" ht="15.75" customHeight="1"/>
    <row r="476" spans="1:1" ht="15.75" customHeight="1"/>
    <row r="477" spans="1:1" ht="15.75" customHeight="1"/>
    <row r="478" spans="1:1" ht="15.75" customHeight="1"/>
    <row r="479" spans="1:1" ht="15.75" customHeight="1"/>
    <row r="480" spans="1:1"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sheetData>
  <mergeCells count="45">
    <mergeCell ref="A203:D203"/>
    <mergeCell ref="G94:L99"/>
    <mergeCell ref="D102:K109"/>
    <mergeCell ref="A115:C115"/>
    <mergeCell ref="D116:J121"/>
    <mergeCell ref="A127:C127"/>
    <mergeCell ref="D128:J133"/>
    <mergeCell ref="A142:C142"/>
    <mergeCell ref="D143:I147"/>
    <mergeCell ref="A165:C165"/>
    <mergeCell ref="E165:J169"/>
    <mergeCell ref="D193:I198"/>
    <mergeCell ref="A269:D269"/>
    <mergeCell ref="D204:I210"/>
    <mergeCell ref="A211:E211"/>
    <mergeCell ref="D212:I219"/>
    <mergeCell ref="A223:C223"/>
    <mergeCell ref="D224:I231"/>
    <mergeCell ref="A235:D235"/>
    <mergeCell ref="D236:I244"/>
    <mergeCell ref="A246:C246"/>
    <mergeCell ref="G247:L255"/>
    <mergeCell ref="A258:D258"/>
    <mergeCell ref="E259:K266"/>
    <mergeCell ref="A334:D334"/>
    <mergeCell ref="G270:K279"/>
    <mergeCell ref="A281:D281"/>
    <mergeCell ref="G282:K289"/>
    <mergeCell ref="A294:C294"/>
    <mergeCell ref="E295:I299"/>
    <mergeCell ref="A300:D300"/>
    <mergeCell ref="E301:I307"/>
    <mergeCell ref="A313:C313"/>
    <mergeCell ref="H314:L321"/>
    <mergeCell ref="A324:D324"/>
    <mergeCell ref="G325:L332"/>
    <mergeCell ref="D369:H373"/>
    <mergeCell ref="A375:C375"/>
    <mergeCell ref="D376:H381"/>
    <mergeCell ref="E335:J341"/>
    <mergeCell ref="A347:D347"/>
    <mergeCell ref="E348:J355"/>
    <mergeCell ref="A360:C360"/>
    <mergeCell ref="D361:H365"/>
    <mergeCell ref="A368:C36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77033-A3C4-443C-AEA8-F054778CFB69}">
  <dimension ref="A1:Z1260"/>
  <sheetViews>
    <sheetView topLeftCell="A472" zoomScale="90" zoomScaleNormal="90" workbookViewId="0">
      <selection activeCell="J419" sqref="J419"/>
    </sheetView>
  </sheetViews>
  <sheetFormatPr defaultColWidth="14.42578125" defaultRowHeight="15"/>
  <cols>
    <col min="2" max="2" width="15.7109375" bestFit="1" customWidth="1"/>
  </cols>
  <sheetData>
    <row r="1" spans="1:26" ht="15" customHeight="1">
      <c r="A1" s="172"/>
      <c r="B1" s="172"/>
      <c r="C1" s="172"/>
      <c r="D1" s="172"/>
      <c r="E1" s="21" t="s">
        <v>895</v>
      </c>
      <c r="F1" s="172"/>
      <c r="G1" s="172"/>
      <c r="H1" s="172"/>
      <c r="I1" s="172"/>
      <c r="J1" s="172"/>
      <c r="K1" s="172"/>
      <c r="L1" s="172"/>
      <c r="M1" s="172"/>
      <c r="N1" s="172"/>
      <c r="O1" s="172"/>
      <c r="P1" s="172"/>
      <c r="Q1" s="172"/>
      <c r="R1" s="172"/>
      <c r="S1" s="172"/>
      <c r="T1" s="172"/>
      <c r="U1" s="172"/>
      <c r="V1" s="172"/>
      <c r="W1" s="172"/>
      <c r="X1" s="172"/>
      <c r="Y1" s="172"/>
      <c r="Z1" s="172"/>
    </row>
    <row r="2" spans="1:26" ht="15" customHeight="1">
      <c r="A2" s="78"/>
      <c r="B2" s="172"/>
      <c r="C2" s="172"/>
      <c r="D2" s="172"/>
      <c r="E2" s="172"/>
      <c r="F2" s="172"/>
      <c r="G2" s="172"/>
      <c r="H2" s="172"/>
      <c r="I2" s="172"/>
      <c r="J2" s="172"/>
      <c r="K2" s="172"/>
      <c r="L2" s="172"/>
      <c r="M2" s="172"/>
      <c r="N2" s="172"/>
      <c r="O2" s="172"/>
      <c r="P2" s="172"/>
      <c r="Q2" s="172"/>
      <c r="R2" s="172"/>
      <c r="S2" s="172"/>
      <c r="T2" s="172"/>
      <c r="U2" s="172"/>
      <c r="V2" s="172"/>
      <c r="W2" s="172"/>
      <c r="X2" s="172"/>
      <c r="Y2" s="172"/>
      <c r="Z2" s="172"/>
    </row>
    <row r="3" spans="1:26" ht="15" customHeight="1">
      <c r="A3" s="26" t="s">
        <v>896</v>
      </c>
      <c r="B3" s="172"/>
      <c r="C3" s="172"/>
      <c r="D3" s="172"/>
      <c r="E3" s="172"/>
      <c r="F3" s="172"/>
      <c r="G3" s="172"/>
      <c r="H3" s="172"/>
      <c r="I3" s="172"/>
      <c r="J3" s="172"/>
      <c r="K3" s="172"/>
      <c r="L3" s="172"/>
      <c r="M3" s="172"/>
      <c r="N3" s="172"/>
      <c r="O3" s="172"/>
      <c r="P3" s="172"/>
      <c r="Q3" s="172"/>
      <c r="R3" s="172"/>
      <c r="S3" s="172"/>
      <c r="T3" s="172"/>
      <c r="U3" s="172"/>
      <c r="V3" s="172"/>
      <c r="W3" s="172"/>
      <c r="X3" s="172"/>
      <c r="Y3" s="172"/>
      <c r="Z3" s="172"/>
    </row>
    <row r="4" spans="1:26" ht="15" customHeight="1">
      <c r="A4" s="26"/>
      <c r="B4" s="172"/>
      <c r="C4" s="172"/>
      <c r="D4" s="172"/>
      <c r="E4" s="172"/>
      <c r="F4" s="172"/>
      <c r="G4" s="172"/>
      <c r="H4" s="172"/>
      <c r="I4" s="172"/>
      <c r="J4" s="172"/>
      <c r="K4" s="172"/>
      <c r="L4" s="172"/>
      <c r="M4" s="172"/>
      <c r="N4" s="172"/>
      <c r="O4" s="172"/>
      <c r="P4" s="172"/>
      <c r="Q4" s="172"/>
      <c r="R4" s="172"/>
      <c r="S4" s="172"/>
      <c r="T4" s="172"/>
      <c r="U4" s="172"/>
      <c r="V4" s="172"/>
      <c r="W4" s="172"/>
      <c r="X4" s="172"/>
      <c r="Y4" s="172"/>
      <c r="Z4" s="172"/>
    </row>
    <row r="5" spans="1:26" ht="15" customHeight="1">
      <c r="A5" s="26" t="s">
        <v>273</v>
      </c>
      <c r="B5" s="172">
        <v>1500</v>
      </c>
      <c r="C5" s="172"/>
      <c r="D5" s="172"/>
      <c r="E5" s="172"/>
      <c r="F5" s="172"/>
      <c r="G5" s="172"/>
      <c r="H5" s="172"/>
      <c r="I5" s="172"/>
      <c r="J5" s="172"/>
      <c r="K5" s="172"/>
      <c r="L5" s="172"/>
      <c r="M5" s="172"/>
      <c r="N5" s="172"/>
      <c r="O5" s="172"/>
      <c r="P5" s="172"/>
      <c r="Q5" s="172"/>
      <c r="R5" s="172"/>
      <c r="S5" s="172"/>
      <c r="T5" s="172"/>
      <c r="U5" s="172"/>
      <c r="V5" s="172"/>
      <c r="W5" s="172"/>
      <c r="X5" s="172"/>
      <c r="Y5" s="172"/>
      <c r="Z5" s="172"/>
    </row>
    <row r="6" spans="1:26" ht="15" customHeight="1">
      <c r="A6" s="26" t="s">
        <v>897</v>
      </c>
      <c r="B6" s="344">
        <v>0.15</v>
      </c>
      <c r="C6" s="172"/>
      <c r="D6" s="172"/>
      <c r="E6" s="172"/>
      <c r="F6" s="172"/>
      <c r="G6" s="172"/>
      <c r="H6" s="172"/>
      <c r="I6" s="172"/>
      <c r="J6" s="172"/>
      <c r="K6" s="172"/>
      <c r="L6" s="172"/>
      <c r="M6" s="172"/>
      <c r="N6" s="172"/>
      <c r="O6" s="172"/>
      <c r="P6" s="172"/>
      <c r="Q6" s="172"/>
      <c r="R6" s="172"/>
      <c r="S6" s="172"/>
      <c r="T6" s="172"/>
      <c r="U6" s="172"/>
      <c r="V6" s="172"/>
      <c r="W6" s="172"/>
      <c r="X6" s="172"/>
      <c r="Y6" s="172"/>
      <c r="Z6" s="172"/>
    </row>
    <row r="7" spans="1:26" ht="15" customHeight="1">
      <c r="A7" s="26" t="s">
        <v>192</v>
      </c>
      <c r="B7" s="172">
        <v>3</v>
      </c>
      <c r="C7" s="172"/>
      <c r="D7" s="172"/>
      <c r="E7" s="172"/>
      <c r="F7" s="172"/>
      <c r="G7" s="172"/>
      <c r="H7" s="172"/>
      <c r="I7" s="172"/>
      <c r="J7" s="172"/>
      <c r="K7" s="172"/>
      <c r="L7" s="172"/>
      <c r="M7" s="172"/>
      <c r="N7" s="172"/>
      <c r="O7" s="172"/>
      <c r="P7" s="172"/>
      <c r="Q7" s="172"/>
      <c r="R7" s="172"/>
      <c r="S7" s="172"/>
      <c r="T7" s="172"/>
      <c r="U7" s="172"/>
      <c r="V7" s="172"/>
      <c r="W7" s="172"/>
      <c r="X7" s="172"/>
      <c r="Y7" s="172"/>
      <c r="Z7" s="172"/>
    </row>
    <row r="8" spans="1:26" ht="15" customHeight="1">
      <c r="A8" s="26" t="s">
        <v>564</v>
      </c>
      <c r="B8" s="344">
        <v>0.11</v>
      </c>
      <c r="C8" s="172"/>
      <c r="D8" s="172"/>
      <c r="E8" s="172"/>
      <c r="F8" s="172"/>
      <c r="G8" s="172"/>
      <c r="H8" s="172"/>
      <c r="I8" s="172"/>
      <c r="J8" s="172"/>
      <c r="K8" s="172"/>
      <c r="L8" s="172"/>
      <c r="M8" s="172"/>
      <c r="N8" s="172"/>
      <c r="O8" s="172"/>
      <c r="P8" s="172"/>
      <c r="Q8" s="172"/>
      <c r="R8" s="172"/>
      <c r="S8" s="172"/>
      <c r="T8" s="172"/>
      <c r="U8" s="172"/>
      <c r="V8" s="172"/>
      <c r="W8" s="172"/>
      <c r="X8" s="172"/>
      <c r="Y8" s="172"/>
      <c r="Z8" s="172"/>
    </row>
    <row r="9" spans="1:26" ht="15" customHeight="1">
      <c r="A9" s="26" t="s">
        <v>898</v>
      </c>
      <c r="B9" s="345">
        <f>B6*B5*(1-(1+B8)^-B7)/B8+B5/(1+B8)^B7</f>
        <v>1646.6228829267545</v>
      </c>
      <c r="C9" s="172"/>
      <c r="D9" s="172"/>
      <c r="E9" s="172"/>
      <c r="F9" s="172"/>
      <c r="G9" s="172"/>
      <c r="H9" s="172"/>
      <c r="I9" s="172"/>
      <c r="J9" s="172"/>
      <c r="K9" s="172"/>
      <c r="L9" s="172"/>
      <c r="M9" s="172"/>
      <c r="N9" s="172"/>
      <c r="O9" s="172"/>
      <c r="P9" s="172"/>
      <c r="Q9" s="172"/>
      <c r="R9" s="172"/>
      <c r="S9" s="172"/>
      <c r="T9" s="172"/>
      <c r="U9" s="172"/>
      <c r="V9" s="172"/>
      <c r="W9" s="172"/>
      <c r="X9" s="172"/>
      <c r="Y9" s="172"/>
      <c r="Z9" s="172"/>
    </row>
    <row r="10" spans="1:26" ht="15" customHeight="1">
      <c r="A10" s="24"/>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row>
    <row r="11" spans="1:26" ht="15" customHeight="1">
      <c r="A11" s="26" t="s">
        <v>899</v>
      </c>
      <c r="B11" s="172"/>
      <c r="C11" s="172"/>
      <c r="D11" s="172"/>
      <c r="E11" s="172"/>
      <c r="F11" s="172"/>
      <c r="G11" s="172"/>
      <c r="H11" s="172"/>
      <c r="I11" s="172"/>
      <c r="J11" s="172"/>
      <c r="K11" s="172"/>
      <c r="L11" s="172"/>
      <c r="M11" s="172"/>
      <c r="N11" s="172"/>
      <c r="O11" s="172"/>
      <c r="P11" s="172"/>
      <c r="Q11" s="172"/>
      <c r="R11" s="172"/>
      <c r="S11" s="172"/>
      <c r="T11" s="172"/>
      <c r="U11" s="172"/>
      <c r="V11" s="172"/>
      <c r="W11" s="172"/>
      <c r="X11" s="172"/>
      <c r="Y11" s="172"/>
      <c r="Z11" s="172"/>
    </row>
    <row r="12" spans="1:26" ht="15" customHeight="1">
      <c r="A12" s="346" t="s">
        <v>900</v>
      </c>
      <c r="B12" s="345"/>
      <c r="C12" s="345"/>
      <c r="D12" s="172"/>
      <c r="E12" s="172"/>
      <c r="F12" s="172"/>
      <c r="G12" s="172"/>
      <c r="H12" s="172"/>
      <c r="I12" s="172"/>
      <c r="J12" s="172"/>
      <c r="K12" s="172"/>
      <c r="L12" s="172"/>
      <c r="M12" s="172"/>
      <c r="N12" s="172"/>
      <c r="O12" s="172"/>
      <c r="P12" s="172"/>
      <c r="Q12" s="172"/>
      <c r="R12" s="172"/>
      <c r="S12" s="172"/>
      <c r="T12" s="172"/>
      <c r="U12" s="172"/>
      <c r="V12" s="172"/>
      <c r="W12" s="172"/>
      <c r="X12" s="172"/>
      <c r="Y12" s="172"/>
      <c r="Z12" s="172"/>
    </row>
    <row r="13" spans="1:26" ht="15" customHeight="1">
      <c r="A13" s="26" t="s">
        <v>901</v>
      </c>
      <c r="B13" s="172"/>
      <c r="C13" s="172"/>
      <c r="D13" s="172"/>
      <c r="E13" s="172"/>
      <c r="F13" s="172"/>
      <c r="G13" s="172"/>
      <c r="H13" s="172"/>
      <c r="I13" s="172"/>
      <c r="J13" s="172"/>
      <c r="K13" s="172"/>
      <c r="L13" s="172"/>
      <c r="M13" s="172"/>
      <c r="N13" s="172"/>
      <c r="O13" s="172"/>
      <c r="P13" s="172"/>
      <c r="Q13" s="172"/>
      <c r="R13" s="172"/>
      <c r="S13" s="172"/>
      <c r="T13" s="172"/>
      <c r="U13" s="172"/>
      <c r="V13" s="172"/>
      <c r="W13" s="172"/>
      <c r="X13" s="172"/>
      <c r="Y13" s="172"/>
      <c r="Z13" s="172"/>
    </row>
    <row r="14" spans="1:26" ht="18.75">
      <c r="A14" s="26" t="s">
        <v>273</v>
      </c>
      <c r="B14" s="172">
        <v>3000</v>
      </c>
      <c r="C14" s="172"/>
      <c r="D14" s="172"/>
      <c r="E14" s="172"/>
      <c r="F14" s="172"/>
      <c r="G14" s="172"/>
      <c r="H14" s="172"/>
      <c r="I14" s="172"/>
      <c r="J14" s="172"/>
      <c r="K14" s="172"/>
      <c r="L14" s="172"/>
      <c r="M14" s="172"/>
      <c r="N14" s="172"/>
      <c r="O14" s="172"/>
      <c r="P14" s="172"/>
      <c r="Q14" s="172"/>
      <c r="R14" s="172"/>
      <c r="S14" s="172"/>
      <c r="T14" s="172"/>
      <c r="U14" s="172"/>
      <c r="V14" s="172"/>
      <c r="W14" s="172"/>
      <c r="X14" s="172"/>
      <c r="Y14" s="172"/>
      <c r="Z14" s="172"/>
    </row>
    <row r="15" spans="1:26" ht="18.75">
      <c r="A15" s="26" t="s">
        <v>897</v>
      </c>
      <c r="B15" s="344">
        <v>0.08</v>
      </c>
      <c r="C15" s="172"/>
      <c r="D15" s="172"/>
      <c r="E15" s="172"/>
      <c r="F15" s="356" t="s">
        <v>902</v>
      </c>
      <c r="G15" s="172"/>
      <c r="H15" s="172"/>
      <c r="I15" s="172"/>
      <c r="J15" s="172"/>
      <c r="K15" s="172"/>
      <c r="L15" s="172"/>
      <c r="M15" s="172"/>
      <c r="N15" s="172"/>
      <c r="O15" s="172"/>
      <c r="P15" s="172"/>
      <c r="Q15" s="172"/>
      <c r="R15" s="172"/>
      <c r="S15" s="172"/>
      <c r="T15" s="172"/>
      <c r="U15" s="172"/>
      <c r="V15" s="172"/>
      <c r="W15" s="172"/>
      <c r="X15" s="172"/>
      <c r="Y15" s="172"/>
      <c r="Z15" s="172"/>
    </row>
    <row r="16" spans="1:26" ht="18.75">
      <c r="A16" s="26" t="s">
        <v>192</v>
      </c>
      <c r="B16" s="172">
        <v>5</v>
      </c>
      <c r="C16" s="172"/>
      <c r="D16" s="172"/>
      <c r="E16" s="172"/>
      <c r="F16" s="172"/>
      <c r="G16" s="172"/>
      <c r="H16" s="172"/>
      <c r="I16" s="172"/>
      <c r="J16" s="172"/>
      <c r="K16" s="172"/>
      <c r="L16" s="172"/>
      <c r="M16" s="172"/>
      <c r="N16" s="172"/>
      <c r="O16" s="172"/>
      <c r="P16" s="172"/>
      <c r="Q16" s="172"/>
      <c r="R16" s="172"/>
      <c r="S16" s="172"/>
      <c r="T16" s="172"/>
      <c r="U16" s="172"/>
      <c r="V16" s="172"/>
      <c r="W16" s="172"/>
      <c r="X16" s="172"/>
      <c r="Y16" s="172"/>
      <c r="Z16" s="172"/>
    </row>
    <row r="17" spans="1:26" ht="18.75">
      <c r="A17" s="26" t="s">
        <v>757</v>
      </c>
      <c r="B17" s="172">
        <f>B15*B14</f>
        <v>240</v>
      </c>
      <c r="C17" s="172"/>
      <c r="D17" s="172"/>
      <c r="E17" s="172"/>
      <c r="F17" s="172"/>
      <c r="G17" s="172"/>
      <c r="H17" s="172"/>
      <c r="I17" s="172"/>
      <c r="J17" s="172"/>
      <c r="K17" s="172"/>
      <c r="L17" s="172"/>
      <c r="M17" s="172"/>
      <c r="N17" s="172"/>
      <c r="O17" s="172"/>
      <c r="P17" s="172"/>
      <c r="Q17" s="172"/>
      <c r="R17" s="172"/>
      <c r="S17" s="172"/>
      <c r="T17" s="172"/>
      <c r="U17" s="172"/>
      <c r="V17" s="172"/>
      <c r="W17" s="172"/>
      <c r="X17" s="172"/>
      <c r="Y17" s="172"/>
      <c r="Z17" s="172"/>
    </row>
    <row r="18" spans="1:26" ht="18.75">
      <c r="A18" s="26" t="s">
        <v>558</v>
      </c>
      <c r="B18" s="344">
        <v>0.11</v>
      </c>
      <c r="C18" s="345">
        <f>$B$17/B18</f>
        <v>2181.818181818182</v>
      </c>
      <c r="D18" s="172"/>
      <c r="E18" s="172"/>
      <c r="F18" s="172"/>
      <c r="G18" s="172"/>
      <c r="H18" s="172"/>
      <c r="I18" s="172"/>
      <c r="J18" s="172"/>
      <c r="K18" s="172"/>
      <c r="L18" s="172"/>
      <c r="M18" s="172"/>
      <c r="N18" s="172"/>
      <c r="O18" s="172"/>
      <c r="P18" s="172"/>
      <c r="Q18" s="172"/>
      <c r="R18" s="172"/>
      <c r="S18" s="172"/>
      <c r="T18" s="172"/>
      <c r="U18" s="172"/>
      <c r="V18" s="172"/>
      <c r="W18" s="172"/>
      <c r="X18" s="172"/>
      <c r="Y18" s="172"/>
      <c r="Z18" s="172"/>
    </row>
    <row r="19" spans="1:26" ht="18.75">
      <c r="A19" s="26" t="s">
        <v>559</v>
      </c>
      <c r="B19" s="344">
        <v>0.12</v>
      </c>
      <c r="C19" s="345">
        <f t="shared" ref="C19:C20" si="0">$B$17/B19</f>
        <v>2000</v>
      </c>
      <c r="D19" s="172"/>
      <c r="E19" s="172"/>
      <c r="F19" s="172"/>
      <c r="G19" s="172"/>
      <c r="H19" s="172"/>
      <c r="I19" s="172"/>
      <c r="J19" s="172"/>
      <c r="K19" s="172"/>
      <c r="L19" s="172"/>
      <c r="M19" s="172"/>
      <c r="N19" s="172"/>
      <c r="O19" s="172"/>
      <c r="P19" s="172"/>
      <c r="Q19" s="172"/>
      <c r="R19" s="172"/>
      <c r="S19" s="172"/>
      <c r="T19" s="172"/>
      <c r="U19" s="172"/>
      <c r="V19" s="172"/>
      <c r="W19" s="172"/>
      <c r="X19" s="172"/>
      <c r="Y19" s="172"/>
      <c r="Z19" s="172"/>
    </row>
    <row r="20" spans="1:26" ht="18.75">
      <c r="A20" s="26" t="s">
        <v>903</v>
      </c>
      <c r="B20" s="344">
        <v>0.13</v>
      </c>
      <c r="C20" s="345">
        <f t="shared" si="0"/>
        <v>1846.1538461538462</v>
      </c>
      <c r="D20" s="172"/>
      <c r="E20" s="172"/>
      <c r="F20" s="172"/>
      <c r="G20" s="172"/>
      <c r="H20" s="172"/>
      <c r="I20" s="172"/>
      <c r="J20" s="172"/>
      <c r="K20" s="172"/>
      <c r="L20" s="172"/>
      <c r="M20" s="172"/>
      <c r="N20" s="172"/>
      <c r="O20" s="172"/>
      <c r="P20" s="172"/>
      <c r="Q20" s="172"/>
      <c r="R20" s="172"/>
      <c r="S20" s="172"/>
      <c r="T20" s="172"/>
      <c r="U20" s="172"/>
      <c r="V20" s="172"/>
      <c r="W20" s="172"/>
      <c r="X20" s="172"/>
      <c r="Y20" s="172"/>
      <c r="Z20" s="172"/>
    </row>
    <row r="21" spans="1:26" ht="15" customHeight="1">
      <c r="A21" s="24"/>
      <c r="B21" s="172"/>
      <c r="C21" s="172"/>
      <c r="D21" s="172"/>
      <c r="E21" s="172"/>
      <c r="F21" s="172"/>
      <c r="G21" s="172"/>
      <c r="H21" s="172"/>
      <c r="I21" s="172"/>
      <c r="J21" s="172"/>
      <c r="K21" s="172"/>
      <c r="L21" s="172"/>
      <c r="M21" s="172"/>
      <c r="N21" s="172"/>
      <c r="O21" s="172"/>
      <c r="P21" s="172"/>
      <c r="Q21" s="172"/>
      <c r="R21" s="172"/>
      <c r="S21" s="172"/>
      <c r="T21" s="172"/>
      <c r="U21" s="172"/>
      <c r="V21" s="172"/>
      <c r="W21" s="172"/>
      <c r="X21" s="172"/>
      <c r="Y21" s="172"/>
      <c r="Z21" s="172"/>
    </row>
    <row r="22" spans="1:26" ht="15" customHeight="1">
      <c r="A22" s="26" t="s">
        <v>904</v>
      </c>
      <c r="B22" s="172"/>
      <c r="C22" s="172"/>
      <c r="D22" s="172"/>
      <c r="E22" s="172"/>
      <c r="F22" s="172"/>
      <c r="G22" s="172"/>
      <c r="H22" s="172"/>
      <c r="I22" s="172"/>
      <c r="J22" s="172"/>
      <c r="K22" s="172"/>
      <c r="L22" s="172"/>
      <c r="M22" s="172"/>
      <c r="N22" s="172"/>
      <c r="O22" s="172"/>
      <c r="P22" s="172"/>
      <c r="Q22" s="172"/>
      <c r="R22" s="172"/>
      <c r="S22" s="172"/>
      <c r="T22" s="172"/>
      <c r="U22" s="172"/>
      <c r="V22" s="172"/>
      <c r="W22" s="172"/>
      <c r="X22" s="172"/>
      <c r="Y22" s="172"/>
      <c r="Z22" s="172"/>
    </row>
    <row r="23" spans="1:26" ht="15" customHeight="1">
      <c r="A23" s="26"/>
      <c r="B23" s="172"/>
      <c r="C23" s="172"/>
      <c r="E23" s="172"/>
      <c r="F23" s="172"/>
      <c r="G23" s="172"/>
      <c r="H23" s="172"/>
      <c r="I23" s="172"/>
      <c r="J23" s="172"/>
      <c r="K23" s="172"/>
      <c r="L23" s="172"/>
      <c r="M23" s="172"/>
      <c r="N23" s="172"/>
      <c r="O23" s="172"/>
      <c r="P23" s="172"/>
      <c r="Q23" s="172"/>
      <c r="R23" s="172"/>
      <c r="S23" s="172"/>
      <c r="T23" s="172"/>
      <c r="U23" s="172"/>
      <c r="V23" s="172"/>
      <c r="W23" s="172"/>
      <c r="X23" s="172"/>
      <c r="Y23" s="172"/>
      <c r="Z23" s="172"/>
    </row>
    <row r="24" spans="1:26" ht="15" customHeight="1">
      <c r="A24" s="26" t="s">
        <v>273</v>
      </c>
      <c r="B24" s="172">
        <v>3460</v>
      </c>
      <c r="C24" s="172"/>
      <c r="D24" s="172"/>
      <c r="E24" s="172"/>
      <c r="F24" s="172"/>
      <c r="G24" s="172"/>
      <c r="H24" s="172"/>
      <c r="I24" s="172"/>
      <c r="J24" s="172"/>
      <c r="K24" s="172"/>
      <c r="L24" s="172"/>
      <c r="M24" s="172"/>
      <c r="N24" s="172"/>
      <c r="O24" s="172"/>
      <c r="P24" s="172"/>
      <c r="Q24" s="172"/>
      <c r="R24" s="172"/>
      <c r="S24" s="172"/>
      <c r="T24" s="172"/>
      <c r="U24" s="172"/>
      <c r="V24" s="172"/>
      <c r="W24" s="172"/>
      <c r="X24" s="172"/>
      <c r="Y24" s="172"/>
      <c r="Z24" s="172"/>
    </row>
    <row r="25" spans="1:26" ht="15" customHeight="1">
      <c r="A25" s="26" t="s">
        <v>192</v>
      </c>
      <c r="B25" s="172">
        <v>8</v>
      </c>
      <c r="C25" s="172"/>
      <c r="D25" s="172"/>
      <c r="E25" s="172"/>
      <c r="F25" s="172"/>
      <c r="G25" s="172"/>
      <c r="H25" s="172"/>
      <c r="I25" s="172"/>
      <c r="J25" s="172"/>
      <c r="K25" s="172"/>
      <c r="L25" s="172"/>
      <c r="M25" s="172"/>
      <c r="N25" s="172"/>
      <c r="O25" s="172"/>
      <c r="P25" s="172"/>
      <c r="Q25" s="172"/>
      <c r="R25" s="172"/>
      <c r="S25" s="172"/>
      <c r="T25" s="172"/>
      <c r="U25" s="172"/>
      <c r="V25" s="172"/>
      <c r="W25" s="172"/>
      <c r="X25" s="172"/>
      <c r="Y25" s="172"/>
      <c r="Z25" s="172"/>
    </row>
    <row r="26" spans="1:26" ht="15" customHeight="1">
      <c r="A26" s="26" t="s">
        <v>897</v>
      </c>
      <c r="B26" s="344">
        <v>0.09</v>
      </c>
      <c r="C26" s="172"/>
      <c r="D26" s="172"/>
      <c r="E26" s="172"/>
      <c r="F26" s="172"/>
      <c r="G26" s="172"/>
      <c r="H26" s="172"/>
      <c r="I26" s="172"/>
      <c r="J26" s="172"/>
      <c r="K26" s="172"/>
      <c r="L26" s="172"/>
      <c r="M26" s="172"/>
      <c r="N26" s="172"/>
      <c r="O26" s="172"/>
      <c r="P26" s="172"/>
      <c r="Q26" s="172"/>
      <c r="R26" s="172"/>
      <c r="S26" s="172"/>
      <c r="T26" s="172"/>
      <c r="U26" s="172"/>
      <c r="V26" s="172"/>
      <c r="W26" s="172"/>
      <c r="X26" s="172"/>
      <c r="Y26" s="172"/>
      <c r="Z26" s="172"/>
    </row>
    <row r="27" spans="1:26" ht="15" customHeight="1">
      <c r="A27" s="26" t="s">
        <v>905</v>
      </c>
      <c r="B27" s="172">
        <f>B24*1.12</f>
        <v>3875.2000000000003</v>
      </c>
      <c r="C27" s="172"/>
      <c r="D27" s="172"/>
      <c r="E27" s="172"/>
      <c r="F27" s="172"/>
      <c r="G27" s="172"/>
      <c r="H27" s="172"/>
      <c r="I27" s="172"/>
      <c r="J27" s="172"/>
      <c r="K27" s="172"/>
      <c r="L27" s="172"/>
      <c r="M27" s="172"/>
      <c r="N27" s="172"/>
      <c r="O27" s="172"/>
      <c r="P27" s="172"/>
      <c r="Q27" s="172"/>
      <c r="R27" s="172"/>
      <c r="S27" s="172"/>
      <c r="T27" s="172"/>
      <c r="U27" s="172"/>
      <c r="V27" s="172"/>
      <c r="W27" s="172"/>
      <c r="X27" s="172"/>
      <c r="Y27" s="172"/>
      <c r="Z27" s="172"/>
    </row>
    <row r="28" spans="1:26" ht="15" customHeight="1">
      <c r="A28" s="26" t="s">
        <v>906</v>
      </c>
      <c r="B28" s="172">
        <f>B27/B24*100%</f>
        <v>1.1200000000000001</v>
      </c>
      <c r="C28" s="172"/>
      <c r="D28" s="172"/>
      <c r="E28" s="172"/>
      <c r="F28" s="172"/>
      <c r="G28" s="172"/>
      <c r="H28" s="172"/>
      <c r="I28" s="172"/>
      <c r="J28" s="172"/>
      <c r="K28" s="172"/>
      <c r="L28" s="172"/>
      <c r="M28" s="172"/>
      <c r="N28" s="172"/>
      <c r="O28" s="172"/>
      <c r="P28" s="172"/>
      <c r="Q28" s="172"/>
      <c r="R28" s="172"/>
      <c r="S28" s="172"/>
      <c r="T28" s="172"/>
      <c r="U28" s="172"/>
      <c r="V28" s="172"/>
      <c r="W28" s="172"/>
      <c r="X28" s="172"/>
      <c r="Y28" s="172"/>
      <c r="Z28" s="172"/>
    </row>
    <row r="29" spans="1:26" ht="15" customHeight="1">
      <c r="A29" s="26" t="s">
        <v>445</v>
      </c>
      <c r="B29" s="345">
        <f>2*(B26*B25+1-B28)/(B28-1+B25*(1+B28))*100</f>
        <v>7.0257611241217779</v>
      </c>
      <c r="C29" s="172"/>
      <c r="D29" s="172"/>
      <c r="E29" s="172"/>
      <c r="F29" s="172"/>
      <c r="G29" s="172"/>
      <c r="H29" s="172"/>
      <c r="I29" s="172"/>
      <c r="J29" s="172"/>
      <c r="K29" s="172"/>
      <c r="L29" s="172"/>
      <c r="M29" s="172"/>
      <c r="N29" s="172"/>
      <c r="O29" s="172"/>
      <c r="P29" s="172"/>
      <c r="Q29" s="172"/>
      <c r="R29" s="172"/>
      <c r="S29" s="172"/>
      <c r="T29" s="172"/>
      <c r="U29" s="172"/>
      <c r="V29" s="172"/>
      <c r="W29" s="172"/>
      <c r="X29" s="172"/>
      <c r="Y29" s="172"/>
      <c r="Z29" s="172"/>
    </row>
    <row r="30" spans="1:26" ht="15" customHeight="1">
      <c r="A30" s="26"/>
      <c r="B30" s="172"/>
      <c r="C30" s="172"/>
      <c r="D30" s="172"/>
      <c r="E30" s="172"/>
      <c r="F30" s="172"/>
      <c r="G30" s="172"/>
      <c r="H30" s="172"/>
      <c r="I30" s="172"/>
      <c r="J30" s="172"/>
      <c r="K30" s="172"/>
      <c r="L30" s="172"/>
      <c r="M30" s="172"/>
      <c r="N30" s="172"/>
      <c r="O30" s="172"/>
      <c r="P30" s="172"/>
      <c r="Q30" s="172"/>
      <c r="R30" s="172"/>
      <c r="S30" s="172"/>
      <c r="T30" s="172"/>
      <c r="U30" s="172"/>
      <c r="V30" s="172"/>
      <c r="W30" s="172"/>
      <c r="X30" s="172"/>
      <c r="Y30" s="172"/>
      <c r="Z30" s="172"/>
    </row>
    <row r="31" spans="1:26" ht="15" customHeight="1">
      <c r="A31" s="24"/>
      <c r="B31" s="172"/>
      <c r="C31" s="172"/>
      <c r="D31" s="172"/>
      <c r="E31" s="172"/>
      <c r="F31" s="172"/>
      <c r="G31" s="172"/>
      <c r="H31" s="172"/>
      <c r="I31" s="172"/>
      <c r="J31" s="172"/>
      <c r="K31" s="172"/>
      <c r="L31" s="172"/>
      <c r="M31" s="172"/>
      <c r="N31" s="172"/>
      <c r="O31" s="172"/>
      <c r="P31" s="172"/>
      <c r="Q31" s="172"/>
      <c r="R31" s="172"/>
      <c r="S31" s="172"/>
      <c r="T31" s="172"/>
      <c r="U31" s="172"/>
      <c r="V31" s="172"/>
      <c r="W31" s="172"/>
      <c r="X31" s="172"/>
      <c r="Y31" s="172"/>
      <c r="Z31" s="172"/>
    </row>
    <row r="32" spans="1:26" ht="15" customHeight="1">
      <c r="A32" s="432" t="s">
        <v>1451</v>
      </c>
      <c r="B32" s="432"/>
      <c r="C32" s="432"/>
      <c r="D32" s="432"/>
      <c r="E32" s="432"/>
      <c r="F32" s="432"/>
      <c r="G32" s="432"/>
      <c r="H32" s="432"/>
      <c r="I32" s="172"/>
      <c r="J32" s="172"/>
      <c r="K32" s="172"/>
      <c r="L32" s="172"/>
      <c r="M32" s="172"/>
      <c r="N32" s="172"/>
      <c r="O32" s="172"/>
      <c r="P32" s="172"/>
      <c r="Q32" s="172"/>
      <c r="R32" s="172"/>
      <c r="S32" s="172"/>
      <c r="T32" s="172"/>
      <c r="U32" s="172"/>
      <c r="V32" s="172"/>
      <c r="W32" s="172"/>
      <c r="X32" s="172"/>
      <c r="Y32" s="172"/>
      <c r="Z32" s="172"/>
    </row>
    <row r="33" spans="1:26" ht="15" customHeight="1">
      <c r="A33" s="432"/>
      <c r="B33" s="432"/>
      <c r="C33" s="432"/>
      <c r="D33" s="432"/>
      <c r="E33" s="432"/>
      <c r="F33" s="432"/>
      <c r="G33" s="432"/>
      <c r="H33" s="432"/>
      <c r="I33" s="172"/>
      <c r="J33" s="172"/>
      <c r="K33" s="172"/>
      <c r="L33" s="172"/>
      <c r="M33" s="172"/>
      <c r="N33" s="172"/>
      <c r="O33" s="172"/>
      <c r="P33" s="172"/>
      <c r="Q33" s="172"/>
      <c r="R33" s="172"/>
      <c r="S33" s="172"/>
      <c r="T33" s="172"/>
      <c r="U33" s="172"/>
      <c r="V33" s="172"/>
      <c r="W33" s="172"/>
      <c r="X33" s="172"/>
      <c r="Y33" s="172"/>
      <c r="Z33" s="172"/>
    </row>
    <row r="34" spans="1:26" ht="15" customHeight="1">
      <c r="A34" s="432"/>
      <c r="B34" s="432"/>
      <c r="C34" s="432"/>
      <c r="D34" s="432"/>
      <c r="E34" s="432"/>
      <c r="F34" s="432"/>
      <c r="G34" s="432"/>
      <c r="H34" s="432"/>
      <c r="I34" s="172"/>
      <c r="J34" s="172"/>
      <c r="K34" s="172"/>
      <c r="L34" s="172"/>
      <c r="M34" s="172"/>
      <c r="N34" s="172"/>
      <c r="O34" s="172"/>
      <c r="P34" s="172"/>
      <c r="Q34" s="172"/>
      <c r="R34" s="172"/>
      <c r="S34" s="172"/>
      <c r="T34" s="172"/>
      <c r="U34" s="172"/>
      <c r="V34" s="172"/>
      <c r="W34" s="172"/>
      <c r="X34" s="172"/>
      <c r="Y34" s="172"/>
      <c r="Z34" s="172"/>
    </row>
    <row r="35" spans="1:26" ht="15" customHeight="1">
      <c r="A35" s="432"/>
      <c r="B35" s="432"/>
      <c r="C35" s="432"/>
      <c r="D35" s="432"/>
      <c r="E35" s="432"/>
      <c r="F35" s="432"/>
      <c r="G35" s="432"/>
      <c r="H35" s="432"/>
      <c r="I35" s="172"/>
      <c r="J35" s="172"/>
      <c r="K35" s="172"/>
      <c r="L35" s="172"/>
      <c r="M35" s="172"/>
      <c r="N35" s="172"/>
      <c r="O35" s="172"/>
      <c r="P35" s="172"/>
      <c r="Q35" s="172"/>
      <c r="R35" s="172"/>
      <c r="S35" s="172"/>
      <c r="T35" s="172"/>
      <c r="U35" s="172"/>
      <c r="V35" s="172"/>
      <c r="W35" s="172"/>
      <c r="X35" s="172"/>
      <c r="Y35" s="172"/>
      <c r="Z35" s="172"/>
    </row>
    <row r="36" spans="1:26" ht="15" customHeight="1">
      <c r="A36" s="432"/>
      <c r="B36" s="432"/>
      <c r="C36" s="432"/>
      <c r="D36" s="432"/>
      <c r="E36" s="432"/>
      <c r="F36" s="432"/>
      <c r="G36" s="432"/>
      <c r="H36" s="432"/>
      <c r="I36" s="172"/>
      <c r="J36" s="172"/>
      <c r="K36" s="172"/>
      <c r="L36" s="172"/>
      <c r="M36" s="172"/>
      <c r="N36" s="172"/>
      <c r="O36" s="172"/>
      <c r="P36" s="172"/>
      <c r="Q36" s="172"/>
      <c r="R36" s="172"/>
      <c r="S36" s="172"/>
      <c r="T36" s="172"/>
      <c r="U36" s="172"/>
      <c r="V36" s="172"/>
      <c r="W36" s="172"/>
      <c r="X36" s="172"/>
      <c r="Y36" s="172"/>
      <c r="Z36" s="172"/>
    </row>
    <row r="37" spans="1:26" ht="15" customHeight="1">
      <c r="A37" s="432"/>
      <c r="B37" s="432"/>
      <c r="C37" s="432"/>
      <c r="D37" s="432"/>
      <c r="E37" s="432"/>
      <c r="F37" s="432"/>
      <c r="G37" s="432"/>
      <c r="H37" s="432"/>
      <c r="I37" s="172"/>
      <c r="J37" s="172"/>
      <c r="K37" s="172"/>
      <c r="L37" s="172"/>
      <c r="M37" s="172"/>
      <c r="N37" s="172"/>
      <c r="O37" s="172"/>
      <c r="P37" s="172"/>
      <c r="Q37" s="172"/>
      <c r="R37" s="172"/>
      <c r="S37" s="172"/>
      <c r="T37" s="172"/>
      <c r="U37" s="172"/>
      <c r="V37" s="172"/>
      <c r="W37" s="172"/>
      <c r="X37" s="172"/>
      <c r="Y37" s="172"/>
      <c r="Z37" s="172"/>
    </row>
    <row r="38" spans="1:26" ht="15" customHeight="1">
      <c r="A38" s="172"/>
      <c r="B38" s="172"/>
      <c r="C38" s="21" t="s">
        <v>907</v>
      </c>
      <c r="D38" s="172"/>
      <c r="E38" s="172"/>
      <c r="F38" s="172"/>
      <c r="G38" s="172"/>
      <c r="H38" s="172"/>
      <c r="I38" s="172"/>
      <c r="J38" s="172"/>
      <c r="K38" s="172"/>
      <c r="L38" s="172"/>
      <c r="M38" s="172"/>
      <c r="N38" s="172"/>
      <c r="O38" s="172"/>
      <c r="P38" s="172"/>
      <c r="Q38" s="172"/>
      <c r="R38" s="172"/>
      <c r="S38" s="172"/>
      <c r="T38" s="172"/>
      <c r="U38" s="172"/>
      <c r="V38" s="172"/>
      <c r="W38" s="172"/>
      <c r="X38" s="172"/>
      <c r="Y38" s="172"/>
      <c r="Z38" s="172"/>
    </row>
    <row r="39" spans="1:26" ht="15" customHeight="1">
      <c r="A39" s="172"/>
      <c r="B39" s="172"/>
      <c r="C39" s="21"/>
      <c r="D39" s="172"/>
      <c r="E39" s="172"/>
      <c r="F39" s="172"/>
      <c r="G39" s="172"/>
      <c r="H39" s="172"/>
      <c r="I39" s="172"/>
      <c r="J39" s="172"/>
      <c r="K39" s="172"/>
      <c r="L39" s="172"/>
      <c r="M39" s="172"/>
      <c r="N39" s="172"/>
      <c r="O39" s="172"/>
      <c r="P39" s="172"/>
      <c r="Q39" s="172"/>
      <c r="R39" s="172"/>
      <c r="S39" s="172"/>
      <c r="T39" s="172"/>
      <c r="U39" s="172"/>
      <c r="V39" s="172"/>
      <c r="W39" s="172"/>
      <c r="X39" s="172"/>
      <c r="Y39" s="172"/>
      <c r="Z39" s="172"/>
    </row>
    <row r="40" spans="1:26" ht="15" customHeight="1">
      <c r="A40" s="172" t="s">
        <v>192</v>
      </c>
      <c r="B40" s="172">
        <v>10</v>
      </c>
      <c r="C40" s="21"/>
      <c r="D40" s="172"/>
      <c r="E40" s="172"/>
      <c r="F40" s="172"/>
      <c r="G40" s="172"/>
      <c r="H40" s="172"/>
      <c r="I40" s="172"/>
      <c r="J40" s="172"/>
      <c r="K40" s="172"/>
      <c r="L40" s="172"/>
      <c r="M40" s="172"/>
      <c r="N40" s="172"/>
      <c r="O40" s="172"/>
      <c r="P40" s="172"/>
      <c r="Q40" s="172"/>
      <c r="R40" s="172"/>
      <c r="S40" s="172"/>
      <c r="T40" s="172"/>
      <c r="U40" s="172"/>
      <c r="V40" s="172"/>
      <c r="W40" s="172"/>
      <c r="X40" s="172"/>
      <c r="Y40" s="172"/>
      <c r="Z40" s="172"/>
    </row>
    <row r="41" spans="1:26" ht="15" customHeight="1">
      <c r="A41" s="172" t="s">
        <v>273</v>
      </c>
      <c r="B41" s="172">
        <v>1000</v>
      </c>
      <c r="C41" s="21"/>
      <c r="D41" s="172"/>
      <c r="E41" s="172"/>
      <c r="F41" s="172"/>
      <c r="G41" s="172"/>
      <c r="H41" s="172"/>
      <c r="I41" s="172"/>
      <c r="J41" s="172"/>
      <c r="K41" s="172"/>
      <c r="L41" s="172"/>
      <c r="M41" s="172"/>
      <c r="N41" s="172"/>
      <c r="O41" s="172"/>
      <c r="P41" s="172"/>
      <c r="Q41" s="172"/>
      <c r="R41" s="172"/>
      <c r="S41" s="172"/>
      <c r="T41" s="172"/>
      <c r="U41" s="172"/>
      <c r="V41" s="172"/>
      <c r="W41" s="172"/>
      <c r="X41" s="172"/>
      <c r="Y41" s="172"/>
      <c r="Z41" s="172"/>
    </row>
    <row r="42" spans="1:26" ht="15" customHeight="1">
      <c r="A42" s="172" t="s">
        <v>908</v>
      </c>
      <c r="B42" s="172">
        <v>50</v>
      </c>
      <c r="C42" s="21" t="s">
        <v>897</v>
      </c>
      <c r="D42" s="172">
        <f>B42/B41</f>
        <v>0.05</v>
      </c>
      <c r="E42" s="172"/>
      <c r="G42" s="172"/>
      <c r="H42" s="172"/>
      <c r="I42" s="172"/>
      <c r="J42" s="172"/>
      <c r="K42" s="172"/>
      <c r="L42" s="172"/>
      <c r="M42" s="172"/>
      <c r="N42" s="172"/>
      <c r="O42" s="172"/>
      <c r="P42" s="172"/>
      <c r="Q42" s="172"/>
      <c r="R42" s="172"/>
      <c r="S42" s="172"/>
      <c r="T42" s="172"/>
      <c r="U42" s="172"/>
      <c r="V42" s="172"/>
      <c r="W42" s="172"/>
      <c r="X42" s="172"/>
      <c r="Y42" s="172"/>
      <c r="Z42" s="172"/>
    </row>
    <row r="43" spans="1:26" ht="15" customHeight="1">
      <c r="A43" s="172" t="s">
        <v>905</v>
      </c>
      <c r="B43" s="172">
        <v>900</v>
      </c>
      <c r="C43" s="21"/>
      <c r="D43" s="172"/>
      <c r="E43" s="172"/>
      <c r="F43" s="172"/>
      <c r="G43" s="172"/>
      <c r="H43" s="172"/>
      <c r="I43" s="172"/>
      <c r="J43" s="172"/>
      <c r="K43" s="172"/>
      <c r="L43" s="172"/>
      <c r="M43" s="172"/>
      <c r="N43" s="172"/>
      <c r="O43" s="172"/>
      <c r="P43" s="172"/>
      <c r="Q43" s="172"/>
      <c r="R43" s="172"/>
      <c r="S43" s="172"/>
      <c r="T43" s="172"/>
      <c r="U43" s="172"/>
      <c r="V43" s="172"/>
      <c r="W43" s="172"/>
      <c r="X43" s="172"/>
      <c r="Y43" s="172"/>
      <c r="Z43" s="172"/>
    </row>
    <row r="44" spans="1:26" ht="15" customHeight="1">
      <c r="A44" s="172" t="s">
        <v>906</v>
      </c>
      <c r="B44" s="172">
        <f>B43/B41*100%</f>
        <v>0.9</v>
      </c>
      <c r="C44" s="21"/>
      <c r="D44" s="172"/>
      <c r="F44" s="172"/>
      <c r="G44" s="172"/>
      <c r="H44" s="172"/>
      <c r="I44" s="172"/>
      <c r="J44" s="172"/>
      <c r="K44" s="172"/>
      <c r="L44" s="172"/>
      <c r="M44" s="172"/>
      <c r="N44" s="172"/>
      <c r="O44" s="172"/>
      <c r="P44" s="172"/>
      <c r="Q44" s="172"/>
      <c r="R44" s="172"/>
      <c r="S44" s="172"/>
      <c r="T44" s="172"/>
      <c r="U44" s="172"/>
      <c r="V44" s="172"/>
      <c r="W44" s="172"/>
      <c r="X44" s="172"/>
      <c r="Y44" s="172"/>
      <c r="Z44" s="172"/>
    </row>
    <row r="45" spans="1:26" ht="15" customHeight="1">
      <c r="A45" s="172" t="s">
        <v>445</v>
      </c>
      <c r="B45" s="345">
        <f>(2*(D42*B40+1-B44))/(B44-1+B40*(1+B44))*100</f>
        <v>6.3492063492063489</v>
      </c>
      <c r="C45" s="21"/>
      <c r="D45" s="172"/>
      <c r="F45" s="172"/>
      <c r="G45" s="172"/>
      <c r="H45" s="172"/>
      <c r="I45" s="172"/>
      <c r="J45" s="172"/>
      <c r="K45" s="172"/>
      <c r="L45" s="172"/>
      <c r="M45" s="172"/>
      <c r="N45" s="172"/>
      <c r="O45" s="172"/>
      <c r="P45" s="172"/>
      <c r="Q45" s="172"/>
      <c r="R45" s="172"/>
      <c r="S45" s="172"/>
      <c r="T45" s="172"/>
      <c r="U45" s="172"/>
      <c r="V45" s="172"/>
      <c r="W45" s="172"/>
      <c r="X45" s="172"/>
      <c r="Y45" s="172"/>
      <c r="Z45" s="172"/>
    </row>
    <row r="46" spans="1:26" ht="15" customHeight="1">
      <c r="A46" s="24"/>
      <c r="B46" s="172"/>
      <c r="C46" s="172"/>
      <c r="D46" s="172"/>
      <c r="E46" s="172"/>
      <c r="F46" s="172"/>
      <c r="G46" s="172"/>
      <c r="H46" s="172"/>
      <c r="I46" s="172"/>
      <c r="J46" s="172"/>
      <c r="K46" s="172"/>
      <c r="L46" s="172"/>
      <c r="M46" s="172"/>
      <c r="N46" s="172"/>
      <c r="O46" s="172"/>
      <c r="P46" s="172"/>
      <c r="Q46" s="172"/>
      <c r="R46" s="172"/>
      <c r="S46" s="172"/>
      <c r="T46" s="172"/>
      <c r="U46" s="172"/>
      <c r="V46" s="172"/>
      <c r="W46" s="172"/>
      <c r="X46" s="172"/>
      <c r="Y46" s="172"/>
      <c r="Z46" s="172"/>
    </row>
    <row r="47" spans="1:26" ht="15" customHeight="1">
      <c r="A47" s="24" t="s">
        <v>909</v>
      </c>
      <c r="B47" s="172"/>
      <c r="C47" s="172"/>
      <c r="D47" s="172"/>
      <c r="E47" s="172"/>
      <c r="F47" s="172"/>
      <c r="G47" s="172"/>
      <c r="H47" s="172"/>
      <c r="I47" s="172"/>
      <c r="J47" s="172"/>
      <c r="K47" s="172"/>
      <c r="L47" s="172"/>
      <c r="M47" s="172"/>
      <c r="N47" s="172"/>
      <c r="O47" s="172"/>
      <c r="P47" s="172"/>
      <c r="Q47" s="172"/>
      <c r="R47" s="172"/>
      <c r="S47" s="172"/>
      <c r="T47" s="172"/>
      <c r="U47" s="172"/>
      <c r="V47" s="172"/>
      <c r="W47" s="172"/>
      <c r="X47" s="172"/>
      <c r="Y47" s="172"/>
      <c r="Z47" s="172"/>
    </row>
    <row r="48" spans="1:26" ht="15" customHeight="1">
      <c r="A48" s="24" t="s">
        <v>192</v>
      </c>
      <c r="B48" s="172">
        <v>6</v>
      </c>
      <c r="C48" s="172"/>
      <c r="D48" s="172"/>
      <c r="E48" s="172"/>
      <c r="F48" s="172"/>
      <c r="G48" s="172"/>
      <c r="H48" s="172"/>
      <c r="I48" s="172"/>
      <c r="J48" s="172"/>
      <c r="K48" s="172"/>
      <c r="L48" s="172"/>
      <c r="M48" s="172"/>
      <c r="N48" s="172"/>
      <c r="O48" s="172"/>
      <c r="P48" s="172"/>
      <c r="Q48" s="172"/>
      <c r="R48" s="172"/>
      <c r="S48" s="172"/>
      <c r="T48" s="172"/>
      <c r="U48" s="172"/>
      <c r="V48" s="172"/>
      <c r="W48" s="172"/>
      <c r="X48" s="172"/>
      <c r="Y48" s="172"/>
      <c r="Z48" s="172"/>
    </row>
    <row r="49" spans="1:26" ht="15" customHeight="1">
      <c r="A49" s="24" t="s">
        <v>273</v>
      </c>
      <c r="B49" s="172">
        <v>1000</v>
      </c>
      <c r="C49" s="172"/>
      <c r="D49" s="172"/>
      <c r="E49" s="172"/>
      <c r="F49" s="172"/>
      <c r="G49" s="172"/>
      <c r="H49" s="172"/>
      <c r="I49" s="172"/>
      <c r="J49" s="172"/>
      <c r="K49" s="172"/>
      <c r="L49" s="172"/>
      <c r="M49" s="172"/>
      <c r="N49" s="172"/>
      <c r="O49" s="172"/>
      <c r="P49" s="172"/>
      <c r="Q49" s="172"/>
      <c r="R49" s="172"/>
      <c r="S49" s="172"/>
      <c r="T49" s="172"/>
      <c r="U49" s="172"/>
      <c r="V49" s="172"/>
      <c r="W49" s="172"/>
      <c r="X49" s="172"/>
      <c r="Y49" s="172"/>
      <c r="Z49" s="172"/>
    </row>
    <row r="50" spans="1:26" ht="15" customHeight="1">
      <c r="A50" s="24" t="s">
        <v>897</v>
      </c>
      <c r="B50" s="361">
        <v>0.14499999999999999</v>
      </c>
      <c r="C50" s="172"/>
      <c r="D50" s="172"/>
      <c r="E50" s="172"/>
      <c r="F50" s="172"/>
      <c r="G50" s="172"/>
      <c r="H50" s="172"/>
      <c r="I50" s="172"/>
      <c r="J50" s="172"/>
      <c r="K50" s="172"/>
      <c r="L50" s="172"/>
      <c r="M50" s="172"/>
      <c r="N50" s="172"/>
      <c r="O50" s="172"/>
      <c r="P50" s="172"/>
      <c r="Q50" s="172"/>
      <c r="R50" s="172"/>
      <c r="S50" s="172"/>
      <c r="T50" s="172"/>
      <c r="U50" s="172"/>
      <c r="V50" s="172"/>
      <c r="W50" s="172"/>
      <c r="X50" s="172"/>
      <c r="Y50" s="172"/>
      <c r="Z50" s="172"/>
    </row>
    <row r="51" spans="1:26" ht="15" customHeight="1">
      <c r="A51" s="24" t="s">
        <v>910</v>
      </c>
      <c r="B51" s="172">
        <f>B50*(1+B48)/2+1</f>
        <v>1.5074999999999998</v>
      </c>
      <c r="C51" s="172"/>
      <c r="D51" s="172"/>
      <c r="E51" s="172"/>
      <c r="F51" s="172"/>
      <c r="G51" s="172"/>
      <c r="H51" s="172"/>
      <c r="I51" s="172"/>
      <c r="J51" s="172"/>
      <c r="K51" s="172"/>
      <c r="L51" s="172"/>
      <c r="M51" s="172"/>
      <c r="N51" s="172"/>
      <c r="O51" s="172"/>
      <c r="P51" s="172"/>
      <c r="Q51" s="172"/>
      <c r="R51" s="172"/>
      <c r="S51" s="172"/>
      <c r="T51" s="172"/>
      <c r="U51" s="172"/>
      <c r="V51" s="172"/>
      <c r="W51" s="172"/>
      <c r="X51" s="172"/>
      <c r="Y51" s="172"/>
      <c r="Z51" s="172"/>
    </row>
    <row r="52" spans="1:26" ht="15" customHeight="1">
      <c r="A52" s="24" t="s">
        <v>911</v>
      </c>
      <c r="B52" s="361">
        <f>B50+1/B48</f>
        <v>0.31166666666666665</v>
      </c>
      <c r="C52" s="172"/>
      <c r="D52" s="172"/>
      <c r="E52" s="172"/>
      <c r="F52" s="172"/>
      <c r="G52" s="172"/>
      <c r="H52" s="172"/>
      <c r="I52" s="172"/>
      <c r="J52" s="172"/>
      <c r="K52" s="172"/>
      <c r="L52" s="172"/>
      <c r="M52" s="172"/>
      <c r="N52" s="172"/>
      <c r="O52" s="172"/>
      <c r="P52" s="172"/>
      <c r="Q52" s="172"/>
      <c r="R52" s="172"/>
      <c r="S52" s="172"/>
      <c r="T52" s="172"/>
      <c r="U52" s="172"/>
      <c r="V52" s="172"/>
      <c r="W52" s="172"/>
      <c r="X52" s="172"/>
      <c r="Y52" s="172"/>
      <c r="Z52" s="172"/>
    </row>
    <row r="53" spans="1:26" ht="15" customHeight="1">
      <c r="A53" s="24" t="s">
        <v>912</v>
      </c>
      <c r="B53" s="345">
        <f>B51/B52</f>
        <v>4.8368983957219251</v>
      </c>
      <c r="C53" s="172"/>
      <c r="D53" s="172"/>
      <c r="E53" s="172"/>
      <c r="F53" s="172"/>
      <c r="G53" s="172"/>
      <c r="H53" s="172"/>
      <c r="I53" s="172"/>
      <c r="J53" s="172"/>
      <c r="K53" s="172"/>
      <c r="L53" s="172"/>
      <c r="M53" s="172"/>
      <c r="N53" s="172"/>
      <c r="O53" s="172"/>
      <c r="P53" s="172"/>
      <c r="Q53" s="172"/>
      <c r="R53" s="172"/>
      <c r="S53" s="172"/>
      <c r="T53" s="172"/>
      <c r="U53" s="172"/>
      <c r="V53" s="172"/>
      <c r="W53" s="172"/>
      <c r="X53" s="172"/>
      <c r="Y53" s="172"/>
      <c r="Z53" s="172"/>
    </row>
    <row r="54" spans="1:26" ht="15" customHeight="1">
      <c r="A54" s="24"/>
      <c r="B54" s="172"/>
      <c r="C54" s="172"/>
      <c r="D54" s="172"/>
      <c r="E54" s="172"/>
      <c r="F54" s="172"/>
      <c r="G54" s="172"/>
      <c r="H54" s="172"/>
      <c r="I54" s="172"/>
      <c r="J54" s="172"/>
      <c r="K54" s="172"/>
      <c r="L54" s="172"/>
      <c r="M54" s="172"/>
      <c r="N54" s="172"/>
      <c r="O54" s="172"/>
      <c r="P54" s="172"/>
      <c r="Q54" s="172"/>
      <c r="R54" s="172"/>
      <c r="S54" s="172"/>
      <c r="T54" s="172"/>
      <c r="U54" s="172"/>
      <c r="V54" s="172"/>
      <c r="W54" s="172"/>
      <c r="X54" s="172"/>
      <c r="Y54" s="172"/>
      <c r="Z54" s="172"/>
    </row>
    <row r="55" spans="1:26" ht="15" customHeight="1">
      <c r="A55" s="24" t="s">
        <v>913</v>
      </c>
      <c r="B55" s="172"/>
      <c r="C55" s="172"/>
      <c r="D55" s="172"/>
      <c r="E55" s="172"/>
      <c r="F55" s="172"/>
      <c r="G55" s="172"/>
      <c r="H55" s="172"/>
      <c r="I55" s="172"/>
      <c r="J55" s="172"/>
      <c r="K55" s="172"/>
      <c r="L55" s="172"/>
      <c r="M55" s="172"/>
      <c r="N55" s="172"/>
      <c r="O55" s="172"/>
      <c r="P55" s="172"/>
      <c r="Q55" s="172"/>
      <c r="R55" s="172"/>
      <c r="S55" s="172"/>
      <c r="T55" s="172"/>
      <c r="U55" s="172"/>
      <c r="V55" s="172"/>
      <c r="W55" s="172"/>
      <c r="X55" s="172"/>
      <c r="Y55" s="172"/>
      <c r="Z55" s="172"/>
    </row>
    <row r="56" spans="1:26" ht="15" customHeight="1">
      <c r="A56" s="24" t="s">
        <v>192</v>
      </c>
      <c r="B56" s="172">
        <v>8</v>
      </c>
      <c r="C56" s="172"/>
      <c r="D56" s="172"/>
      <c r="E56" s="172"/>
      <c r="F56" s="172"/>
      <c r="G56" s="172"/>
      <c r="H56" s="172"/>
      <c r="I56" s="172"/>
      <c r="J56" s="172"/>
      <c r="K56" s="172"/>
      <c r="L56" s="172"/>
      <c r="M56" s="172"/>
      <c r="N56" s="172"/>
      <c r="O56" s="172"/>
      <c r="P56" s="172"/>
      <c r="Q56" s="172"/>
      <c r="R56" s="172"/>
      <c r="S56" s="172"/>
      <c r="T56" s="172"/>
      <c r="U56" s="172"/>
      <c r="V56" s="172"/>
      <c r="W56" s="172"/>
      <c r="X56" s="172"/>
      <c r="Y56" s="172"/>
      <c r="Z56" s="172"/>
    </row>
    <row r="57" spans="1:26" ht="15" customHeight="1">
      <c r="A57" s="24" t="s">
        <v>273</v>
      </c>
      <c r="B57" s="172">
        <v>5000</v>
      </c>
      <c r="C57" s="172"/>
      <c r="D57" s="172"/>
      <c r="E57" s="172"/>
      <c r="F57" s="172"/>
      <c r="G57" s="172"/>
      <c r="H57" s="172"/>
      <c r="I57" s="172"/>
      <c r="J57" s="172"/>
      <c r="K57" s="172"/>
      <c r="L57" s="172"/>
      <c r="M57" s="172"/>
      <c r="N57" s="172"/>
      <c r="O57" s="172"/>
      <c r="P57" s="172"/>
      <c r="Q57" s="172"/>
      <c r="R57" s="172"/>
      <c r="S57" s="172"/>
      <c r="T57" s="172"/>
      <c r="U57" s="172"/>
      <c r="V57" s="172"/>
      <c r="W57" s="172"/>
      <c r="X57" s="172"/>
      <c r="Y57" s="172"/>
      <c r="Z57" s="172"/>
    </row>
    <row r="58" spans="1:26" ht="15" customHeight="1">
      <c r="A58" s="24" t="s">
        <v>897</v>
      </c>
      <c r="B58" s="344">
        <v>0.15</v>
      </c>
      <c r="C58" s="172"/>
      <c r="D58" s="172"/>
      <c r="E58" s="172"/>
      <c r="F58" s="172"/>
      <c r="G58" s="172"/>
      <c r="H58" s="172"/>
      <c r="I58" s="172"/>
      <c r="J58" s="172"/>
      <c r="K58" s="172"/>
      <c r="L58" s="172"/>
      <c r="M58" s="172"/>
      <c r="N58" s="172"/>
      <c r="O58" s="172"/>
      <c r="P58" s="172"/>
      <c r="Q58" s="172"/>
      <c r="R58" s="172"/>
      <c r="S58" s="172"/>
      <c r="T58" s="172"/>
      <c r="U58" s="172"/>
      <c r="V58" s="172"/>
      <c r="W58" s="172"/>
      <c r="X58" s="172"/>
      <c r="Y58" s="172"/>
      <c r="Z58" s="172"/>
    </row>
    <row r="59" spans="1:26" ht="15" customHeight="1">
      <c r="A59" s="24" t="s">
        <v>445</v>
      </c>
      <c r="B59" s="172">
        <v>4</v>
      </c>
      <c r="C59" s="172"/>
      <c r="D59" s="172"/>
      <c r="E59" s="172"/>
      <c r="F59" s="172"/>
      <c r="G59" s="172"/>
      <c r="H59" s="172"/>
      <c r="I59" s="172"/>
      <c r="J59" s="172"/>
      <c r="K59" s="172"/>
      <c r="L59" s="172"/>
      <c r="M59" s="172"/>
      <c r="N59" s="172"/>
      <c r="O59" s="172"/>
      <c r="P59" s="172"/>
      <c r="Q59" s="172"/>
      <c r="R59" s="172"/>
      <c r="S59" s="172"/>
      <c r="T59" s="172"/>
      <c r="U59" s="172"/>
      <c r="V59" s="172"/>
      <c r="W59" s="172"/>
      <c r="X59" s="172"/>
      <c r="Y59" s="172"/>
      <c r="Z59" s="172"/>
    </row>
    <row r="60" spans="1:26" ht="15" customHeight="1">
      <c r="A60" s="24" t="s">
        <v>910</v>
      </c>
      <c r="B60" s="172">
        <f>B58*(1/B59+B56)/2+1</f>
        <v>1.6187499999999999</v>
      </c>
      <c r="C60" s="172"/>
      <c r="D60" s="172"/>
      <c r="E60" s="172"/>
      <c r="F60" s="172"/>
      <c r="G60" s="172"/>
      <c r="H60" s="172"/>
      <c r="I60" s="172"/>
      <c r="J60" s="172"/>
      <c r="K60" s="172"/>
      <c r="L60" s="172"/>
      <c r="M60" s="172"/>
      <c r="N60" s="172"/>
      <c r="O60" s="172"/>
      <c r="P60" s="172"/>
      <c r="Q60" s="172"/>
      <c r="R60" s="172"/>
      <c r="S60" s="172"/>
      <c r="T60" s="172"/>
      <c r="U60" s="172"/>
      <c r="V60" s="172"/>
      <c r="W60" s="172"/>
      <c r="X60" s="172"/>
      <c r="Y60" s="172"/>
      <c r="Z60" s="172"/>
    </row>
    <row r="61" spans="1:26" ht="15" customHeight="1">
      <c r="A61" s="24" t="s">
        <v>911</v>
      </c>
      <c r="B61" s="344">
        <f>B58+1/B56</f>
        <v>0.27500000000000002</v>
      </c>
      <c r="C61" s="172"/>
      <c r="D61" s="172"/>
      <c r="E61" s="172"/>
      <c r="F61" s="172"/>
      <c r="G61" s="172"/>
      <c r="H61" s="172"/>
      <c r="I61" s="172"/>
      <c r="J61" s="172"/>
      <c r="K61" s="172"/>
      <c r="L61" s="172"/>
      <c r="M61" s="172"/>
      <c r="N61" s="172"/>
      <c r="O61" s="172"/>
      <c r="P61" s="172"/>
      <c r="Q61" s="172"/>
      <c r="R61" s="172"/>
      <c r="S61" s="172"/>
      <c r="T61" s="172"/>
      <c r="U61" s="172"/>
      <c r="V61" s="172"/>
      <c r="W61" s="172"/>
      <c r="X61" s="172"/>
      <c r="Y61" s="172"/>
      <c r="Z61" s="172"/>
    </row>
    <row r="62" spans="1:26" ht="15" customHeight="1">
      <c r="A62" s="24" t="s">
        <v>914</v>
      </c>
      <c r="B62" s="345">
        <f>B60/B61</f>
        <v>5.8863636363636358</v>
      </c>
      <c r="C62" s="172"/>
      <c r="D62" s="172"/>
      <c r="E62" s="172"/>
      <c r="F62" s="172"/>
      <c r="G62" s="172"/>
      <c r="H62" s="172"/>
      <c r="I62" s="172"/>
      <c r="J62" s="172"/>
      <c r="K62" s="172"/>
      <c r="L62" s="172"/>
      <c r="M62" s="172"/>
      <c r="N62" s="172"/>
      <c r="O62" s="172"/>
      <c r="P62" s="172"/>
      <c r="Q62" s="172"/>
      <c r="R62" s="172"/>
      <c r="S62" s="172"/>
      <c r="T62" s="172"/>
      <c r="U62" s="172"/>
      <c r="V62" s="172"/>
      <c r="W62" s="172"/>
      <c r="X62" s="172"/>
      <c r="Y62" s="172"/>
      <c r="Z62" s="172"/>
    </row>
    <row r="63" spans="1:26" ht="15" customHeight="1">
      <c r="A63" s="24"/>
      <c r="B63" s="172"/>
      <c r="C63" s="172"/>
      <c r="D63" s="172"/>
      <c r="E63" s="172"/>
      <c r="F63" s="172"/>
      <c r="G63" s="172"/>
      <c r="H63" s="172"/>
      <c r="I63" s="172"/>
      <c r="J63" s="172"/>
      <c r="K63" s="172"/>
      <c r="L63" s="172"/>
      <c r="M63" s="172"/>
      <c r="N63" s="172"/>
      <c r="O63" s="172"/>
      <c r="P63" s="172"/>
      <c r="Q63" s="172"/>
      <c r="R63" s="172"/>
      <c r="S63" s="172"/>
      <c r="T63" s="172"/>
      <c r="U63" s="172"/>
      <c r="V63" s="172"/>
      <c r="W63" s="172"/>
      <c r="X63" s="172"/>
      <c r="Y63" s="172"/>
      <c r="Z63" s="172"/>
    </row>
    <row r="64" spans="1:26" ht="15" customHeight="1">
      <c r="A64" s="375" t="s">
        <v>915</v>
      </c>
      <c r="B64" s="172"/>
      <c r="C64" s="172"/>
      <c r="D64" s="172"/>
      <c r="E64" s="172"/>
      <c r="F64" s="172"/>
      <c r="G64" s="172"/>
      <c r="H64" s="172"/>
      <c r="I64" s="172"/>
      <c r="J64" s="172"/>
      <c r="K64" s="172"/>
      <c r="L64" s="172"/>
      <c r="M64" s="172"/>
      <c r="N64" s="172"/>
      <c r="O64" s="172"/>
      <c r="P64" s="172"/>
      <c r="Q64" s="172"/>
      <c r="R64" s="172"/>
      <c r="S64" s="172"/>
      <c r="T64" s="172"/>
      <c r="U64" s="172"/>
      <c r="V64" s="172"/>
      <c r="W64" s="172"/>
      <c r="X64" s="172"/>
      <c r="Y64" s="172"/>
      <c r="Z64" s="172"/>
    </row>
    <row r="65" spans="1:26" ht="15" customHeight="1">
      <c r="A65" s="81"/>
      <c r="B65" s="172"/>
      <c r="C65" s="172"/>
      <c r="D65" s="172"/>
      <c r="E65" s="172"/>
      <c r="F65" s="172"/>
      <c r="G65" s="172"/>
      <c r="H65" s="172"/>
      <c r="I65" s="172"/>
      <c r="J65" s="172"/>
      <c r="K65" s="172"/>
      <c r="L65" s="172"/>
      <c r="M65" s="172"/>
      <c r="N65" s="172"/>
      <c r="O65" s="172"/>
      <c r="P65" s="172"/>
      <c r="Q65" s="172"/>
      <c r="R65" s="172"/>
      <c r="S65" s="172"/>
      <c r="T65" s="172"/>
      <c r="U65" s="172"/>
      <c r="V65" s="172"/>
      <c r="W65" s="172"/>
      <c r="X65" s="172"/>
      <c r="Y65" s="172"/>
      <c r="Z65" s="172"/>
    </row>
    <row r="66" spans="1:26" ht="15" customHeight="1">
      <c r="A66" s="81"/>
      <c r="B66" s="172"/>
      <c r="C66" s="172"/>
      <c r="D66" s="172"/>
      <c r="E66" s="172"/>
      <c r="F66" s="172"/>
      <c r="G66" s="172"/>
      <c r="H66" s="172"/>
      <c r="I66" s="172"/>
      <c r="J66" s="172"/>
      <c r="K66" s="172"/>
      <c r="L66" s="172"/>
      <c r="M66" s="172"/>
      <c r="N66" s="172"/>
      <c r="O66" s="172"/>
      <c r="P66" s="172"/>
      <c r="Q66" s="172"/>
      <c r="R66" s="172"/>
      <c r="S66" s="172"/>
      <c r="T66" s="172"/>
      <c r="U66" s="172"/>
      <c r="V66" s="172"/>
      <c r="W66" s="172"/>
      <c r="X66" s="172"/>
      <c r="Y66" s="172"/>
      <c r="Z66" s="172"/>
    </row>
    <row r="67" spans="1:26" ht="15" customHeight="1">
      <c r="A67" s="81"/>
      <c r="B67" s="172"/>
      <c r="C67" s="172"/>
      <c r="D67" s="172"/>
      <c r="E67" s="172"/>
      <c r="F67" s="172"/>
      <c r="G67" s="172"/>
      <c r="H67" s="172"/>
      <c r="I67" s="172"/>
      <c r="J67" s="172"/>
      <c r="K67" s="172"/>
      <c r="L67" s="172"/>
      <c r="M67" s="172"/>
      <c r="N67" s="172"/>
      <c r="O67" s="172"/>
      <c r="P67" s="172"/>
      <c r="Q67" s="172"/>
      <c r="R67" s="172"/>
      <c r="S67" s="172"/>
      <c r="T67" s="172"/>
      <c r="U67" s="172"/>
      <c r="V67" s="172"/>
      <c r="W67" s="172"/>
      <c r="X67" s="172"/>
      <c r="Y67" s="172"/>
      <c r="Z67" s="172"/>
    </row>
    <row r="68" spans="1:26" ht="15" customHeight="1">
      <c r="A68" s="81"/>
      <c r="B68" s="172"/>
      <c r="C68" s="172"/>
      <c r="D68" s="172"/>
      <c r="E68" s="172"/>
      <c r="F68" s="172"/>
      <c r="G68" s="172"/>
      <c r="H68" s="172"/>
      <c r="I68" s="172"/>
      <c r="J68" s="172"/>
      <c r="K68" s="172"/>
      <c r="L68" s="172"/>
      <c r="M68" s="172"/>
      <c r="N68" s="172"/>
      <c r="O68" s="172"/>
      <c r="P68" s="172"/>
      <c r="Q68" s="172"/>
      <c r="R68" s="172"/>
      <c r="S68" s="172"/>
      <c r="T68" s="172"/>
      <c r="U68" s="172"/>
      <c r="V68" s="172"/>
      <c r="W68" s="172"/>
      <c r="X68" s="172"/>
      <c r="Y68" s="172"/>
      <c r="Z68" s="172"/>
    </row>
    <row r="69" spans="1:26" ht="15" customHeight="1">
      <c r="A69" s="81"/>
      <c r="B69" s="172"/>
      <c r="C69" s="172"/>
      <c r="D69" s="172"/>
      <c r="E69" s="172"/>
      <c r="F69" s="172"/>
      <c r="G69" s="172"/>
      <c r="H69" s="172"/>
      <c r="I69" s="172"/>
      <c r="J69" s="172"/>
      <c r="K69" s="172"/>
      <c r="L69" s="172"/>
      <c r="M69" s="172"/>
      <c r="N69" s="172"/>
      <c r="O69" s="172"/>
      <c r="P69" s="172"/>
      <c r="Q69" s="172"/>
      <c r="R69" s="172"/>
      <c r="S69" s="172"/>
      <c r="T69" s="172"/>
      <c r="U69" s="172"/>
      <c r="V69" s="172"/>
      <c r="W69" s="172"/>
      <c r="X69" s="172"/>
      <c r="Y69" s="172"/>
      <c r="Z69" s="172"/>
    </row>
    <row r="70" spans="1:26" ht="15" customHeight="1">
      <c r="A70" s="81"/>
      <c r="B70" s="172"/>
      <c r="C70" s="172"/>
      <c r="D70" s="172"/>
      <c r="E70" s="172"/>
      <c r="F70" s="172"/>
      <c r="G70" s="172"/>
      <c r="H70" s="172"/>
      <c r="I70" s="172"/>
      <c r="J70" s="172"/>
      <c r="K70" s="172"/>
      <c r="L70" s="172"/>
      <c r="M70" s="172"/>
      <c r="N70" s="172"/>
      <c r="O70" s="172"/>
      <c r="P70" s="172"/>
      <c r="Q70" s="172"/>
      <c r="R70" s="172"/>
      <c r="S70" s="172"/>
      <c r="T70" s="172"/>
      <c r="U70" s="172"/>
      <c r="V70" s="172"/>
      <c r="W70" s="172"/>
      <c r="X70" s="172"/>
      <c r="Y70" s="172"/>
      <c r="Z70" s="172"/>
    </row>
    <row r="71" spans="1:26" ht="15" customHeight="1">
      <c r="A71" s="81"/>
      <c r="B71" s="172"/>
      <c r="C71" s="172"/>
      <c r="D71" s="172"/>
      <c r="E71" s="172"/>
      <c r="F71" s="172"/>
      <c r="G71" s="172"/>
      <c r="H71" s="172"/>
      <c r="I71" s="172"/>
      <c r="J71" s="172"/>
      <c r="K71" s="172"/>
      <c r="L71" s="172"/>
      <c r="M71" s="172"/>
      <c r="N71" s="172"/>
      <c r="O71" s="172"/>
      <c r="P71" s="172"/>
      <c r="Q71" s="172"/>
      <c r="R71" s="172"/>
      <c r="S71" s="172"/>
      <c r="T71" s="172"/>
      <c r="U71" s="172"/>
      <c r="V71" s="172"/>
      <c r="W71" s="172"/>
      <c r="X71" s="172"/>
      <c r="Y71" s="172"/>
      <c r="Z71" s="172"/>
    </row>
    <row r="72" spans="1:26" ht="15" customHeight="1">
      <c r="A72" s="81"/>
      <c r="B72" s="172"/>
      <c r="C72" s="172"/>
      <c r="D72" s="172"/>
      <c r="E72" s="172"/>
      <c r="F72" s="172"/>
      <c r="G72" s="172"/>
      <c r="H72" s="172"/>
      <c r="I72" s="172"/>
      <c r="J72" s="172"/>
      <c r="K72" s="172"/>
      <c r="L72" s="172"/>
      <c r="M72" s="172"/>
      <c r="N72" s="172"/>
      <c r="O72" s="172"/>
      <c r="P72" s="172"/>
      <c r="Q72" s="172"/>
      <c r="R72" s="172"/>
      <c r="S72" s="172"/>
      <c r="T72" s="172"/>
      <c r="U72" s="172"/>
      <c r="V72" s="172"/>
      <c r="W72" s="172"/>
      <c r="X72" s="172"/>
      <c r="Y72" s="172"/>
      <c r="Z72" s="172"/>
    </row>
    <row r="73" spans="1:26" ht="15" customHeight="1">
      <c r="A73" s="24"/>
      <c r="B73" s="172"/>
      <c r="C73" s="172"/>
      <c r="D73" s="172"/>
      <c r="E73" s="172"/>
      <c r="F73" s="172"/>
      <c r="G73" s="172"/>
      <c r="H73" s="172"/>
      <c r="I73" s="172"/>
      <c r="J73" s="172"/>
      <c r="K73" s="172"/>
      <c r="L73" s="172"/>
      <c r="M73" s="172"/>
      <c r="N73" s="172"/>
      <c r="O73" s="172"/>
      <c r="P73" s="172"/>
      <c r="Q73" s="172"/>
      <c r="R73" s="172"/>
      <c r="S73" s="172"/>
      <c r="T73" s="172"/>
      <c r="U73" s="172"/>
      <c r="V73" s="172"/>
      <c r="W73" s="172"/>
      <c r="X73" s="172"/>
      <c r="Y73" s="172"/>
      <c r="Z73" s="172"/>
    </row>
    <row r="74" spans="1:26" ht="15" customHeight="1">
      <c r="A74" s="24" t="s">
        <v>916</v>
      </c>
      <c r="B74" s="172"/>
      <c r="C74" s="172"/>
      <c r="D74" s="172"/>
      <c r="E74" s="172"/>
      <c r="F74" s="172"/>
      <c r="G74" s="172"/>
      <c r="H74" s="172"/>
      <c r="I74" s="172"/>
      <c r="J74" s="172"/>
      <c r="K74" s="172"/>
      <c r="L74" s="172"/>
      <c r="M74" s="172"/>
      <c r="N74" s="172"/>
      <c r="O74" s="172"/>
      <c r="P74" s="172"/>
      <c r="Q74" s="172"/>
      <c r="R74" s="172"/>
      <c r="S74" s="172"/>
      <c r="T74" s="172"/>
      <c r="U74" s="172"/>
      <c r="V74" s="172"/>
      <c r="W74" s="172"/>
      <c r="X74" s="172"/>
      <c r="Y74" s="172"/>
      <c r="Z74" s="172"/>
    </row>
    <row r="75" spans="1:26" ht="15" customHeight="1">
      <c r="A75" s="24"/>
      <c r="B75" s="172"/>
      <c r="C75" s="172"/>
      <c r="D75" s="172"/>
      <c r="E75" s="172"/>
      <c r="F75" s="172"/>
      <c r="G75" s="172"/>
      <c r="H75" s="172"/>
      <c r="I75" s="172"/>
      <c r="J75" s="172"/>
      <c r="K75" s="172"/>
      <c r="L75" s="172"/>
      <c r="M75" s="172"/>
      <c r="N75" s="172"/>
      <c r="O75" s="172"/>
      <c r="P75" s="172"/>
      <c r="Q75" s="172"/>
      <c r="R75" s="172"/>
      <c r="S75" s="172"/>
      <c r="T75" s="172"/>
      <c r="U75" s="172"/>
      <c r="V75" s="172"/>
      <c r="W75" s="172"/>
      <c r="X75" s="172"/>
      <c r="Y75" s="172"/>
      <c r="Z75" s="172"/>
    </row>
    <row r="76" spans="1:26" ht="15" customHeight="1">
      <c r="A76" s="24" t="s">
        <v>192</v>
      </c>
      <c r="B76" s="172">
        <v>6</v>
      </c>
      <c r="C76" s="172"/>
      <c r="D76" s="172"/>
      <c r="E76" s="172"/>
      <c r="F76" s="172"/>
      <c r="G76" s="172"/>
      <c r="H76" s="172"/>
      <c r="I76" s="172"/>
      <c r="J76" s="172"/>
      <c r="K76" s="172"/>
      <c r="L76" s="172"/>
      <c r="M76" s="172"/>
      <c r="N76" s="172"/>
      <c r="O76" s="172"/>
      <c r="P76" s="172"/>
      <c r="Q76" s="172"/>
      <c r="R76" s="172"/>
      <c r="S76" s="172"/>
      <c r="T76" s="172"/>
      <c r="U76" s="172"/>
      <c r="V76" s="172"/>
      <c r="W76" s="172"/>
      <c r="X76" s="172"/>
      <c r="Y76" s="172"/>
      <c r="Z76" s="172"/>
    </row>
    <row r="77" spans="1:26" ht="15" customHeight="1">
      <c r="A77" s="24" t="s">
        <v>897</v>
      </c>
      <c r="B77" s="361">
        <v>0.155</v>
      </c>
      <c r="C77" s="172"/>
      <c r="D77" s="172"/>
      <c r="E77" s="172"/>
      <c r="F77" s="172"/>
      <c r="G77" s="172"/>
      <c r="H77" s="172"/>
      <c r="I77" s="172"/>
      <c r="J77" s="172"/>
      <c r="K77" s="172"/>
      <c r="L77" s="172"/>
      <c r="M77" s="172"/>
      <c r="N77" s="172"/>
      <c r="O77" s="172"/>
      <c r="P77" s="172"/>
      <c r="Q77" s="172"/>
      <c r="R77" s="172"/>
      <c r="S77" s="172"/>
      <c r="T77" s="172"/>
      <c r="U77" s="172"/>
      <c r="V77" s="172"/>
      <c r="W77" s="172"/>
      <c r="X77" s="172"/>
      <c r="Y77" s="172"/>
      <c r="Z77" s="172"/>
    </row>
    <row r="78" spans="1:26" ht="15" customHeight="1">
      <c r="A78" s="24" t="s">
        <v>917</v>
      </c>
      <c r="B78" s="172"/>
      <c r="C78" s="172"/>
      <c r="D78" s="172"/>
      <c r="E78" s="172"/>
      <c r="F78" s="172"/>
      <c r="G78" s="172"/>
      <c r="H78" s="172"/>
      <c r="I78" s="172"/>
      <c r="J78" s="172"/>
      <c r="K78" s="172"/>
      <c r="L78" s="172"/>
      <c r="M78" s="172"/>
      <c r="N78" s="172"/>
      <c r="O78" s="172"/>
      <c r="P78" s="172"/>
      <c r="Q78" s="172"/>
      <c r="R78" s="172"/>
      <c r="S78" s="172"/>
      <c r="T78" s="172"/>
      <c r="U78" s="172"/>
      <c r="V78" s="172"/>
      <c r="W78" s="172"/>
      <c r="X78" s="172"/>
      <c r="Y78" s="172"/>
      <c r="Z78" s="172"/>
    </row>
    <row r="79" spans="1:26" ht="15" customHeight="1">
      <c r="A79" s="24" t="s">
        <v>394</v>
      </c>
      <c r="B79" s="345">
        <f>(1+B77)/B77*(1-(1+B77)^-B76)</f>
        <v>4.3128509423544292</v>
      </c>
      <c r="C79" s="172"/>
      <c r="D79" s="172"/>
      <c r="E79" s="172"/>
      <c r="F79" s="172"/>
      <c r="G79" s="172"/>
      <c r="H79" s="172"/>
      <c r="I79" s="172"/>
      <c r="J79" s="172"/>
      <c r="K79" s="172"/>
      <c r="L79" s="172"/>
      <c r="M79" s="172"/>
      <c r="N79" s="172"/>
      <c r="O79" s="172"/>
      <c r="P79" s="172"/>
      <c r="Q79" s="172"/>
      <c r="R79" s="172"/>
      <c r="S79" s="172"/>
      <c r="T79" s="172"/>
      <c r="U79" s="172"/>
      <c r="V79" s="172"/>
      <c r="W79" s="172"/>
      <c r="X79" s="172"/>
      <c r="Y79" s="172"/>
      <c r="Z79" s="172"/>
    </row>
    <row r="80" spans="1:26" ht="15" customHeight="1">
      <c r="A80" s="24"/>
      <c r="B80" s="172"/>
      <c r="C80" s="172"/>
      <c r="D80" s="172"/>
      <c r="E80" s="172"/>
      <c r="F80" s="172"/>
      <c r="G80" s="172"/>
      <c r="H80" s="172"/>
      <c r="I80" s="172"/>
      <c r="J80" s="172"/>
      <c r="K80" s="172"/>
      <c r="L80" s="172"/>
      <c r="M80" s="172"/>
      <c r="N80" s="172"/>
      <c r="O80" s="172"/>
      <c r="P80" s="172"/>
      <c r="Q80" s="172"/>
      <c r="R80" s="172"/>
      <c r="S80" s="172"/>
      <c r="T80" s="172"/>
      <c r="U80" s="172"/>
      <c r="V80" s="172"/>
      <c r="W80" s="172"/>
      <c r="X80" s="172"/>
      <c r="Y80" s="172"/>
      <c r="Z80" s="172"/>
    </row>
    <row r="81" spans="1:26" ht="15" customHeight="1">
      <c r="A81" s="24"/>
      <c r="B81" s="172"/>
      <c r="C81" s="172"/>
      <c r="D81" s="172"/>
      <c r="E81" s="172"/>
      <c r="F81" s="172"/>
      <c r="G81" s="172"/>
      <c r="H81" s="172"/>
      <c r="I81" s="172"/>
      <c r="J81" s="172"/>
      <c r="K81" s="172"/>
      <c r="L81" s="172"/>
      <c r="M81" s="172"/>
      <c r="N81" s="172"/>
      <c r="O81" s="172"/>
      <c r="P81" s="172"/>
      <c r="Q81" s="172"/>
      <c r="R81" s="172"/>
      <c r="S81" s="172"/>
      <c r="T81" s="172"/>
      <c r="U81" s="172"/>
      <c r="V81" s="172"/>
      <c r="W81" s="172"/>
      <c r="X81" s="172"/>
      <c r="Y81" s="172"/>
      <c r="Z81" s="172"/>
    </row>
    <row r="82" spans="1:26" ht="15" customHeight="1">
      <c r="A82" s="24"/>
      <c r="B82" s="172"/>
      <c r="C82" s="172"/>
      <c r="D82" s="172"/>
      <c r="E82" s="172"/>
      <c r="F82" s="172"/>
      <c r="G82" s="172"/>
      <c r="H82" s="172"/>
      <c r="I82" s="172"/>
      <c r="J82" s="172"/>
      <c r="K82" s="172"/>
      <c r="L82" s="172"/>
      <c r="M82" s="172"/>
      <c r="N82" s="172"/>
      <c r="O82" s="172"/>
      <c r="P82" s="172"/>
      <c r="Q82" s="172"/>
      <c r="R82" s="172"/>
      <c r="S82" s="172"/>
      <c r="T82" s="172"/>
      <c r="U82" s="172"/>
      <c r="V82" s="172"/>
      <c r="W82" s="172"/>
      <c r="X82" s="172"/>
      <c r="Y82" s="172"/>
      <c r="Z82" s="172"/>
    </row>
    <row r="83" spans="1:26" ht="15" customHeight="1">
      <c r="A83" s="24"/>
      <c r="B83" s="172"/>
      <c r="C83" s="172"/>
      <c r="D83" s="172"/>
      <c r="E83" s="172"/>
      <c r="F83" s="172"/>
      <c r="G83" s="172"/>
      <c r="H83" s="172"/>
      <c r="I83" s="172"/>
      <c r="J83" s="172"/>
      <c r="K83" s="172"/>
      <c r="L83" s="172"/>
      <c r="M83" s="172"/>
      <c r="N83" s="172"/>
      <c r="O83" s="172"/>
      <c r="P83" s="172"/>
      <c r="Q83" s="172"/>
      <c r="R83" s="172"/>
      <c r="S83" s="172"/>
      <c r="T83" s="172"/>
      <c r="U83" s="172"/>
      <c r="V83" s="172"/>
      <c r="W83" s="172"/>
      <c r="X83" s="172"/>
      <c r="Y83" s="172"/>
      <c r="Z83" s="172"/>
    </row>
    <row r="84" spans="1:26" ht="18" customHeight="1">
      <c r="A84" s="433" t="s">
        <v>918</v>
      </c>
      <c r="B84" s="433"/>
      <c r="C84" s="433"/>
      <c r="D84" s="433"/>
      <c r="E84" s="433"/>
      <c r="F84" s="172"/>
      <c r="G84" s="172"/>
      <c r="H84" s="172"/>
      <c r="I84" s="172"/>
      <c r="J84" s="172"/>
      <c r="K84" s="172"/>
      <c r="L84" s="172"/>
      <c r="M84" s="172"/>
      <c r="N84" s="172"/>
      <c r="O84" s="172"/>
      <c r="P84" s="172"/>
      <c r="Q84" s="172"/>
      <c r="R84" s="172"/>
      <c r="S84" s="172"/>
      <c r="T84" s="172"/>
      <c r="U84" s="172"/>
      <c r="V84" s="172"/>
      <c r="W84" s="172"/>
      <c r="X84" s="172"/>
      <c r="Y84" s="172"/>
      <c r="Z84" s="172"/>
    </row>
    <row r="85" spans="1:26" ht="18.75">
      <c r="A85" s="433"/>
      <c r="B85" s="433"/>
      <c r="C85" s="433"/>
      <c r="D85" s="433"/>
      <c r="E85" s="433"/>
      <c r="F85" s="172"/>
      <c r="G85" s="172"/>
      <c r="H85" s="172"/>
      <c r="I85" s="172"/>
      <c r="J85" s="172"/>
      <c r="K85" s="172"/>
      <c r="L85" s="172"/>
      <c r="M85" s="172"/>
      <c r="N85" s="172"/>
      <c r="O85" s="172"/>
      <c r="P85" s="172"/>
      <c r="Q85" s="172"/>
      <c r="R85" s="172"/>
      <c r="S85" s="172"/>
      <c r="T85" s="172"/>
      <c r="U85" s="172"/>
      <c r="V85" s="172"/>
      <c r="W85" s="172"/>
      <c r="X85" s="172"/>
      <c r="Y85" s="172"/>
      <c r="Z85" s="172"/>
    </row>
    <row r="86" spans="1:26" ht="18.75">
      <c r="A86" s="433"/>
      <c r="B86" s="433"/>
      <c r="C86" s="433"/>
      <c r="D86" s="433"/>
      <c r="E86" s="433"/>
      <c r="F86" s="172"/>
      <c r="G86" s="172"/>
      <c r="H86" s="172"/>
      <c r="I86" s="172"/>
      <c r="J86" s="172"/>
      <c r="K86" s="172"/>
      <c r="L86" s="172"/>
      <c r="M86" s="172"/>
      <c r="N86" s="172"/>
      <c r="O86" s="172"/>
      <c r="P86" s="172"/>
      <c r="Q86" s="172"/>
      <c r="R86" s="172"/>
      <c r="S86" s="172"/>
      <c r="T86" s="172"/>
      <c r="U86" s="172"/>
      <c r="V86" s="172"/>
      <c r="W86" s="172"/>
      <c r="X86" s="172"/>
      <c r="Y86" s="172"/>
      <c r="Z86" s="172"/>
    </row>
    <row r="87" spans="1:26" ht="18.75">
      <c r="A87" s="433"/>
      <c r="B87" s="433"/>
      <c r="C87" s="433"/>
      <c r="D87" s="433"/>
      <c r="E87" s="433"/>
      <c r="F87" s="172"/>
      <c r="G87" s="172"/>
      <c r="H87" s="172"/>
      <c r="I87" s="172"/>
      <c r="J87" s="172"/>
      <c r="K87" s="172"/>
      <c r="L87" s="172"/>
      <c r="M87" s="172"/>
      <c r="N87" s="172"/>
      <c r="O87" s="172"/>
      <c r="P87" s="172"/>
      <c r="Q87" s="172"/>
      <c r="R87" s="172"/>
      <c r="S87" s="172"/>
      <c r="T87" s="172"/>
      <c r="U87" s="172"/>
      <c r="V87" s="172"/>
      <c r="W87" s="172"/>
      <c r="X87" s="172"/>
      <c r="Y87" s="172"/>
      <c r="Z87" s="172"/>
    </row>
    <row r="88" spans="1:26" ht="18.75">
      <c r="A88" s="433"/>
      <c r="B88" s="433"/>
      <c r="C88" s="433"/>
      <c r="D88" s="433"/>
      <c r="E88" s="433"/>
      <c r="F88" s="172"/>
      <c r="G88" s="172"/>
      <c r="H88" s="172"/>
      <c r="I88" s="172"/>
      <c r="J88" s="172"/>
      <c r="K88" s="172"/>
      <c r="L88" s="172"/>
      <c r="M88" s="172"/>
      <c r="N88" s="172"/>
      <c r="O88" s="172"/>
      <c r="P88" s="172"/>
      <c r="Q88" s="172"/>
      <c r="R88" s="172"/>
      <c r="S88" s="172"/>
      <c r="T88" s="172"/>
      <c r="U88" s="172"/>
      <c r="V88" s="172"/>
      <c r="W88" s="172"/>
      <c r="X88" s="172"/>
      <c r="Y88" s="172"/>
      <c r="Z88" s="172"/>
    </row>
    <row r="89" spans="1:26" ht="18.75">
      <c r="A89" s="172" t="s">
        <v>48</v>
      </c>
      <c r="B89" s="172">
        <v>11</v>
      </c>
      <c r="C89" s="172"/>
      <c r="D89" s="172"/>
      <c r="E89" s="172"/>
      <c r="F89" s="172"/>
      <c r="G89" s="172"/>
      <c r="H89" s="172"/>
      <c r="I89" s="172"/>
      <c r="J89" s="172"/>
      <c r="K89" s="172"/>
      <c r="L89" s="172"/>
      <c r="M89" s="172"/>
      <c r="N89" s="172"/>
      <c r="O89" s="172"/>
      <c r="P89" s="172"/>
      <c r="Q89" s="172"/>
      <c r="R89" s="172"/>
      <c r="S89" s="172"/>
      <c r="T89" s="172"/>
      <c r="U89" s="172"/>
      <c r="V89" s="172"/>
      <c r="W89" s="172"/>
      <c r="X89" s="172"/>
      <c r="Y89" s="172"/>
      <c r="Z89" s="172"/>
    </row>
    <row r="90" spans="1:26" ht="18.75">
      <c r="A90" s="172" t="s">
        <v>919</v>
      </c>
      <c r="B90" s="330">
        <v>0.12</v>
      </c>
      <c r="C90" s="172"/>
      <c r="D90" s="172"/>
      <c r="E90" s="172"/>
      <c r="F90" s="172"/>
      <c r="G90" s="172"/>
      <c r="H90" s="172"/>
      <c r="I90" s="172"/>
      <c r="J90" s="172"/>
      <c r="K90" s="172"/>
      <c r="L90" s="172"/>
      <c r="M90" s="172"/>
      <c r="N90" s="172"/>
      <c r="O90" s="172"/>
      <c r="P90" s="172"/>
      <c r="Q90" s="172"/>
      <c r="R90" s="172"/>
      <c r="S90" s="172"/>
      <c r="T90" s="172"/>
      <c r="U90" s="172"/>
      <c r="V90" s="172"/>
      <c r="W90" s="172"/>
      <c r="X90" s="172"/>
      <c r="Y90" s="172"/>
      <c r="Z90" s="172"/>
    </row>
    <row r="91" spans="1:26" ht="18.75">
      <c r="A91" s="172" t="s">
        <v>920</v>
      </c>
      <c r="B91" s="330">
        <v>7.4999999999999997E-2</v>
      </c>
      <c r="C91" s="172"/>
      <c r="D91" s="172"/>
      <c r="E91" s="172"/>
      <c r="F91" s="172"/>
      <c r="G91" s="172"/>
      <c r="H91" s="172"/>
      <c r="I91" s="172"/>
      <c r="J91" s="172"/>
      <c r="K91" s="172"/>
      <c r="L91" s="172"/>
      <c r="M91" s="172"/>
      <c r="N91" s="172"/>
      <c r="O91" s="172"/>
      <c r="P91" s="172"/>
      <c r="Q91" s="172"/>
      <c r="R91" s="172"/>
      <c r="S91" s="172"/>
      <c r="T91" s="172"/>
      <c r="U91" s="172"/>
      <c r="V91" s="172"/>
      <c r="W91" s="172"/>
      <c r="X91" s="172"/>
      <c r="Y91" s="172"/>
      <c r="Z91" s="172"/>
    </row>
    <row r="92" spans="1:26" ht="18.75">
      <c r="A92" s="172" t="s">
        <v>370</v>
      </c>
      <c r="B92" s="331">
        <f>(1+B91)/B91-(B89*(B90-B91)+1+B91)/(B90*((1+B91)^B89-1)+B91)</f>
        <v>7.2251784586763561</v>
      </c>
      <c r="C92" s="172"/>
      <c r="D92" s="172"/>
      <c r="E92" s="172"/>
      <c r="F92" s="172"/>
      <c r="G92" s="172"/>
      <c r="H92" s="172"/>
      <c r="I92" s="172"/>
      <c r="J92" s="172"/>
      <c r="K92" s="172"/>
      <c r="L92" s="172"/>
      <c r="M92" s="172"/>
      <c r="N92" s="172"/>
      <c r="O92" s="172"/>
      <c r="P92" s="172"/>
      <c r="Q92" s="172"/>
      <c r="R92" s="172"/>
      <c r="S92" s="172"/>
      <c r="T92" s="172"/>
      <c r="U92" s="172"/>
      <c r="V92" s="172"/>
      <c r="W92" s="172"/>
      <c r="X92" s="172"/>
      <c r="Y92" s="172"/>
      <c r="Z92" s="172"/>
    </row>
    <row r="93" spans="1:26" ht="18.75">
      <c r="A93" s="407" t="s">
        <v>921</v>
      </c>
      <c r="B93" s="407"/>
      <c r="C93" s="407"/>
      <c r="D93" s="407"/>
      <c r="E93" s="407"/>
      <c r="F93" s="172"/>
      <c r="G93" s="172"/>
      <c r="H93" s="172"/>
      <c r="I93" s="172"/>
      <c r="J93" s="172"/>
      <c r="K93" s="172"/>
      <c r="L93" s="172"/>
      <c r="M93" s="172"/>
      <c r="N93" s="172"/>
      <c r="O93" s="172"/>
      <c r="P93" s="172"/>
      <c r="Q93" s="172"/>
      <c r="R93" s="172"/>
      <c r="S93" s="172"/>
      <c r="T93" s="172"/>
      <c r="U93" s="172"/>
      <c r="V93" s="172"/>
      <c r="W93" s="172"/>
      <c r="X93" s="172"/>
      <c r="Y93" s="172"/>
      <c r="Z93" s="172"/>
    </row>
    <row r="94" spans="1:26" ht="18.75">
      <c r="A94" s="407"/>
      <c r="B94" s="407"/>
      <c r="C94" s="407"/>
      <c r="D94" s="407"/>
      <c r="E94" s="407"/>
      <c r="F94" s="172"/>
      <c r="G94" s="172"/>
      <c r="H94" s="172"/>
      <c r="I94" s="172"/>
      <c r="J94" s="172"/>
      <c r="K94" s="172"/>
      <c r="L94" s="172"/>
      <c r="M94" s="172"/>
      <c r="N94" s="172"/>
      <c r="O94" s="172"/>
      <c r="P94" s="172"/>
      <c r="Q94" s="172"/>
      <c r="R94" s="172"/>
      <c r="S94" s="172"/>
      <c r="T94" s="172"/>
      <c r="U94" s="172"/>
      <c r="V94" s="172"/>
      <c r="W94" s="172"/>
      <c r="X94" s="172"/>
      <c r="Y94" s="172"/>
      <c r="Z94" s="172"/>
    </row>
    <row r="95" spans="1:26" ht="18.75">
      <c r="A95" s="407"/>
      <c r="B95" s="407"/>
      <c r="C95" s="407"/>
      <c r="D95" s="407"/>
      <c r="E95" s="407"/>
      <c r="F95" s="172"/>
      <c r="G95" s="172"/>
      <c r="H95" s="172"/>
      <c r="I95" s="172"/>
      <c r="J95" s="172"/>
      <c r="K95" s="172"/>
      <c r="L95" s="172"/>
      <c r="M95" s="172"/>
      <c r="N95" s="172"/>
      <c r="O95" s="172"/>
      <c r="P95" s="172"/>
      <c r="Q95" s="172"/>
      <c r="R95" s="172"/>
      <c r="S95" s="172"/>
      <c r="T95" s="172"/>
      <c r="U95" s="172"/>
      <c r="V95" s="172"/>
      <c r="W95" s="172"/>
      <c r="X95" s="172"/>
      <c r="Y95" s="172"/>
      <c r="Z95" s="172"/>
    </row>
    <row r="96" spans="1:26" ht="18.75">
      <c r="A96" s="407"/>
      <c r="B96" s="407"/>
      <c r="C96" s="407"/>
      <c r="D96" s="407"/>
      <c r="E96" s="407"/>
      <c r="F96" s="172"/>
      <c r="G96" s="172"/>
      <c r="H96" s="172"/>
      <c r="I96" s="172"/>
      <c r="J96" s="172"/>
      <c r="K96" s="172"/>
      <c r="L96" s="172"/>
      <c r="M96" s="172"/>
      <c r="N96" s="172"/>
      <c r="O96" s="172"/>
      <c r="P96" s="172"/>
      <c r="Q96" s="172"/>
      <c r="R96" s="172"/>
      <c r="S96" s="172"/>
      <c r="T96" s="172"/>
      <c r="U96" s="172"/>
      <c r="V96" s="172"/>
      <c r="W96" s="172"/>
      <c r="X96" s="172"/>
      <c r="Y96" s="172"/>
      <c r="Z96" s="172"/>
    </row>
    <row r="97" spans="1:26" ht="18.75">
      <c r="A97" s="172" t="s">
        <v>370</v>
      </c>
      <c r="B97" s="172">
        <v>10</v>
      </c>
      <c r="C97" s="172"/>
      <c r="D97" s="172"/>
      <c r="E97" s="172"/>
      <c r="F97" s="172"/>
      <c r="G97" s="172"/>
      <c r="H97" s="172"/>
      <c r="I97" s="172"/>
      <c r="J97" s="172"/>
      <c r="K97" s="172"/>
      <c r="L97" s="172"/>
      <c r="M97" s="172"/>
      <c r="N97" s="172"/>
      <c r="O97" s="172"/>
      <c r="P97" s="172"/>
      <c r="Q97" s="172"/>
      <c r="R97" s="172"/>
      <c r="S97" s="172"/>
      <c r="T97" s="172"/>
      <c r="U97" s="172"/>
      <c r="V97" s="172"/>
      <c r="W97" s="172"/>
      <c r="X97" s="172"/>
      <c r="Y97" s="172"/>
      <c r="Z97" s="172"/>
    </row>
    <row r="98" spans="1:26" ht="18.75">
      <c r="A98" s="172" t="s">
        <v>922</v>
      </c>
      <c r="B98" s="330">
        <v>0.125</v>
      </c>
      <c r="C98" s="172"/>
      <c r="D98" s="172"/>
      <c r="E98" s="172"/>
      <c r="F98" s="172"/>
      <c r="G98" s="172"/>
      <c r="H98" s="172"/>
      <c r="I98" s="172"/>
      <c r="J98" s="172"/>
      <c r="K98" s="172"/>
      <c r="L98" s="172"/>
      <c r="M98" s="172"/>
      <c r="N98" s="172"/>
      <c r="O98" s="172"/>
      <c r="P98" s="172"/>
      <c r="Q98" s="172"/>
      <c r="R98" s="172"/>
      <c r="S98" s="172"/>
      <c r="T98" s="172"/>
      <c r="U98" s="172"/>
      <c r="V98" s="172"/>
      <c r="W98" s="172"/>
      <c r="X98" s="172"/>
      <c r="Y98" s="172"/>
      <c r="Z98" s="172"/>
    </row>
    <row r="99" spans="1:26" ht="18.75">
      <c r="A99" s="172" t="s">
        <v>923</v>
      </c>
      <c r="B99" s="332">
        <v>0.13</v>
      </c>
      <c r="C99" s="172"/>
      <c r="D99" s="172"/>
      <c r="E99" s="172"/>
      <c r="F99" s="172"/>
      <c r="G99" s="172"/>
      <c r="H99" s="172"/>
      <c r="I99" s="172"/>
      <c r="J99" s="172"/>
      <c r="K99" s="172"/>
      <c r="L99" s="172"/>
      <c r="M99" s="172"/>
      <c r="N99" s="172"/>
      <c r="O99" s="172"/>
      <c r="P99" s="172"/>
      <c r="Q99" s="172"/>
      <c r="R99" s="172"/>
      <c r="S99" s="172"/>
      <c r="T99" s="172"/>
      <c r="U99" s="172"/>
      <c r="V99" s="172"/>
      <c r="W99" s="172"/>
      <c r="X99" s="172"/>
      <c r="Y99" s="172"/>
      <c r="Z99" s="172"/>
    </row>
    <row r="100" spans="1:26" ht="18.75">
      <c r="A100" s="172" t="s">
        <v>924</v>
      </c>
      <c r="B100" s="333">
        <f>-B97/(1+B98)*(B99-B98)</f>
        <v>-4.4444444444444488E-2</v>
      </c>
      <c r="C100" s="172"/>
      <c r="D100" s="172"/>
      <c r="E100" s="172"/>
      <c r="F100" s="172"/>
      <c r="G100" s="172"/>
      <c r="H100" s="172"/>
      <c r="I100" s="172"/>
      <c r="J100" s="172"/>
      <c r="K100" s="172"/>
      <c r="L100" s="172"/>
      <c r="M100" s="172"/>
      <c r="N100" s="172"/>
      <c r="O100" s="172"/>
      <c r="P100" s="172"/>
      <c r="Q100" s="172"/>
      <c r="R100" s="172"/>
      <c r="S100" s="172"/>
      <c r="T100" s="172"/>
      <c r="U100" s="172"/>
      <c r="V100" s="172"/>
      <c r="W100" s="172"/>
      <c r="X100" s="172"/>
      <c r="Y100" s="172"/>
      <c r="Z100" s="172"/>
    </row>
    <row r="101" spans="1:26" ht="18.75">
      <c r="A101" s="24"/>
      <c r="B101" s="172"/>
      <c r="C101" s="172"/>
      <c r="D101" s="172"/>
      <c r="E101" s="172"/>
      <c r="F101" s="172"/>
      <c r="G101" s="172"/>
      <c r="H101" s="172"/>
      <c r="I101" s="172"/>
      <c r="J101" s="172"/>
      <c r="K101" s="172"/>
      <c r="L101" s="172"/>
      <c r="M101" s="172"/>
      <c r="N101" s="172"/>
      <c r="O101" s="172"/>
      <c r="P101" s="172"/>
      <c r="Q101" s="172"/>
      <c r="R101" s="172"/>
      <c r="S101" s="172"/>
      <c r="T101" s="172"/>
      <c r="U101" s="172"/>
      <c r="V101" s="172"/>
      <c r="W101" s="172"/>
      <c r="X101" s="172"/>
      <c r="Y101" s="172"/>
      <c r="Z101" s="172"/>
    </row>
    <row r="102" spans="1:26" ht="18" customHeight="1">
      <c r="A102" s="407" t="s">
        <v>925</v>
      </c>
      <c r="B102" s="407"/>
      <c r="C102" s="407"/>
      <c r="D102" s="407"/>
      <c r="E102" s="407"/>
      <c r="F102" s="407"/>
      <c r="G102" s="172"/>
      <c r="H102" s="172"/>
      <c r="I102" s="172"/>
      <c r="J102" s="172"/>
      <c r="K102" s="172"/>
      <c r="L102" s="172"/>
      <c r="M102" s="172"/>
      <c r="N102" s="172"/>
      <c r="O102" s="172"/>
      <c r="P102" s="172"/>
      <c r="Q102" s="172"/>
      <c r="R102" s="172"/>
      <c r="S102" s="172"/>
      <c r="T102" s="172"/>
      <c r="U102" s="172"/>
      <c r="V102" s="172"/>
      <c r="W102" s="172"/>
      <c r="X102" s="172"/>
      <c r="Y102" s="172"/>
      <c r="Z102" s="172"/>
    </row>
    <row r="103" spans="1:26" ht="18" customHeight="1">
      <c r="A103" s="407"/>
      <c r="B103" s="407"/>
      <c r="C103" s="407"/>
      <c r="D103" s="407"/>
      <c r="E103" s="407"/>
      <c r="F103" s="407"/>
      <c r="G103" s="172"/>
      <c r="H103" s="172"/>
      <c r="I103" s="172"/>
      <c r="J103" s="172"/>
      <c r="K103" s="172"/>
      <c r="L103" s="172"/>
      <c r="M103" s="172"/>
      <c r="N103" s="172"/>
      <c r="O103" s="172"/>
      <c r="P103" s="172"/>
      <c r="Q103" s="172"/>
      <c r="R103" s="172"/>
      <c r="S103" s="172"/>
      <c r="T103" s="172"/>
      <c r="U103" s="172"/>
      <c r="V103" s="172"/>
      <c r="W103" s="172"/>
      <c r="X103" s="172"/>
      <c r="Y103" s="172"/>
      <c r="Z103" s="172"/>
    </row>
    <row r="104" spans="1:26" ht="18" customHeight="1">
      <c r="A104" s="407"/>
      <c r="B104" s="407"/>
      <c r="C104" s="407"/>
      <c r="D104" s="407"/>
      <c r="E104" s="407"/>
      <c r="F104" s="407"/>
      <c r="G104" s="172"/>
      <c r="H104" s="172"/>
      <c r="I104" s="172"/>
      <c r="J104" s="172"/>
      <c r="K104" s="172"/>
      <c r="L104" s="172"/>
      <c r="M104" s="172"/>
      <c r="N104" s="172"/>
      <c r="O104" s="172"/>
      <c r="P104" s="172"/>
      <c r="Q104" s="172"/>
      <c r="R104" s="172"/>
      <c r="S104" s="172"/>
      <c r="T104" s="172"/>
      <c r="U104" s="172"/>
      <c r="V104" s="172"/>
      <c r="W104" s="172"/>
      <c r="X104" s="172"/>
      <c r="Y104" s="172"/>
      <c r="Z104" s="172"/>
    </row>
    <row r="105" spans="1:26" ht="18" customHeight="1">
      <c r="A105" s="407"/>
      <c r="B105" s="407"/>
      <c r="C105" s="407"/>
      <c r="D105" s="407"/>
      <c r="E105" s="407"/>
      <c r="F105" s="407"/>
      <c r="G105" s="172"/>
      <c r="H105" s="172"/>
      <c r="I105" s="172"/>
      <c r="J105" s="172"/>
      <c r="K105" s="172"/>
      <c r="L105" s="172"/>
      <c r="M105" s="172"/>
      <c r="N105" s="172"/>
      <c r="O105" s="172"/>
      <c r="P105" s="172"/>
      <c r="Q105" s="172"/>
      <c r="R105" s="172"/>
      <c r="S105" s="172"/>
      <c r="T105" s="172"/>
      <c r="U105" s="172"/>
      <c r="V105" s="172"/>
      <c r="W105" s="172"/>
      <c r="X105" s="172"/>
      <c r="Y105" s="172"/>
      <c r="Z105" s="172"/>
    </row>
    <row r="106" spans="1:26" ht="18" customHeight="1">
      <c r="A106" s="407"/>
      <c r="B106" s="407"/>
      <c r="C106" s="407"/>
      <c r="D106" s="407"/>
      <c r="E106" s="407"/>
      <c r="F106" s="407"/>
      <c r="G106" s="172"/>
      <c r="H106" s="172"/>
      <c r="I106" s="172"/>
      <c r="J106" s="172"/>
      <c r="K106" s="172"/>
      <c r="L106" s="172"/>
      <c r="M106" s="172"/>
      <c r="N106" s="172"/>
      <c r="O106" s="172"/>
      <c r="P106" s="172"/>
      <c r="Q106" s="172"/>
      <c r="R106" s="172"/>
      <c r="S106" s="172"/>
      <c r="T106" s="172"/>
      <c r="U106" s="172"/>
      <c r="V106" s="172"/>
      <c r="W106" s="172"/>
      <c r="X106" s="172"/>
      <c r="Y106" s="172"/>
      <c r="Z106" s="172"/>
    </row>
    <row r="107" spans="1:26" ht="18" customHeight="1">
      <c r="A107" s="407"/>
      <c r="B107" s="407"/>
      <c r="C107" s="407"/>
      <c r="D107" s="407"/>
      <c r="E107" s="407"/>
      <c r="F107" s="407"/>
      <c r="G107" s="172"/>
      <c r="H107" s="172"/>
      <c r="I107" s="172"/>
      <c r="J107" s="172"/>
      <c r="K107" s="172"/>
      <c r="L107" s="172"/>
      <c r="M107" s="172"/>
      <c r="N107" s="172"/>
      <c r="O107" s="172"/>
      <c r="P107" s="172"/>
      <c r="Q107" s="172"/>
      <c r="R107" s="172"/>
      <c r="S107" s="172"/>
      <c r="T107" s="172"/>
      <c r="U107" s="172"/>
      <c r="V107" s="172"/>
      <c r="W107" s="172"/>
      <c r="X107" s="172"/>
      <c r="Y107" s="172"/>
      <c r="Z107" s="172"/>
    </row>
    <row r="108" spans="1:26" ht="18" customHeight="1">
      <c r="A108" s="407"/>
      <c r="B108" s="407"/>
      <c r="C108" s="407"/>
      <c r="D108" s="407"/>
      <c r="E108" s="407"/>
      <c r="F108" s="407"/>
      <c r="G108" s="172"/>
      <c r="H108" s="172"/>
      <c r="I108" s="172"/>
      <c r="J108" s="172"/>
      <c r="K108" s="172"/>
      <c r="L108" s="172"/>
      <c r="M108" s="172"/>
      <c r="N108" s="172"/>
      <c r="O108" s="172"/>
      <c r="P108" s="172"/>
      <c r="Q108" s="172"/>
      <c r="R108" s="172"/>
      <c r="S108" s="172"/>
      <c r="T108" s="172"/>
      <c r="U108" s="172"/>
      <c r="V108" s="172"/>
      <c r="W108" s="172"/>
      <c r="X108" s="172"/>
      <c r="Y108" s="172"/>
      <c r="Z108" s="172"/>
    </row>
    <row r="109" spans="1:26" ht="18.75">
      <c r="A109" s="24"/>
      <c r="B109" s="172"/>
      <c r="C109" s="172"/>
      <c r="D109" s="172"/>
      <c r="E109" s="172"/>
      <c r="F109" s="172"/>
      <c r="G109" s="172"/>
      <c r="H109" s="172"/>
      <c r="I109" s="172"/>
      <c r="J109" s="172"/>
      <c r="K109" s="172"/>
      <c r="L109" s="172"/>
      <c r="M109" s="172"/>
      <c r="N109" s="172"/>
      <c r="O109" s="172"/>
      <c r="P109" s="172"/>
      <c r="Q109" s="172"/>
      <c r="R109" s="172"/>
      <c r="S109" s="172"/>
      <c r="T109" s="172"/>
      <c r="U109" s="172"/>
      <c r="V109" s="172"/>
      <c r="W109" s="172"/>
      <c r="X109" s="172"/>
      <c r="Y109" s="172"/>
      <c r="Z109" s="172"/>
    </row>
    <row r="110" spans="1:26" ht="18.75">
      <c r="A110" s="24" t="s">
        <v>926</v>
      </c>
      <c r="B110" s="172" t="s">
        <v>927</v>
      </c>
      <c r="C110" s="172"/>
      <c r="D110" s="172" t="s">
        <v>82</v>
      </c>
      <c r="E110" s="172">
        <v>0.12</v>
      </c>
      <c r="F110" s="172"/>
      <c r="G110" s="172"/>
      <c r="H110" s="172"/>
      <c r="I110" s="172"/>
      <c r="J110" s="172"/>
      <c r="K110" s="172"/>
      <c r="L110" s="172"/>
      <c r="M110" s="172"/>
      <c r="N110" s="172"/>
      <c r="O110" s="172"/>
      <c r="P110" s="172"/>
      <c r="Q110" s="172"/>
      <c r="R110" s="172"/>
      <c r="S110" s="172"/>
      <c r="T110" s="172"/>
      <c r="U110" s="172"/>
      <c r="V110" s="172"/>
      <c r="W110" s="172"/>
      <c r="X110" s="172"/>
      <c r="Y110" s="172"/>
      <c r="Z110" s="172"/>
    </row>
    <row r="111" spans="1:26" ht="18.75">
      <c r="A111" s="24" t="s">
        <v>928</v>
      </c>
      <c r="B111" s="172" t="s">
        <v>929</v>
      </c>
      <c r="C111" s="172"/>
      <c r="D111" s="172" t="s">
        <v>273</v>
      </c>
      <c r="E111" s="172">
        <v>1600</v>
      </c>
      <c r="F111" s="172"/>
      <c r="G111" s="172"/>
      <c r="H111" s="172"/>
      <c r="I111" s="172"/>
      <c r="J111" s="172"/>
      <c r="K111" s="172"/>
      <c r="L111" s="172"/>
      <c r="M111" s="172"/>
      <c r="N111" s="172"/>
      <c r="O111" s="172"/>
      <c r="P111" s="172"/>
      <c r="Q111" s="172"/>
      <c r="R111" s="172"/>
      <c r="S111" s="172"/>
      <c r="T111" s="172"/>
      <c r="U111" s="172"/>
      <c r="V111" s="172"/>
      <c r="W111" s="172"/>
      <c r="X111" s="172"/>
      <c r="Y111" s="172"/>
      <c r="Z111" s="172"/>
    </row>
    <row r="112" spans="1:26" ht="18.75">
      <c r="A112" s="24" t="s">
        <v>930</v>
      </c>
      <c r="B112" s="172"/>
      <c r="C112" s="172"/>
      <c r="D112" t="s">
        <v>192</v>
      </c>
      <c r="E112">
        <v>4</v>
      </c>
      <c r="F112" s="172"/>
      <c r="G112" s="172"/>
      <c r="H112" s="172"/>
      <c r="I112" s="172"/>
      <c r="J112" s="172"/>
      <c r="K112" s="172"/>
      <c r="L112" s="172"/>
      <c r="M112" s="172"/>
      <c r="N112" s="172"/>
      <c r="O112" s="172"/>
      <c r="P112" s="172"/>
      <c r="Q112" s="172"/>
      <c r="R112" s="172"/>
      <c r="S112" s="172"/>
      <c r="T112" s="172"/>
      <c r="U112" s="172"/>
      <c r="V112" s="172"/>
      <c r="W112" s="172"/>
      <c r="X112" s="172"/>
      <c r="Y112" s="172"/>
      <c r="Z112" s="172"/>
    </row>
    <row r="113" spans="1:26" ht="18.75">
      <c r="A113" s="24" t="s">
        <v>931</v>
      </c>
      <c r="B113" s="172"/>
      <c r="C113" s="172"/>
      <c r="D113" s="172" t="s">
        <v>565</v>
      </c>
      <c r="E113" s="172">
        <v>3</v>
      </c>
      <c r="H113" s="172"/>
      <c r="I113" s="172"/>
      <c r="J113" s="172"/>
      <c r="K113" s="172"/>
      <c r="L113" s="172"/>
      <c r="M113" s="172"/>
      <c r="N113" s="172"/>
      <c r="O113" s="172"/>
      <c r="P113" s="172"/>
      <c r="Q113" s="172"/>
      <c r="R113" s="172"/>
      <c r="S113" s="172"/>
      <c r="T113" s="172"/>
      <c r="U113" s="172"/>
      <c r="V113" s="172"/>
      <c r="W113" s="172"/>
      <c r="X113" s="172"/>
      <c r="Y113" s="172"/>
      <c r="Z113" s="172"/>
    </row>
    <row r="114" spans="1:26" ht="18.75">
      <c r="A114" s="24" t="s">
        <v>932</v>
      </c>
      <c r="B114" s="172">
        <f>1/3</f>
        <v>0.33333333333333331</v>
      </c>
      <c r="C114" s="172"/>
      <c r="D114" s="172" t="s">
        <v>566</v>
      </c>
      <c r="E114" s="172">
        <v>6</v>
      </c>
      <c r="H114" s="172"/>
      <c r="I114" s="172"/>
      <c r="J114" s="172"/>
      <c r="K114" s="172"/>
      <c r="L114" s="172"/>
      <c r="M114" s="172"/>
      <c r="N114" s="172"/>
      <c r="O114" s="172"/>
      <c r="P114" s="172"/>
      <c r="Q114" s="172"/>
      <c r="R114" s="172"/>
      <c r="S114" s="172"/>
      <c r="T114" s="172"/>
      <c r="U114" s="172"/>
      <c r="V114" s="172"/>
      <c r="W114" s="172"/>
      <c r="X114" s="172"/>
      <c r="Y114" s="172"/>
      <c r="Z114" s="172"/>
    </row>
    <row r="115" spans="1:26" ht="18.75">
      <c r="A115" s="24" t="s">
        <v>933</v>
      </c>
      <c r="B115" s="172">
        <f>1-B114</f>
        <v>0.66666666666666674</v>
      </c>
      <c r="C115" s="172"/>
      <c r="D115" s="172" t="s">
        <v>75</v>
      </c>
      <c r="E115" s="172">
        <f>E111*(1+E110)^(-E112)</f>
        <v>1016.8289254477299</v>
      </c>
      <c r="F115" s="172"/>
      <c r="G115" s="172"/>
      <c r="H115" s="172"/>
      <c r="I115" s="172"/>
      <c r="J115" s="172"/>
      <c r="K115" s="172"/>
      <c r="L115" s="172"/>
      <c r="M115" s="172"/>
      <c r="N115" s="172"/>
      <c r="O115" s="172"/>
      <c r="P115" s="172"/>
      <c r="Q115" s="172"/>
      <c r="R115" s="172"/>
      <c r="S115" s="172"/>
      <c r="T115" s="172"/>
      <c r="U115" s="172"/>
      <c r="V115" s="172"/>
      <c r="W115" s="172"/>
      <c r="X115" s="172"/>
      <c r="Y115" s="172"/>
      <c r="Z115" s="172"/>
    </row>
    <row r="116" spans="1:26" ht="18.75">
      <c r="A116" s="24"/>
      <c r="B116" s="172"/>
      <c r="C116" s="172"/>
      <c r="D116" s="172" t="s">
        <v>898</v>
      </c>
      <c r="E116" s="172">
        <f>B115*E115</f>
        <v>677.8859502984867</v>
      </c>
      <c r="F116" s="172" t="s">
        <v>934</v>
      </c>
      <c r="G116" s="336">
        <f>E116*(1+E110)^E113</f>
        <v>952.38095238095264</v>
      </c>
      <c r="H116" s="172"/>
      <c r="I116" s="172"/>
      <c r="J116" s="172"/>
      <c r="K116" s="172"/>
      <c r="L116" s="172"/>
      <c r="M116" s="172"/>
      <c r="N116" s="172"/>
      <c r="O116" s="172"/>
      <c r="P116" s="172"/>
      <c r="Q116" s="172"/>
      <c r="R116" s="172"/>
      <c r="S116" s="172"/>
      <c r="T116" s="172"/>
      <c r="U116" s="172"/>
      <c r="V116" s="172"/>
      <c r="W116" s="172"/>
      <c r="X116" s="172"/>
      <c r="Y116" s="172"/>
      <c r="Z116" s="172"/>
    </row>
    <row r="117" spans="1:26" ht="18.75">
      <c r="A117" s="24"/>
      <c r="B117" s="172"/>
      <c r="C117" s="172"/>
      <c r="D117" s="172" t="s">
        <v>935</v>
      </c>
      <c r="E117" s="172">
        <f>B114*E115</f>
        <v>338.9429751492433</v>
      </c>
      <c r="F117" s="172" t="s">
        <v>936</v>
      </c>
      <c r="G117" s="336">
        <f>E117*(1+E110)^E114</f>
        <v>669.01333333333343</v>
      </c>
      <c r="H117" s="172"/>
      <c r="I117" s="172"/>
      <c r="J117" s="172"/>
      <c r="K117" s="172"/>
      <c r="L117" s="172"/>
      <c r="M117" s="172"/>
      <c r="N117" s="172"/>
      <c r="O117" s="172"/>
      <c r="P117" s="172"/>
      <c r="Q117" s="172"/>
      <c r="R117" s="172"/>
      <c r="S117" s="172"/>
      <c r="T117" s="172"/>
      <c r="U117" s="172"/>
      <c r="V117" s="172"/>
      <c r="W117" s="172"/>
      <c r="X117" s="172"/>
      <c r="Y117" s="172"/>
      <c r="Z117" s="172"/>
    </row>
    <row r="118" spans="1:26" ht="18.75">
      <c r="A118" s="78"/>
      <c r="B118" s="172"/>
      <c r="C118" s="172"/>
      <c r="D118" s="172"/>
      <c r="E118" s="172"/>
      <c r="F118" s="172"/>
      <c r="G118" s="172"/>
      <c r="H118" s="172"/>
      <c r="I118" s="172"/>
      <c r="J118" s="172"/>
      <c r="K118" s="172"/>
      <c r="L118" s="172"/>
      <c r="M118" s="172"/>
      <c r="N118" s="172"/>
      <c r="O118" s="172"/>
      <c r="P118" s="172"/>
      <c r="Q118" s="172"/>
      <c r="R118" s="172"/>
      <c r="S118" s="172"/>
      <c r="T118" s="172"/>
      <c r="U118" s="172"/>
      <c r="V118" s="172"/>
      <c r="W118" s="172"/>
      <c r="X118" s="172"/>
      <c r="Y118" s="172"/>
      <c r="Z118" s="172"/>
    </row>
    <row r="119" spans="1:26" ht="18.75">
      <c r="A119" s="24" t="s">
        <v>937</v>
      </c>
      <c r="B119" s="172"/>
      <c r="C119" s="172"/>
      <c r="D119" s="172"/>
      <c r="E119" s="172"/>
      <c r="F119" s="172"/>
      <c r="G119" s="172"/>
      <c r="H119" s="172"/>
      <c r="I119" s="172"/>
      <c r="J119" s="172"/>
      <c r="K119" s="172"/>
      <c r="L119" s="172"/>
      <c r="M119" s="172"/>
      <c r="N119" s="172"/>
      <c r="O119" s="172"/>
      <c r="P119" s="172"/>
      <c r="Q119" s="172"/>
      <c r="R119" s="172"/>
      <c r="S119" s="172"/>
      <c r="T119" s="172"/>
      <c r="U119" s="172"/>
      <c r="V119" s="172"/>
      <c r="W119" s="172"/>
      <c r="X119" s="172"/>
      <c r="Y119" s="172"/>
      <c r="Z119" s="172"/>
    </row>
    <row r="120" spans="1:26" ht="18.75">
      <c r="A120" t="s">
        <v>938</v>
      </c>
      <c r="B120">
        <v>2350</v>
      </c>
      <c r="G120" s="172"/>
      <c r="H120" s="172"/>
      <c r="I120" s="172"/>
      <c r="J120" s="172"/>
      <c r="K120" s="172"/>
      <c r="L120" s="172"/>
      <c r="M120" s="172"/>
      <c r="N120" s="172"/>
      <c r="O120" s="172"/>
      <c r="P120" s="172"/>
      <c r="Q120" s="172"/>
      <c r="R120" s="172"/>
      <c r="S120" s="172"/>
      <c r="T120" s="172"/>
      <c r="U120" s="172"/>
      <c r="V120" s="172"/>
      <c r="W120" s="172"/>
      <c r="X120" s="172"/>
      <c r="Y120" s="172"/>
      <c r="Z120" s="172"/>
    </row>
    <row r="121" spans="1:26">
      <c r="A121" t="s">
        <v>919</v>
      </c>
      <c r="B121" s="2">
        <v>0.11</v>
      </c>
    </row>
    <row r="122" spans="1:26" ht="18.75">
      <c r="A122" t="s">
        <v>939</v>
      </c>
      <c r="B122">
        <v>1.5</v>
      </c>
      <c r="G122" s="172"/>
      <c r="H122" s="172"/>
      <c r="I122" s="172"/>
      <c r="J122" s="172"/>
      <c r="K122" s="172"/>
      <c r="L122" s="172"/>
      <c r="M122" s="172"/>
      <c r="N122" s="172"/>
      <c r="O122" s="172"/>
      <c r="P122" s="172"/>
      <c r="Q122" s="172"/>
      <c r="R122" s="172"/>
      <c r="S122" s="172"/>
      <c r="T122" s="172"/>
      <c r="U122" s="172"/>
      <c r="V122" s="172"/>
      <c r="W122" s="172"/>
      <c r="X122" s="172"/>
      <c r="Y122" s="172"/>
      <c r="Z122" s="172"/>
    </row>
    <row r="123" spans="1:26" ht="18.75">
      <c r="A123" t="s">
        <v>940</v>
      </c>
      <c r="B123" s="2">
        <v>0.12</v>
      </c>
      <c r="G123" s="172"/>
      <c r="H123" s="172"/>
      <c r="I123" s="172"/>
      <c r="J123" s="172"/>
      <c r="K123" s="172"/>
      <c r="L123" s="172"/>
      <c r="M123" s="172"/>
      <c r="N123" s="172"/>
      <c r="O123" s="172"/>
      <c r="P123" s="172"/>
      <c r="Q123" s="172"/>
      <c r="R123" s="172"/>
      <c r="S123" s="172"/>
      <c r="T123" s="172"/>
      <c r="U123" s="172"/>
      <c r="V123" s="172"/>
      <c r="W123" s="172"/>
      <c r="X123" s="172"/>
      <c r="Y123" s="172"/>
      <c r="Z123" s="172"/>
    </row>
    <row r="124" spans="1:26" ht="18.75">
      <c r="G124" s="172"/>
      <c r="H124" s="172"/>
      <c r="I124" s="172"/>
      <c r="J124" s="172"/>
      <c r="K124" s="172"/>
      <c r="L124" s="172"/>
      <c r="M124" s="172"/>
      <c r="N124" s="172"/>
      <c r="O124" s="172"/>
      <c r="P124" s="172"/>
      <c r="Q124" s="172"/>
      <c r="R124" s="172"/>
      <c r="S124" s="172"/>
      <c r="T124" s="172"/>
      <c r="U124" s="172"/>
      <c r="V124" s="172"/>
      <c r="W124" s="172"/>
      <c r="X124" s="172"/>
      <c r="Y124" s="172"/>
      <c r="Z124" s="172"/>
    </row>
    <row r="125" spans="1:26" ht="18.75">
      <c r="A125" t="s">
        <v>290</v>
      </c>
      <c r="B125">
        <v>0.5</v>
      </c>
      <c r="G125" s="172"/>
      <c r="H125" s="172"/>
      <c r="I125" s="172"/>
      <c r="J125" s="172"/>
      <c r="K125" s="172"/>
      <c r="L125" s="172"/>
      <c r="M125" s="172"/>
      <c r="N125" s="172"/>
      <c r="O125" s="172"/>
      <c r="P125" s="172"/>
      <c r="Q125" s="172"/>
      <c r="R125" s="172"/>
      <c r="S125" s="172"/>
      <c r="T125" s="172"/>
      <c r="U125" s="172"/>
      <c r="V125" s="172"/>
      <c r="W125" s="172"/>
      <c r="X125" s="172"/>
      <c r="Y125" s="172"/>
      <c r="Z125" s="172"/>
    </row>
    <row r="126" spans="1:26" ht="18.75">
      <c r="A126" t="s">
        <v>42</v>
      </c>
      <c r="B126">
        <v>1</v>
      </c>
      <c r="G126" s="172"/>
      <c r="H126" s="172"/>
      <c r="I126" s="172"/>
      <c r="J126" s="172"/>
      <c r="K126" s="172"/>
      <c r="L126" s="172"/>
      <c r="M126" s="172"/>
      <c r="N126" s="172"/>
      <c r="O126" s="172"/>
      <c r="P126" s="172"/>
      <c r="Q126" s="172"/>
      <c r="R126" s="172"/>
      <c r="S126" s="172"/>
      <c r="T126" s="172"/>
      <c r="U126" s="172"/>
      <c r="V126" s="172"/>
      <c r="W126" s="172"/>
      <c r="X126" s="172"/>
      <c r="Y126" s="172"/>
      <c r="Z126" s="172"/>
    </row>
    <row r="127" spans="1:26" ht="18.75">
      <c r="A127" t="s">
        <v>941</v>
      </c>
      <c r="C127" s="2">
        <f>B123</f>
        <v>0.12</v>
      </c>
      <c r="G127" s="172"/>
      <c r="H127" s="172"/>
      <c r="I127" s="172"/>
      <c r="J127" s="172"/>
      <c r="K127" s="172"/>
      <c r="L127" s="172"/>
      <c r="M127" s="172"/>
      <c r="N127" s="172"/>
      <c r="O127" s="172"/>
      <c r="P127" s="172"/>
      <c r="Q127" s="172"/>
      <c r="R127" s="172"/>
      <c r="S127" s="172"/>
      <c r="T127" s="172"/>
      <c r="U127" s="172"/>
      <c r="V127" s="172"/>
      <c r="W127" s="172"/>
      <c r="X127" s="172"/>
      <c r="Y127" s="172"/>
      <c r="Z127" s="172"/>
    </row>
    <row r="128" spans="1:26" ht="18.75">
      <c r="A128" t="s">
        <v>942</v>
      </c>
      <c r="G128" s="172"/>
      <c r="H128" s="172"/>
      <c r="I128" s="172"/>
      <c r="J128" s="172"/>
      <c r="K128" s="172"/>
      <c r="L128" s="172"/>
      <c r="M128" s="172"/>
      <c r="N128" s="172"/>
      <c r="O128" s="172"/>
      <c r="P128" s="172"/>
      <c r="Q128" s="172"/>
      <c r="R128" s="172"/>
      <c r="S128" s="172"/>
      <c r="T128" s="172"/>
      <c r="U128" s="172"/>
      <c r="V128" s="172"/>
      <c r="W128" s="172"/>
      <c r="X128" s="172"/>
      <c r="Y128" s="172"/>
      <c r="Z128" s="172"/>
    </row>
    <row r="129" spans="1:26" ht="18.75">
      <c r="A129" t="s">
        <v>943</v>
      </c>
      <c r="C129">
        <f>B121*B120</f>
        <v>258.5</v>
      </c>
      <c r="G129" s="172"/>
      <c r="H129" s="172"/>
      <c r="I129" s="172"/>
      <c r="J129" s="172"/>
      <c r="K129" s="172"/>
      <c r="L129" s="172"/>
      <c r="M129" s="172"/>
      <c r="N129" s="172"/>
      <c r="O129" s="172"/>
      <c r="P129" s="172"/>
      <c r="Q129" s="172"/>
      <c r="R129" s="172"/>
      <c r="S129" s="172"/>
      <c r="T129" s="172"/>
      <c r="U129" s="172"/>
      <c r="V129" s="172"/>
      <c r="W129" s="172"/>
      <c r="X129" s="172"/>
      <c r="Y129" s="172"/>
      <c r="Z129" s="172"/>
    </row>
    <row r="130" spans="1:26" ht="18.75">
      <c r="A130" t="s">
        <v>944</v>
      </c>
      <c r="F130" s="311">
        <f>(C129+(C129+B120)/(1+C127))/(1+B123)^B125</f>
        <v>2444.9745581924117</v>
      </c>
      <c r="G130" s="172"/>
      <c r="H130" s="172"/>
      <c r="I130" s="172"/>
      <c r="J130" s="172"/>
      <c r="K130" s="172"/>
      <c r="L130" s="172"/>
      <c r="M130" s="172"/>
      <c r="N130" s="172"/>
      <c r="O130" s="172"/>
      <c r="P130" s="172"/>
      <c r="Q130" s="172"/>
      <c r="R130" s="172"/>
      <c r="S130" s="172"/>
      <c r="T130" s="172"/>
      <c r="U130" s="172"/>
      <c r="V130" s="172"/>
      <c r="W130" s="172"/>
      <c r="X130" s="172"/>
      <c r="Y130" s="172"/>
      <c r="Z130" s="172"/>
    </row>
    <row r="131" spans="1:26" ht="18" customHeight="1">
      <c r="A131" s="407" t="s">
        <v>945</v>
      </c>
      <c r="B131" s="407"/>
      <c r="C131" s="407"/>
      <c r="D131" s="407"/>
      <c r="E131" s="407"/>
      <c r="F131" s="172"/>
      <c r="L131" s="172"/>
      <c r="M131" s="172"/>
      <c r="N131" s="172"/>
      <c r="O131" s="172"/>
      <c r="P131" s="172"/>
      <c r="Q131" s="172"/>
      <c r="R131" s="172"/>
      <c r="S131" s="172"/>
      <c r="T131" s="172"/>
      <c r="U131" s="172"/>
      <c r="V131" s="172"/>
      <c r="W131" s="172"/>
      <c r="X131" s="172"/>
      <c r="Y131" s="172"/>
      <c r="Z131" s="172"/>
    </row>
    <row r="132" spans="1:26" ht="18" customHeight="1">
      <c r="A132" s="407"/>
      <c r="B132" s="407"/>
      <c r="C132" s="407"/>
      <c r="D132" s="407"/>
      <c r="E132" s="407"/>
      <c r="F132" s="172"/>
      <c r="H132" s="251"/>
      <c r="L132" s="172"/>
      <c r="M132" s="172"/>
      <c r="N132" s="172"/>
      <c r="O132" s="172"/>
      <c r="P132" s="172"/>
      <c r="Q132" s="172"/>
      <c r="R132" s="172"/>
      <c r="S132" s="172"/>
      <c r="T132" s="172"/>
      <c r="U132" s="172"/>
      <c r="V132" s="172"/>
      <c r="W132" s="172"/>
      <c r="X132" s="172"/>
      <c r="Y132" s="172"/>
      <c r="Z132" s="172"/>
    </row>
    <row r="133" spans="1:26" ht="18" customHeight="1">
      <c r="A133" s="407"/>
      <c r="B133" s="407"/>
      <c r="C133" s="407"/>
      <c r="D133" s="407"/>
      <c r="E133" s="407"/>
      <c r="F133" s="172"/>
      <c r="L133" s="172"/>
      <c r="M133" s="172"/>
      <c r="N133" s="172"/>
      <c r="O133" s="172"/>
      <c r="P133" s="172"/>
      <c r="Q133" s="172"/>
      <c r="R133" s="172"/>
      <c r="S133" s="172"/>
      <c r="T133" s="172"/>
      <c r="U133" s="172"/>
      <c r="V133" s="172"/>
      <c r="W133" s="172"/>
      <c r="X133" s="172"/>
      <c r="Y133" s="172"/>
      <c r="Z133" s="172"/>
    </row>
    <row r="134" spans="1:26" ht="18" customHeight="1">
      <c r="A134" s="407"/>
      <c r="B134" s="407"/>
      <c r="C134" s="407"/>
      <c r="D134" s="407"/>
      <c r="E134" s="407"/>
      <c r="F134" s="172"/>
      <c r="H134" s="2"/>
      <c r="L134" s="172"/>
      <c r="M134" s="172"/>
      <c r="N134" s="172"/>
      <c r="O134" s="172"/>
      <c r="P134" s="172"/>
      <c r="Q134" s="172"/>
      <c r="R134" s="172"/>
      <c r="S134" s="172"/>
      <c r="T134" s="172"/>
      <c r="U134" s="172"/>
      <c r="V134" s="172"/>
      <c r="W134" s="172"/>
      <c r="X134" s="172"/>
      <c r="Y134" s="172"/>
      <c r="Z134" s="172"/>
    </row>
    <row r="135" spans="1:26" ht="18" customHeight="1">
      <c r="A135" s="407"/>
      <c r="B135" s="407"/>
      <c r="C135" s="407"/>
      <c r="D135" s="407"/>
      <c r="E135" s="407"/>
      <c r="F135" s="172"/>
      <c r="L135" s="172"/>
      <c r="M135" s="172"/>
      <c r="N135" s="172"/>
      <c r="O135" s="172"/>
      <c r="P135" s="172"/>
      <c r="Q135" s="172"/>
      <c r="R135" s="172"/>
      <c r="S135" s="172"/>
      <c r="T135" s="172"/>
      <c r="U135" s="172"/>
      <c r="V135" s="172"/>
      <c r="W135" s="172"/>
      <c r="X135" s="172"/>
      <c r="Y135" s="172"/>
      <c r="Z135" s="172"/>
    </row>
    <row r="136" spans="1:26" ht="18" customHeight="1">
      <c r="A136" s="407"/>
      <c r="B136" s="407"/>
      <c r="C136" s="407"/>
      <c r="D136" s="407"/>
      <c r="E136" s="407"/>
      <c r="F136" s="172"/>
      <c r="L136" s="172"/>
      <c r="M136" s="172"/>
      <c r="N136" s="172"/>
      <c r="O136" s="172"/>
      <c r="P136" s="172"/>
      <c r="Q136" s="172"/>
      <c r="R136" s="172"/>
      <c r="S136" s="172"/>
      <c r="T136" s="172"/>
      <c r="U136" s="172"/>
      <c r="V136" s="172"/>
      <c r="W136" s="172"/>
      <c r="X136" s="172"/>
      <c r="Y136" s="172"/>
      <c r="Z136" s="172"/>
    </row>
    <row r="137" spans="1:26" ht="18" customHeight="1">
      <c r="A137" s="407"/>
      <c r="B137" s="407"/>
      <c r="C137" s="407"/>
      <c r="D137" s="407"/>
      <c r="E137" s="407"/>
      <c r="F137" s="172"/>
      <c r="L137" s="172"/>
      <c r="M137" s="172"/>
      <c r="N137" s="172"/>
      <c r="O137" s="172"/>
      <c r="P137" s="172"/>
      <c r="Q137" s="172"/>
      <c r="R137" s="172"/>
      <c r="S137" s="172"/>
      <c r="T137" s="172"/>
      <c r="U137" s="172"/>
      <c r="V137" s="172"/>
      <c r="W137" s="172"/>
      <c r="X137" s="172"/>
      <c r="Y137" s="172"/>
      <c r="Z137" s="172"/>
    </row>
    <row r="138" spans="1:26" ht="18" customHeight="1">
      <c r="A138" t="s">
        <v>938</v>
      </c>
      <c r="B138">
        <v>1230</v>
      </c>
      <c r="F138" s="172"/>
      <c r="L138" s="172"/>
      <c r="M138" s="172"/>
      <c r="N138" s="172"/>
      <c r="O138" s="172"/>
      <c r="P138" s="172"/>
      <c r="Q138" s="172"/>
      <c r="R138" s="172"/>
      <c r="S138" s="172"/>
      <c r="T138" s="172"/>
      <c r="U138" s="172"/>
      <c r="V138" s="172"/>
      <c r="W138" s="172"/>
      <c r="X138" s="172"/>
      <c r="Y138" s="172"/>
      <c r="Z138" s="172"/>
    </row>
    <row r="139" spans="1:26" ht="18" customHeight="1">
      <c r="A139" t="s">
        <v>919</v>
      </c>
      <c r="B139" s="251">
        <v>0.105</v>
      </c>
      <c r="F139" s="172"/>
      <c r="L139" s="172"/>
      <c r="M139" s="172"/>
      <c r="N139" s="172"/>
      <c r="O139" s="172"/>
      <c r="P139" s="172"/>
      <c r="Q139" s="172"/>
      <c r="R139" s="172"/>
      <c r="S139" s="172"/>
      <c r="T139" s="172"/>
      <c r="U139" s="172"/>
      <c r="V139" s="172"/>
      <c r="W139" s="172"/>
      <c r="X139" s="172"/>
      <c r="Y139" s="172"/>
      <c r="Z139" s="172"/>
    </row>
    <row r="140" spans="1:26" ht="18" customHeight="1">
      <c r="A140" t="s">
        <v>48</v>
      </c>
      <c r="B140">
        <v>1.2</v>
      </c>
      <c r="F140" s="172"/>
      <c r="L140" s="172"/>
      <c r="M140" s="172"/>
      <c r="N140" s="172"/>
      <c r="O140" s="172"/>
      <c r="P140" s="172"/>
      <c r="Q140" s="172"/>
      <c r="R140" s="172"/>
      <c r="S140" s="172"/>
      <c r="T140" s="172"/>
      <c r="U140" s="172"/>
      <c r="V140" s="172"/>
      <c r="W140" s="172"/>
      <c r="X140" s="172"/>
      <c r="Y140" s="172"/>
      <c r="Z140" s="172"/>
    </row>
    <row r="141" spans="1:26" ht="18" customHeight="1">
      <c r="A141" t="s">
        <v>940</v>
      </c>
      <c r="B141" s="2">
        <v>0.12</v>
      </c>
      <c r="F141" s="172"/>
      <c r="L141" s="172"/>
      <c r="M141" s="172"/>
      <c r="N141" s="172"/>
      <c r="O141" s="172"/>
      <c r="P141" s="172"/>
      <c r="Q141" s="172"/>
      <c r="R141" s="172"/>
      <c r="S141" s="172"/>
      <c r="T141" s="172"/>
      <c r="U141" s="172"/>
      <c r="V141" s="172"/>
      <c r="W141" s="172"/>
      <c r="X141" s="172"/>
      <c r="Y141" s="172"/>
      <c r="Z141" s="172"/>
    </row>
    <row r="142" spans="1:26" ht="18" customHeight="1">
      <c r="A142" t="s">
        <v>521</v>
      </c>
      <c r="B142">
        <v>2</v>
      </c>
      <c r="F142" s="172"/>
      <c r="L142" s="172"/>
      <c r="M142" s="172"/>
      <c r="N142" s="172"/>
      <c r="O142" s="172"/>
      <c r="P142" s="172"/>
      <c r="Q142" s="172"/>
      <c r="R142" s="172"/>
      <c r="S142" s="172"/>
      <c r="T142" s="172"/>
      <c r="U142" s="172"/>
      <c r="V142" s="172"/>
      <c r="W142" s="172"/>
      <c r="X142" s="172"/>
      <c r="Y142" s="172"/>
      <c r="Z142" s="172"/>
    </row>
    <row r="143" spans="1:26" ht="18" customHeight="1">
      <c r="A143" t="s">
        <v>946</v>
      </c>
      <c r="B143">
        <v>2</v>
      </c>
      <c r="F143" s="172"/>
      <c r="L143" s="172"/>
      <c r="M143" s="172"/>
      <c r="N143" s="172"/>
      <c r="O143" s="172"/>
      <c r="P143" s="172"/>
      <c r="Q143" s="172"/>
      <c r="R143" s="172"/>
      <c r="S143" s="172"/>
      <c r="T143" s="172"/>
      <c r="U143" s="172"/>
      <c r="V143" s="172"/>
      <c r="W143" s="172"/>
      <c r="X143" s="172"/>
      <c r="Y143" s="172"/>
      <c r="Z143" s="172"/>
    </row>
    <row r="144" spans="1:26" ht="18" customHeight="1">
      <c r="F144" s="172"/>
      <c r="L144" s="172"/>
      <c r="M144" s="172"/>
      <c r="N144" s="172"/>
      <c r="O144" s="172"/>
      <c r="P144" s="172"/>
      <c r="Q144" s="172"/>
      <c r="R144" s="172"/>
      <c r="S144" s="172"/>
      <c r="T144" s="172"/>
      <c r="U144" s="172"/>
      <c r="V144" s="172"/>
      <c r="W144" s="172"/>
      <c r="X144" s="172"/>
      <c r="Y144" s="172"/>
      <c r="Z144" s="172"/>
    </row>
    <row r="145" spans="1:26" ht="18" customHeight="1">
      <c r="A145" t="s">
        <v>947</v>
      </c>
      <c r="B145">
        <f>B142*B140</f>
        <v>2.4</v>
      </c>
      <c r="F145" s="172"/>
      <c r="M145" s="172"/>
      <c r="N145" s="172"/>
      <c r="O145" s="172"/>
      <c r="P145" s="172"/>
      <c r="Q145" s="172"/>
      <c r="R145" s="172"/>
      <c r="S145" s="172"/>
      <c r="T145" s="172"/>
      <c r="U145" s="172"/>
      <c r="V145" s="172"/>
      <c r="W145" s="172"/>
      <c r="X145" s="172"/>
      <c r="Y145" s="172"/>
      <c r="Z145" s="172"/>
    </row>
    <row r="146" spans="1:26" ht="18.75">
      <c r="A146" t="s">
        <v>290</v>
      </c>
      <c r="B146">
        <v>0.4</v>
      </c>
      <c r="F146" s="172"/>
      <c r="M146" s="172"/>
      <c r="N146" s="172"/>
      <c r="O146" s="172"/>
      <c r="P146" s="172"/>
      <c r="Q146" s="172"/>
      <c r="R146" s="172"/>
      <c r="S146" s="172"/>
      <c r="T146" s="172"/>
      <c r="U146" s="172"/>
      <c r="V146" s="172"/>
      <c r="W146" s="172"/>
      <c r="X146" s="172"/>
      <c r="Y146" s="172"/>
      <c r="Z146" s="172"/>
    </row>
    <row r="147" spans="1:26" ht="18.75">
      <c r="A147" t="s">
        <v>42</v>
      </c>
      <c r="B147">
        <v>2</v>
      </c>
      <c r="F147" s="172"/>
      <c r="M147" s="172"/>
      <c r="N147" s="172"/>
      <c r="O147" s="172"/>
      <c r="P147" s="172"/>
      <c r="Q147" s="172"/>
      <c r="R147" s="172"/>
      <c r="S147" s="172"/>
      <c r="T147" s="172"/>
      <c r="U147" s="172"/>
      <c r="V147" s="172"/>
      <c r="W147" s="172"/>
      <c r="X147" s="172"/>
      <c r="Y147" s="172"/>
      <c r="Z147" s="172"/>
    </row>
    <row r="148" spans="1:26" ht="18.75">
      <c r="A148" t="s">
        <v>948</v>
      </c>
      <c r="D148">
        <f>B141/2</f>
        <v>0.06</v>
      </c>
      <c r="F148" s="172"/>
      <c r="M148" s="172"/>
      <c r="N148" s="172"/>
      <c r="O148" s="172"/>
      <c r="P148" s="172"/>
      <c r="Q148" s="172"/>
      <c r="R148" s="172"/>
      <c r="S148" s="172"/>
      <c r="T148" s="172"/>
      <c r="U148" s="172"/>
      <c r="V148" s="172"/>
      <c r="W148" s="172"/>
      <c r="X148" s="172"/>
      <c r="Y148" s="172"/>
      <c r="Z148" s="172"/>
    </row>
    <row r="149" spans="1:26" ht="18.75">
      <c r="F149" s="172"/>
      <c r="M149" s="172"/>
      <c r="N149" s="172"/>
      <c r="O149" s="172"/>
      <c r="P149" s="172"/>
      <c r="Q149" s="172"/>
      <c r="R149" s="172"/>
      <c r="S149" s="172"/>
      <c r="T149" s="172"/>
      <c r="U149" s="172"/>
      <c r="V149" s="172"/>
      <c r="W149" s="172"/>
      <c r="X149" s="172"/>
      <c r="Y149" s="172"/>
      <c r="Z149" s="172"/>
    </row>
    <row r="150" spans="1:26" ht="18.75">
      <c r="A150" t="s">
        <v>943</v>
      </c>
      <c r="C150">
        <f>B139*B138/B142</f>
        <v>64.575000000000003</v>
      </c>
      <c r="F150" s="172"/>
      <c r="M150" s="172"/>
      <c r="N150" s="172"/>
      <c r="O150" s="172"/>
      <c r="P150" s="172"/>
      <c r="Q150" s="172"/>
      <c r="R150" s="172"/>
      <c r="S150" s="172"/>
      <c r="T150" s="172"/>
      <c r="U150" s="172"/>
      <c r="V150" s="172"/>
      <c r="W150" s="172"/>
      <c r="X150" s="172"/>
      <c r="Y150" s="172"/>
      <c r="Z150" s="172"/>
    </row>
    <row r="151" spans="1:26" ht="18.75">
      <c r="F151" s="172"/>
      <c r="M151" s="172"/>
      <c r="N151" s="172"/>
      <c r="O151" s="172"/>
      <c r="P151" s="172"/>
      <c r="Q151" s="172"/>
      <c r="R151" s="172"/>
      <c r="S151" s="172"/>
      <c r="T151" s="172"/>
      <c r="U151" s="172"/>
      <c r="V151" s="172"/>
      <c r="W151" s="172"/>
      <c r="X151" s="172"/>
      <c r="Y151" s="172"/>
      <c r="Z151" s="172"/>
    </row>
    <row r="152" spans="1:26" ht="18.75">
      <c r="A152" t="s">
        <v>949</v>
      </c>
      <c r="F152" s="172"/>
      <c r="M152" s="172"/>
      <c r="N152" s="172"/>
      <c r="O152" s="172"/>
      <c r="P152" s="172"/>
      <c r="Q152" s="172"/>
      <c r="R152" s="172"/>
      <c r="S152" s="172"/>
      <c r="T152" s="172"/>
      <c r="U152" s="172"/>
      <c r="V152" s="172"/>
      <c r="W152" s="172"/>
      <c r="X152" s="172"/>
      <c r="Y152" s="172"/>
      <c r="Z152" s="172"/>
    </row>
    <row r="153" spans="1:26" ht="18.75">
      <c r="F153" s="172"/>
      <c r="M153" s="172"/>
      <c r="N153" s="172"/>
      <c r="O153" s="172"/>
      <c r="P153" s="172"/>
      <c r="Q153" s="172"/>
      <c r="R153" s="172"/>
      <c r="S153" s="172"/>
      <c r="T153" s="172"/>
      <c r="U153" s="172"/>
      <c r="V153" s="172"/>
      <c r="W153" s="172"/>
      <c r="X153" s="172"/>
      <c r="Y153" s="172"/>
      <c r="Z153" s="172"/>
    </row>
    <row r="154" spans="1:26" ht="18.75">
      <c r="A154">
        <f>(1/(1+D148)^B146)*(C150+C150/(1+D148)+(C150+B138)/(1+D148)^B147)</f>
        <v>1248.2271254363968</v>
      </c>
      <c r="F154" s="172"/>
      <c r="M154" s="172"/>
      <c r="N154" s="172"/>
      <c r="O154" s="172"/>
      <c r="P154" s="172"/>
      <c r="Q154" s="172"/>
      <c r="R154" s="172"/>
      <c r="S154" s="172"/>
      <c r="T154" s="172"/>
      <c r="U154" s="172"/>
      <c r="V154" s="172"/>
      <c r="W154" s="172"/>
      <c r="X154" s="172"/>
      <c r="Y154" s="172"/>
      <c r="Z154" s="172"/>
    </row>
    <row r="155" spans="1:26" ht="18.75">
      <c r="A155" s="24"/>
      <c r="B155" s="172"/>
      <c r="C155" s="172"/>
      <c r="D155" s="172"/>
      <c r="E155" s="172"/>
      <c r="F155" s="172"/>
      <c r="M155" s="172"/>
      <c r="N155" s="172"/>
      <c r="O155" s="172"/>
      <c r="P155" s="172"/>
      <c r="Q155" s="172"/>
      <c r="R155" s="172"/>
      <c r="S155" s="172"/>
      <c r="T155" s="172"/>
      <c r="U155" s="172"/>
      <c r="V155" s="172"/>
      <c r="W155" s="172"/>
      <c r="X155" s="172"/>
      <c r="Y155" s="172"/>
      <c r="Z155" s="172"/>
    </row>
    <row r="156" spans="1:26" ht="18.75">
      <c r="A156" s="407" t="s">
        <v>950</v>
      </c>
      <c r="B156" s="407"/>
      <c r="C156" s="407"/>
      <c r="D156" s="407"/>
      <c r="E156" s="407"/>
      <c r="F156" s="172"/>
      <c r="M156" s="172"/>
      <c r="N156" s="172"/>
      <c r="O156" s="172"/>
      <c r="P156" s="172"/>
      <c r="Q156" s="172"/>
      <c r="R156" s="172"/>
      <c r="S156" s="172"/>
      <c r="T156" s="172"/>
      <c r="U156" s="172"/>
      <c r="V156" s="172"/>
      <c r="W156" s="172"/>
      <c r="X156" s="172"/>
      <c r="Y156" s="172"/>
      <c r="Z156" s="172"/>
    </row>
    <row r="157" spans="1:26" ht="18.75">
      <c r="A157" s="407"/>
      <c r="B157" s="407"/>
      <c r="C157" s="407"/>
      <c r="D157" s="407"/>
      <c r="E157" s="407"/>
      <c r="F157" s="172"/>
      <c r="M157" s="172"/>
      <c r="N157" s="172"/>
      <c r="O157" s="172"/>
      <c r="P157" s="172"/>
      <c r="Q157" s="172"/>
      <c r="R157" s="172"/>
      <c r="S157" s="172"/>
      <c r="T157" s="172"/>
      <c r="U157" s="172"/>
      <c r="V157" s="172"/>
      <c r="W157" s="172"/>
      <c r="X157" s="172"/>
      <c r="Y157" s="172"/>
      <c r="Z157" s="172"/>
    </row>
    <row r="158" spans="1:26" ht="18.75">
      <c r="A158" s="407"/>
      <c r="B158" s="407"/>
      <c r="C158" s="407"/>
      <c r="D158" s="407"/>
      <c r="E158" s="407"/>
      <c r="F158" s="172"/>
      <c r="M158" s="172"/>
      <c r="N158" s="172"/>
      <c r="O158" s="172"/>
      <c r="P158" s="172"/>
      <c r="Q158" s="172"/>
      <c r="R158" s="172"/>
      <c r="S158" s="172"/>
      <c r="T158" s="172"/>
      <c r="U158" s="172"/>
      <c r="V158" s="172"/>
      <c r="W158" s="172"/>
      <c r="X158" s="172"/>
      <c r="Y158" s="172"/>
      <c r="Z158" s="172"/>
    </row>
    <row r="159" spans="1:26" ht="18.75">
      <c r="A159" s="407"/>
      <c r="B159" s="407"/>
      <c r="C159" s="407"/>
      <c r="D159" s="407"/>
      <c r="E159" s="407"/>
      <c r="F159" s="172"/>
      <c r="M159" s="172"/>
      <c r="N159" s="172"/>
      <c r="O159" s="172"/>
      <c r="P159" s="172"/>
      <c r="Q159" s="172"/>
      <c r="R159" s="172"/>
      <c r="S159" s="172"/>
      <c r="T159" s="172"/>
      <c r="U159" s="172"/>
      <c r="V159" s="172"/>
      <c r="W159" s="172"/>
      <c r="X159" s="172"/>
      <c r="Y159" s="172"/>
      <c r="Z159" s="172"/>
    </row>
    <row r="160" spans="1:26" ht="18.75">
      <c r="A160" s="407"/>
      <c r="B160" s="407"/>
      <c r="C160" s="407"/>
      <c r="D160" s="407"/>
      <c r="E160" s="407"/>
      <c r="F160" s="172"/>
      <c r="M160" s="172"/>
      <c r="N160" s="172"/>
      <c r="O160" s="172"/>
      <c r="P160" s="172"/>
      <c r="Q160" s="172"/>
      <c r="R160" s="172"/>
      <c r="S160" s="172"/>
      <c r="T160" s="172"/>
      <c r="U160" s="172"/>
      <c r="V160" s="172"/>
      <c r="W160" s="172"/>
      <c r="X160" s="172"/>
      <c r="Y160" s="172"/>
      <c r="Z160" s="172"/>
    </row>
    <row r="161" spans="1:26" ht="18.75">
      <c r="A161" s="407"/>
      <c r="B161" s="407"/>
      <c r="C161" s="407"/>
      <c r="D161" s="407"/>
      <c r="E161" s="407"/>
      <c r="F161" s="172"/>
      <c r="M161" s="172"/>
      <c r="N161" s="172"/>
      <c r="O161" s="172"/>
      <c r="P161" s="172"/>
      <c r="Q161" s="172"/>
      <c r="R161" s="172"/>
      <c r="S161" s="172"/>
      <c r="T161" s="172"/>
      <c r="U161" s="172"/>
      <c r="V161" s="172"/>
      <c r="W161" s="172"/>
      <c r="X161" s="172"/>
      <c r="Y161" s="172"/>
      <c r="Z161" s="172"/>
    </row>
    <row r="162" spans="1:26" ht="18.75">
      <c r="A162" s="407"/>
      <c r="B162" s="407"/>
      <c r="C162" s="407"/>
      <c r="D162" s="407"/>
      <c r="E162" s="407"/>
      <c r="F162" s="172"/>
      <c r="G162" s="172"/>
      <c r="H162" s="172"/>
      <c r="I162" s="172"/>
      <c r="J162" s="172"/>
      <c r="K162" s="172"/>
      <c r="L162" s="172"/>
      <c r="M162" s="172"/>
      <c r="N162" s="172"/>
      <c r="O162" s="172"/>
      <c r="P162" s="172"/>
      <c r="Q162" s="172"/>
      <c r="R162" s="172"/>
      <c r="S162" s="172"/>
      <c r="T162" s="172"/>
      <c r="U162" s="172"/>
      <c r="V162" s="172"/>
      <c r="W162" s="172"/>
      <c r="X162" s="172"/>
      <c r="Y162" s="172"/>
      <c r="Z162" s="172"/>
    </row>
    <row r="163" spans="1:26" ht="18.75">
      <c r="A163" s="24"/>
      <c r="B163" s="172"/>
      <c r="C163" s="172"/>
      <c r="D163" s="172"/>
      <c r="E163" s="172"/>
      <c r="F163" s="172"/>
      <c r="G163" s="172"/>
      <c r="H163" s="172"/>
      <c r="I163" s="172"/>
      <c r="J163" s="172"/>
      <c r="K163" s="172"/>
      <c r="L163" s="172"/>
      <c r="M163" s="172"/>
      <c r="N163" s="172"/>
      <c r="O163" s="172"/>
      <c r="P163" s="172"/>
      <c r="Q163" s="172"/>
      <c r="R163" s="172"/>
      <c r="S163" s="172"/>
      <c r="T163" s="172"/>
      <c r="U163" s="172"/>
      <c r="V163" s="172"/>
      <c r="W163" s="172"/>
      <c r="X163" s="172"/>
      <c r="Y163" s="172"/>
      <c r="Z163" s="172"/>
    </row>
    <row r="164" spans="1:26" ht="18.75">
      <c r="A164" t="s">
        <v>938</v>
      </c>
      <c r="B164">
        <v>3000</v>
      </c>
      <c r="G164" s="172"/>
      <c r="H164" s="172"/>
      <c r="I164" s="172"/>
      <c r="J164" s="172"/>
      <c r="K164" s="172"/>
      <c r="L164" s="172"/>
      <c r="M164" s="172"/>
      <c r="N164" s="172"/>
      <c r="O164" s="172"/>
      <c r="P164" s="172"/>
      <c r="Q164" s="172"/>
      <c r="R164" s="172"/>
      <c r="S164" s="172"/>
      <c r="T164" s="172"/>
      <c r="U164" s="172"/>
      <c r="V164" s="172"/>
      <c r="W164" s="172"/>
      <c r="X164" s="172"/>
      <c r="Y164" s="172"/>
      <c r="Z164" s="172"/>
    </row>
    <row r="165" spans="1:26" ht="18.75">
      <c r="A165" t="s">
        <v>919</v>
      </c>
      <c r="B165" s="3">
        <v>0.11</v>
      </c>
      <c r="G165" s="172"/>
      <c r="H165" s="172"/>
      <c r="I165" s="172"/>
      <c r="J165" s="172"/>
      <c r="K165" s="172"/>
      <c r="L165" s="172"/>
      <c r="M165" s="172"/>
      <c r="N165" s="172"/>
      <c r="O165" s="172"/>
      <c r="P165" s="172"/>
      <c r="Q165" s="172"/>
      <c r="R165" s="172"/>
      <c r="S165" s="172"/>
      <c r="T165" s="172"/>
      <c r="U165" s="172"/>
      <c r="V165" s="172"/>
      <c r="W165" s="172"/>
      <c r="X165" s="172"/>
      <c r="Y165" s="172"/>
      <c r="Z165" s="172"/>
    </row>
    <row r="166" spans="1:26" ht="18.75">
      <c r="A166" t="s">
        <v>939</v>
      </c>
      <c r="B166">
        <v>1.4</v>
      </c>
      <c r="G166" s="172"/>
      <c r="H166" s="172"/>
      <c r="I166" s="172"/>
      <c r="J166" s="172"/>
      <c r="K166" s="172"/>
      <c r="L166" s="172"/>
      <c r="M166" s="172"/>
      <c r="N166" s="172"/>
      <c r="O166" s="172"/>
      <c r="P166" s="172"/>
      <c r="Q166" s="172"/>
      <c r="R166" s="172"/>
      <c r="S166" s="172"/>
      <c r="T166" s="172"/>
      <c r="U166" s="172"/>
      <c r="V166" s="172"/>
      <c r="W166" s="172"/>
      <c r="X166" s="172"/>
      <c r="Y166" s="172"/>
      <c r="Z166" s="172"/>
    </row>
    <row r="167" spans="1:26" ht="18.75">
      <c r="A167" t="s">
        <v>940</v>
      </c>
      <c r="B167" s="3">
        <v>0.125</v>
      </c>
      <c r="G167" s="172"/>
      <c r="H167" s="172"/>
      <c r="I167" s="172"/>
      <c r="J167" s="172"/>
      <c r="K167" s="172"/>
      <c r="L167" s="172"/>
      <c r="M167" s="172"/>
      <c r="N167" s="172"/>
      <c r="O167" s="172"/>
      <c r="P167" s="172"/>
      <c r="Q167" s="172"/>
      <c r="R167" s="172"/>
      <c r="S167" s="172"/>
      <c r="T167" s="172"/>
      <c r="U167" s="172"/>
      <c r="V167" s="172"/>
      <c r="W167" s="172"/>
      <c r="X167" s="172"/>
      <c r="Y167" s="172"/>
      <c r="Z167" s="172"/>
    </row>
    <row r="168" spans="1:26" ht="18.75">
      <c r="G168" s="172"/>
      <c r="H168" s="172"/>
      <c r="I168" s="172"/>
      <c r="J168" s="172"/>
      <c r="K168" s="172"/>
      <c r="L168" s="172"/>
      <c r="M168" s="172"/>
      <c r="N168" s="172"/>
      <c r="O168" s="172"/>
      <c r="P168" s="172"/>
      <c r="Q168" s="172"/>
      <c r="R168" s="172"/>
      <c r="S168" s="172"/>
      <c r="T168" s="172"/>
      <c r="U168" s="172"/>
      <c r="V168" s="172"/>
      <c r="W168" s="172"/>
      <c r="X168" s="172"/>
      <c r="Y168" s="172"/>
      <c r="Z168" s="172"/>
    </row>
    <row r="169" spans="1:26" ht="18.75">
      <c r="A169" t="s">
        <v>290</v>
      </c>
      <c r="B169">
        <v>0.4</v>
      </c>
      <c r="G169" s="172"/>
      <c r="H169" s="172"/>
      <c r="I169" s="172"/>
      <c r="J169" s="172"/>
      <c r="K169" s="172"/>
      <c r="L169" s="172"/>
      <c r="M169" s="172"/>
      <c r="N169" s="172"/>
      <c r="O169" s="172"/>
      <c r="P169" s="172"/>
      <c r="Q169" s="172"/>
      <c r="R169" s="172"/>
      <c r="S169" s="172"/>
      <c r="T169" s="172"/>
      <c r="U169" s="172"/>
      <c r="V169" s="172"/>
      <c r="W169" s="172"/>
      <c r="X169" s="172"/>
      <c r="Y169" s="172"/>
      <c r="Z169" s="172"/>
    </row>
    <row r="170" spans="1:26" ht="18.75">
      <c r="A170" t="s">
        <v>42</v>
      </c>
      <c r="B170">
        <v>1</v>
      </c>
      <c r="G170" s="172"/>
      <c r="H170" s="172"/>
      <c r="I170" s="172"/>
      <c r="J170" s="172"/>
      <c r="K170" s="172"/>
      <c r="L170" s="172"/>
      <c r="M170" s="172"/>
      <c r="N170" s="172"/>
      <c r="O170" s="172"/>
      <c r="P170" s="172"/>
      <c r="Q170" s="172"/>
      <c r="R170" s="172"/>
      <c r="S170" s="172"/>
      <c r="T170" s="172"/>
      <c r="U170" s="172"/>
      <c r="V170" s="172"/>
      <c r="W170" s="172"/>
      <c r="X170" s="172"/>
      <c r="Y170" s="172"/>
      <c r="Z170" s="172"/>
    </row>
    <row r="171" spans="1:26" ht="18.75">
      <c r="A171" t="s">
        <v>951</v>
      </c>
      <c r="B171" s="3">
        <f>B167</f>
        <v>0.125</v>
      </c>
      <c r="G171" s="172"/>
      <c r="H171" s="172"/>
      <c r="I171" s="172"/>
      <c r="J171" s="172"/>
      <c r="K171" s="172"/>
      <c r="L171" s="172"/>
      <c r="M171" s="172"/>
      <c r="N171" s="172"/>
      <c r="O171" s="172"/>
      <c r="P171" s="172"/>
      <c r="Q171" s="172"/>
      <c r="R171" s="172"/>
      <c r="S171" s="172"/>
      <c r="T171" s="172"/>
      <c r="U171" s="172"/>
      <c r="V171" s="172"/>
      <c r="W171" s="172"/>
      <c r="X171" s="172"/>
      <c r="Y171" s="172"/>
      <c r="Z171" s="172"/>
    </row>
    <row r="172" spans="1:26" ht="18.75">
      <c r="A172" t="s">
        <v>952</v>
      </c>
      <c r="G172" s="172"/>
      <c r="H172" s="172"/>
      <c r="I172" s="172"/>
      <c r="J172" s="172"/>
      <c r="K172" s="172"/>
      <c r="L172" s="172"/>
      <c r="M172" s="172"/>
      <c r="N172" s="172"/>
      <c r="O172" s="172"/>
      <c r="P172" s="172"/>
      <c r="Q172" s="172"/>
      <c r="R172" s="172"/>
      <c r="S172" s="172"/>
      <c r="T172" s="172"/>
      <c r="U172" s="172"/>
      <c r="V172" s="172"/>
      <c r="W172" s="172"/>
      <c r="X172" s="172"/>
      <c r="Y172" s="172"/>
      <c r="Z172" s="172"/>
    </row>
    <row r="173" spans="1:26" ht="18.75">
      <c r="G173" s="172"/>
      <c r="H173" s="172"/>
      <c r="I173" s="172"/>
      <c r="J173" s="172"/>
      <c r="K173" s="172"/>
      <c r="L173" s="172"/>
      <c r="M173" s="172"/>
      <c r="N173" s="172"/>
      <c r="O173" s="172"/>
      <c r="P173" s="172"/>
      <c r="Q173" s="172"/>
      <c r="R173" s="172"/>
      <c r="S173" s="172"/>
      <c r="T173" s="172"/>
      <c r="U173" s="172"/>
      <c r="V173" s="172"/>
      <c r="W173" s="172"/>
      <c r="X173" s="172"/>
      <c r="Y173" s="172"/>
      <c r="Z173" s="172"/>
    </row>
    <row r="174" spans="1:26" ht="18.75">
      <c r="A174" t="s">
        <v>953</v>
      </c>
      <c r="B174">
        <f>B165*B164</f>
        <v>330</v>
      </c>
      <c r="G174" s="172"/>
      <c r="H174" s="172"/>
      <c r="I174" s="172"/>
      <c r="J174" s="172"/>
      <c r="K174" s="172"/>
      <c r="L174" s="172"/>
      <c r="M174" s="172"/>
      <c r="N174" s="172"/>
      <c r="O174" s="172"/>
      <c r="P174" s="172"/>
      <c r="Q174" s="172"/>
      <c r="R174" s="172"/>
      <c r="S174" s="172"/>
      <c r="T174" s="172"/>
      <c r="U174" s="172"/>
      <c r="V174" s="172"/>
      <c r="W174" s="172"/>
      <c r="X174" s="172"/>
      <c r="Y174" s="172"/>
      <c r="Z174" s="172"/>
    </row>
    <row r="175" spans="1:26" ht="18.75">
      <c r="G175" s="172"/>
      <c r="H175" s="172"/>
      <c r="I175" s="172"/>
      <c r="J175" s="172"/>
      <c r="K175" s="172"/>
      <c r="L175" s="172"/>
      <c r="M175" s="172"/>
      <c r="N175" s="172"/>
      <c r="O175" s="172"/>
      <c r="P175" s="172"/>
      <c r="Q175" s="172"/>
      <c r="R175" s="172"/>
      <c r="S175" s="172"/>
      <c r="T175" s="172"/>
      <c r="U175" s="172"/>
      <c r="V175" s="172"/>
      <c r="W175" s="172"/>
      <c r="X175" s="172"/>
      <c r="Y175" s="172"/>
      <c r="Z175" s="172"/>
    </row>
    <row r="176" spans="1:26" ht="18.75">
      <c r="A176" t="s">
        <v>954</v>
      </c>
      <c r="F176">
        <f>(1/(1+B171)^B169)*(B174+(B174+B164)/(1+B171))</f>
        <v>3138.5921845575272</v>
      </c>
      <c r="G176" s="172"/>
      <c r="H176" s="172"/>
      <c r="I176" s="172"/>
      <c r="J176" s="172"/>
      <c r="K176" s="172"/>
      <c r="L176" s="172"/>
      <c r="M176" s="172"/>
      <c r="N176" s="172"/>
      <c r="O176" s="172"/>
      <c r="P176" s="172"/>
      <c r="Q176" s="172"/>
      <c r="R176" s="172"/>
      <c r="S176" s="172"/>
      <c r="T176" s="172"/>
      <c r="U176" s="172"/>
      <c r="V176" s="172"/>
      <c r="W176" s="172"/>
      <c r="X176" s="172"/>
      <c r="Y176" s="172"/>
      <c r="Z176" s="172"/>
    </row>
    <row r="177" spans="1:26" ht="18.75">
      <c r="A177" t="s">
        <v>955</v>
      </c>
      <c r="C177">
        <f>B174*(1-B169)</f>
        <v>198</v>
      </c>
      <c r="G177" s="172"/>
      <c r="H177" s="172"/>
      <c r="I177" s="172"/>
      <c r="J177" s="172"/>
      <c r="K177" s="172"/>
      <c r="L177" s="172"/>
      <c r="M177" s="172"/>
      <c r="N177" s="172"/>
      <c r="O177" s="172"/>
      <c r="P177" s="172"/>
      <c r="Q177" s="172"/>
      <c r="R177" s="172"/>
      <c r="S177" s="172"/>
      <c r="T177" s="172"/>
      <c r="U177" s="172"/>
      <c r="V177" s="172"/>
      <c r="W177" s="172"/>
      <c r="X177" s="172"/>
      <c r="Y177" s="172"/>
      <c r="Z177" s="172"/>
    </row>
    <row r="178" spans="1:26" ht="18.75">
      <c r="G178" s="172"/>
      <c r="H178" s="172"/>
      <c r="I178" s="172"/>
      <c r="J178" s="172"/>
      <c r="K178" s="172"/>
      <c r="L178" s="172"/>
      <c r="M178" s="172"/>
      <c r="N178" s="172"/>
      <c r="O178" s="172"/>
      <c r="P178" s="172"/>
      <c r="Q178" s="172"/>
      <c r="R178" s="172"/>
      <c r="S178" s="172"/>
      <c r="T178" s="172"/>
      <c r="U178" s="172"/>
      <c r="V178" s="172"/>
      <c r="W178" s="172"/>
      <c r="X178" s="172"/>
      <c r="Y178" s="172"/>
      <c r="Z178" s="172"/>
    </row>
    <row r="179" spans="1:26" ht="18.75">
      <c r="A179" t="s">
        <v>956</v>
      </c>
      <c r="D179" s="4">
        <f>F176-C177</f>
        <v>2940.5921845575272</v>
      </c>
      <c r="G179" s="172"/>
      <c r="H179" s="172"/>
      <c r="I179" s="172"/>
      <c r="J179" s="172"/>
      <c r="K179" s="172"/>
      <c r="L179" s="172"/>
      <c r="M179" s="172"/>
      <c r="N179" s="172"/>
      <c r="O179" s="172"/>
      <c r="P179" s="172"/>
      <c r="Q179" s="172"/>
      <c r="R179" s="172"/>
      <c r="S179" s="172"/>
      <c r="T179" s="172"/>
      <c r="U179" s="172"/>
      <c r="V179" s="172"/>
      <c r="W179" s="172"/>
      <c r="X179" s="172"/>
      <c r="Y179" s="172"/>
      <c r="Z179" s="172"/>
    </row>
    <row r="180" spans="1:26" ht="18.75">
      <c r="A180" s="24"/>
      <c r="B180" s="172"/>
      <c r="C180" s="172"/>
      <c r="D180" s="172"/>
      <c r="E180" s="172"/>
      <c r="F180" s="172"/>
      <c r="K180" s="172"/>
      <c r="L180" s="172"/>
      <c r="M180" s="172"/>
      <c r="N180" s="172"/>
      <c r="O180" s="172"/>
      <c r="P180" s="172"/>
      <c r="Q180" s="172"/>
      <c r="R180" s="172"/>
      <c r="S180" s="172"/>
      <c r="T180" s="172"/>
      <c r="U180" s="172"/>
      <c r="V180" s="172"/>
      <c r="W180" s="172"/>
      <c r="X180" s="172"/>
      <c r="Y180" s="172"/>
      <c r="Z180" s="172"/>
    </row>
    <row r="181" spans="1:26" ht="18.75">
      <c r="A181" s="407" t="s">
        <v>957</v>
      </c>
      <c r="B181" s="407"/>
      <c r="C181" s="407"/>
      <c r="D181" s="407"/>
      <c r="E181" s="407"/>
      <c r="F181" s="172"/>
      <c r="H181" s="251"/>
      <c r="J181" s="3"/>
      <c r="K181" s="172"/>
      <c r="L181" s="172"/>
      <c r="M181" s="172"/>
      <c r="N181" s="172"/>
      <c r="O181" s="172"/>
      <c r="P181" s="172"/>
      <c r="Q181" s="172"/>
      <c r="R181" s="172"/>
      <c r="S181" s="172"/>
      <c r="T181" s="172"/>
      <c r="U181" s="172"/>
      <c r="V181" s="172"/>
      <c r="W181" s="172"/>
      <c r="X181" s="172"/>
      <c r="Y181" s="172"/>
      <c r="Z181" s="172"/>
    </row>
    <row r="182" spans="1:26" ht="18.75">
      <c r="A182" s="407"/>
      <c r="B182" s="407"/>
      <c r="C182" s="407"/>
      <c r="D182" s="407"/>
      <c r="E182" s="407"/>
      <c r="F182" s="172"/>
      <c r="K182" s="172"/>
      <c r="L182" s="172"/>
      <c r="M182" s="172"/>
      <c r="N182" s="172"/>
      <c r="O182" s="172"/>
      <c r="P182" s="172"/>
      <c r="Q182" s="172"/>
      <c r="R182" s="172"/>
      <c r="S182" s="172"/>
      <c r="T182" s="172"/>
      <c r="U182" s="172"/>
      <c r="V182" s="172"/>
      <c r="W182" s="172"/>
      <c r="X182" s="172"/>
      <c r="Y182" s="172"/>
      <c r="Z182" s="172"/>
    </row>
    <row r="183" spans="1:26" ht="18.75">
      <c r="A183" s="407"/>
      <c r="B183" s="407"/>
      <c r="C183" s="407"/>
      <c r="D183" s="407"/>
      <c r="E183" s="407"/>
      <c r="F183" s="172"/>
      <c r="H183" s="342"/>
      <c r="K183" s="172"/>
      <c r="L183" s="172"/>
      <c r="M183" s="172"/>
      <c r="N183" s="172"/>
      <c r="O183" s="172"/>
      <c r="P183" s="172"/>
      <c r="Q183" s="172"/>
      <c r="R183" s="172"/>
      <c r="S183" s="172"/>
      <c r="T183" s="172"/>
      <c r="U183" s="172"/>
      <c r="V183" s="172"/>
      <c r="W183" s="172"/>
      <c r="X183" s="172"/>
      <c r="Y183" s="172"/>
      <c r="Z183" s="172"/>
    </row>
    <row r="184" spans="1:26" ht="18.75">
      <c r="A184" s="407"/>
      <c r="B184" s="407"/>
      <c r="C184" s="407"/>
      <c r="D184" s="407"/>
      <c r="E184" s="407"/>
      <c r="F184" s="172"/>
      <c r="K184" s="172"/>
      <c r="L184" s="172"/>
      <c r="M184" s="172"/>
      <c r="N184" s="172"/>
      <c r="O184" s="172"/>
      <c r="P184" s="172"/>
      <c r="Q184" s="172"/>
      <c r="R184" s="172"/>
      <c r="S184" s="172"/>
      <c r="T184" s="172"/>
      <c r="U184" s="172"/>
      <c r="V184" s="172"/>
      <c r="W184" s="172"/>
      <c r="X184" s="172"/>
      <c r="Y184" s="172"/>
      <c r="Z184" s="172"/>
    </row>
    <row r="185" spans="1:26" ht="18.75">
      <c r="A185" s="407"/>
      <c r="B185" s="407"/>
      <c r="C185" s="407"/>
      <c r="D185" s="407"/>
      <c r="E185" s="407"/>
      <c r="F185" s="172"/>
      <c r="K185" s="172"/>
      <c r="L185" s="172"/>
      <c r="M185" s="172"/>
      <c r="N185" s="172"/>
      <c r="O185" s="172"/>
      <c r="P185" s="172"/>
      <c r="Q185" s="172"/>
      <c r="R185" s="172"/>
      <c r="S185" s="172"/>
      <c r="T185" s="172"/>
      <c r="U185" s="172"/>
      <c r="V185" s="172"/>
      <c r="W185" s="172"/>
      <c r="X185" s="172"/>
      <c r="Y185" s="172"/>
      <c r="Z185" s="172"/>
    </row>
    <row r="186" spans="1:26" ht="18.75">
      <c r="A186" s="407"/>
      <c r="B186" s="407"/>
      <c r="C186" s="407"/>
      <c r="D186" s="407"/>
      <c r="E186" s="407"/>
      <c r="F186" s="172"/>
      <c r="K186" s="172"/>
      <c r="L186" s="172"/>
      <c r="M186" s="172"/>
      <c r="N186" s="172"/>
      <c r="O186" s="172"/>
      <c r="P186" s="172"/>
      <c r="Q186" s="172"/>
      <c r="R186" s="172"/>
      <c r="S186" s="172"/>
      <c r="T186" s="172"/>
      <c r="U186" s="172"/>
      <c r="V186" s="172"/>
      <c r="W186" s="172"/>
      <c r="X186" s="172"/>
      <c r="Y186" s="172"/>
      <c r="Z186" s="172"/>
    </row>
    <row r="187" spans="1:26" ht="18.75">
      <c r="A187" t="s">
        <v>273</v>
      </c>
      <c r="B187">
        <v>3300</v>
      </c>
      <c r="E187" s="172"/>
      <c r="F187" s="172"/>
      <c r="H187" s="3"/>
      <c r="K187" s="172"/>
      <c r="L187" s="172"/>
      <c r="M187" s="172"/>
      <c r="N187" s="172"/>
      <c r="O187" s="172"/>
      <c r="P187" s="172"/>
      <c r="Q187" s="172"/>
      <c r="R187" s="172"/>
      <c r="S187" s="172"/>
      <c r="T187" s="172"/>
      <c r="U187" s="172"/>
      <c r="V187" s="172"/>
      <c r="W187" s="172"/>
      <c r="X187" s="172"/>
      <c r="Y187" s="172"/>
      <c r="Z187" s="172"/>
    </row>
    <row r="188" spans="1:26" ht="18.75">
      <c r="A188" t="s">
        <v>919</v>
      </c>
      <c r="B188" s="251">
        <v>0.19800000000000001</v>
      </c>
      <c r="C188" t="s">
        <v>958</v>
      </c>
      <c r="D188" s="3">
        <v>0.19500000000000001</v>
      </c>
      <c r="E188" s="172"/>
      <c r="F188" s="172"/>
      <c r="H188" s="3"/>
      <c r="K188" s="172"/>
      <c r="L188" s="172"/>
      <c r="M188" s="172"/>
      <c r="N188" s="172"/>
      <c r="O188" s="172"/>
      <c r="P188" s="172"/>
      <c r="Q188" s="172"/>
      <c r="R188" s="172"/>
      <c r="S188" s="172"/>
      <c r="T188" s="172"/>
      <c r="U188" s="172"/>
      <c r="V188" s="172"/>
      <c r="W188" s="172"/>
      <c r="X188" s="172"/>
      <c r="Y188" s="172"/>
      <c r="Z188" s="172"/>
    </row>
    <row r="189" spans="1:26" ht="18.75">
      <c r="A189" t="s">
        <v>521</v>
      </c>
      <c r="B189">
        <v>1</v>
      </c>
      <c r="E189" s="172"/>
      <c r="F189" s="172"/>
      <c r="H189" s="3"/>
      <c r="K189" s="172"/>
      <c r="L189" s="172"/>
      <c r="M189" s="172"/>
      <c r="N189" s="172"/>
      <c r="O189" s="172"/>
      <c r="P189" s="172"/>
      <c r="Q189" s="172"/>
      <c r="R189" s="172"/>
      <c r="S189" s="172"/>
      <c r="T189" s="172"/>
      <c r="U189" s="172"/>
      <c r="V189" s="172"/>
      <c r="W189" s="172"/>
      <c r="X189" s="172"/>
      <c r="Y189" s="172"/>
      <c r="Z189" s="172"/>
    </row>
    <row r="190" spans="1:26" ht="18.75">
      <c r="A190" t="s">
        <v>290</v>
      </c>
      <c r="B190" s="342">
        <v>0.5</v>
      </c>
      <c r="E190" s="172"/>
      <c r="F190" s="172"/>
      <c r="H190" s="3"/>
      <c r="K190" s="172"/>
      <c r="L190" s="172"/>
      <c r="M190" s="172"/>
      <c r="N190" s="172"/>
      <c r="O190" s="172"/>
      <c r="P190" s="172"/>
      <c r="Q190" s="172"/>
      <c r="R190" s="172"/>
      <c r="S190" s="172"/>
      <c r="T190" s="172"/>
      <c r="U190" s="172"/>
      <c r="V190" s="172"/>
      <c r="W190" s="172"/>
      <c r="X190" s="172"/>
      <c r="Y190" s="172"/>
      <c r="Z190" s="172"/>
    </row>
    <row r="191" spans="1:26" ht="18.75">
      <c r="A191" t="s">
        <v>959</v>
      </c>
      <c r="B191">
        <f>B188*B187</f>
        <v>653.4</v>
      </c>
      <c r="E191" s="172"/>
      <c r="F191" s="172"/>
      <c r="H191" s="3"/>
      <c r="K191" s="172"/>
      <c r="L191" s="172"/>
      <c r="M191" s="172"/>
      <c r="N191" s="172"/>
      <c r="O191" s="172"/>
      <c r="P191" s="172"/>
      <c r="Q191" s="172"/>
      <c r="R191" s="172"/>
      <c r="S191" s="172"/>
      <c r="T191" s="172"/>
      <c r="U191" s="172"/>
      <c r="V191" s="172"/>
      <c r="W191" s="172"/>
      <c r="X191" s="172"/>
      <c r="Y191" s="172"/>
      <c r="Z191" s="172"/>
    </row>
    <row r="192" spans="1:26" ht="18.75">
      <c r="E192" s="172"/>
      <c r="F192" s="172"/>
      <c r="H192" s="3"/>
      <c r="K192" s="172"/>
      <c r="L192" s="172"/>
      <c r="M192" s="172"/>
      <c r="N192" s="172"/>
      <c r="O192" s="172"/>
      <c r="P192" s="172"/>
      <c r="Q192" s="172"/>
      <c r="R192" s="172"/>
      <c r="S192" s="172"/>
      <c r="T192" s="172"/>
      <c r="U192" s="172"/>
      <c r="V192" s="172"/>
      <c r="W192" s="172"/>
      <c r="X192" s="172"/>
      <c r="Y192" s="172"/>
      <c r="Z192" s="172"/>
    </row>
    <row r="193" spans="1:26" ht="18.75">
      <c r="A193" t="s">
        <v>960</v>
      </c>
      <c r="B193">
        <f>B191+B187</f>
        <v>3953.4</v>
      </c>
      <c r="E193" s="172"/>
      <c r="F193" s="172"/>
      <c r="H193" s="3"/>
      <c r="K193" s="172"/>
      <c r="L193" s="172"/>
      <c r="M193" s="172"/>
      <c r="N193" s="172"/>
      <c r="O193" s="172"/>
      <c r="P193" s="172"/>
      <c r="Q193" s="172"/>
      <c r="R193" s="172"/>
      <c r="S193" s="172"/>
      <c r="T193" s="172"/>
      <c r="U193" s="172"/>
      <c r="V193" s="172"/>
      <c r="W193" s="172"/>
      <c r="X193" s="172"/>
      <c r="Y193" s="172"/>
      <c r="Z193" s="172"/>
    </row>
    <row r="194" spans="1:26" ht="18.75">
      <c r="A194" t="s">
        <v>961</v>
      </c>
      <c r="B194" s="3"/>
      <c r="D194" s="4">
        <f>B193/(1+D188)^B190</f>
        <v>3616.4861422016261</v>
      </c>
      <c r="E194" s="172"/>
      <c r="F194" s="172"/>
      <c r="H194" s="3"/>
      <c r="K194" s="172"/>
      <c r="L194" s="172"/>
      <c r="M194" s="172"/>
      <c r="N194" s="172"/>
      <c r="O194" s="172"/>
      <c r="P194" s="172"/>
      <c r="Q194" s="172"/>
      <c r="R194" s="172"/>
      <c r="S194" s="172"/>
      <c r="T194" s="172"/>
      <c r="U194" s="172"/>
      <c r="V194" s="172"/>
      <c r="W194" s="172"/>
      <c r="X194" s="172"/>
      <c r="Y194" s="172"/>
      <c r="Z194" s="172"/>
    </row>
    <row r="195" spans="1:26" ht="18.75">
      <c r="E195" s="172"/>
      <c r="F195" s="172"/>
      <c r="K195" s="172"/>
      <c r="L195" s="172"/>
      <c r="M195" s="172"/>
      <c r="N195" s="172"/>
      <c r="O195" s="172"/>
      <c r="P195" s="172"/>
      <c r="Q195" s="172"/>
      <c r="R195" s="172"/>
      <c r="S195" s="172"/>
      <c r="T195" s="172"/>
      <c r="U195" s="172"/>
      <c r="V195" s="172"/>
      <c r="W195" s="172"/>
      <c r="X195" s="172"/>
      <c r="Y195" s="172"/>
      <c r="Z195" s="172"/>
    </row>
    <row r="196" spans="1:26" ht="18.75">
      <c r="A196" t="s">
        <v>955</v>
      </c>
      <c r="D196">
        <f>B191*(1-B190)</f>
        <v>326.7</v>
      </c>
      <c r="E196" s="172"/>
      <c r="F196" s="172"/>
      <c r="K196" s="172"/>
      <c r="L196" s="172"/>
      <c r="M196" s="172"/>
      <c r="N196" s="172"/>
      <c r="O196" s="172"/>
      <c r="P196" s="172"/>
      <c r="Q196" s="172"/>
      <c r="R196" s="172"/>
      <c r="S196" s="172"/>
      <c r="T196" s="172"/>
      <c r="U196" s="172"/>
      <c r="V196" s="172"/>
      <c r="W196" s="172"/>
      <c r="X196" s="172"/>
      <c r="Y196" s="172"/>
      <c r="Z196" s="172"/>
    </row>
    <row r="197" spans="1:26" ht="18.75">
      <c r="A197" t="s">
        <v>962</v>
      </c>
      <c r="D197" s="4">
        <f>D194-D196</f>
        <v>3289.7861422016263</v>
      </c>
      <c r="E197" s="172"/>
      <c r="F197" s="172"/>
      <c r="K197" s="172"/>
      <c r="L197" s="172"/>
      <c r="M197" s="172"/>
      <c r="N197" s="172"/>
      <c r="O197" s="172"/>
      <c r="P197" s="172"/>
      <c r="Q197" s="172"/>
      <c r="R197" s="172"/>
      <c r="S197" s="172"/>
      <c r="T197" s="172"/>
      <c r="U197" s="172"/>
      <c r="V197" s="172"/>
      <c r="W197" s="172"/>
      <c r="X197" s="172"/>
      <c r="Y197" s="172"/>
      <c r="Z197" s="172"/>
    </row>
    <row r="198" spans="1:26" ht="18.75">
      <c r="A198" s="24"/>
      <c r="B198" s="172"/>
      <c r="C198" s="172"/>
      <c r="D198" s="172"/>
      <c r="E198" s="172"/>
      <c r="F198" s="172"/>
      <c r="G198" s="172"/>
      <c r="H198" s="172"/>
      <c r="I198" s="172"/>
      <c r="J198" s="172"/>
      <c r="K198" s="172"/>
      <c r="L198" s="172"/>
      <c r="M198" s="172"/>
      <c r="N198" s="172"/>
      <c r="O198" s="172"/>
      <c r="P198" s="172"/>
      <c r="Q198" s="172"/>
      <c r="R198" s="172"/>
      <c r="S198" s="172"/>
      <c r="T198" s="172"/>
      <c r="U198" s="172"/>
      <c r="V198" s="172"/>
      <c r="W198" s="172"/>
      <c r="X198" s="172"/>
      <c r="Y198" s="172"/>
      <c r="Z198" s="172"/>
    </row>
    <row r="199" spans="1:26" ht="18.75">
      <c r="A199" s="24"/>
      <c r="B199" s="172"/>
      <c r="C199" s="172"/>
      <c r="D199" s="172"/>
      <c r="E199" s="172"/>
      <c r="F199" s="172"/>
      <c r="G199" s="172"/>
      <c r="H199" s="172"/>
      <c r="I199" s="172"/>
      <c r="J199" s="172"/>
      <c r="K199" s="172"/>
      <c r="L199" s="172"/>
      <c r="M199" s="172"/>
      <c r="N199" s="172"/>
      <c r="O199" s="172"/>
      <c r="P199" s="172"/>
      <c r="Q199" s="172"/>
      <c r="R199" s="172"/>
      <c r="S199" s="172"/>
      <c r="T199" s="172"/>
      <c r="U199" s="172"/>
      <c r="V199" s="172"/>
      <c r="W199" s="172"/>
      <c r="X199" s="172"/>
      <c r="Y199" s="172"/>
      <c r="Z199" s="172"/>
    </row>
    <row r="200" spans="1:26" ht="18.75">
      <c r="A200" s="407" t="s">
        <v>963</v>
      </c>
      <c r="B200" s="407"/>
      <c r="C200" s="407"/>
      <c r="D200" s="407"/>
      <c r="E200" s="407"/>
      <c r="F200" s="172"/>
      <c r="G200" s="172"/>
      <c r="H200" s="172"/>
      <c r="I200" s="172"/>
      <c r="J200" s="172"/>
      <c r="K200" s="172"/>
      <c r="L200" s="172"/>
      <c r="M200" s="172"/>
      <c r="N200" s="172"/>
      <c r="O200" s="172"/>
      <c r="P200" s="172"/>
      <c r="Q200" s="172"/>
      <c r="R200" s="172"/>
      <c r="S200" s="172"/>
      <c r="T200" s="172"/>
      <c r="U200" s="172"/>
      <c r="V200" s="172"/>
      <c r="W200" s="172"/>
      <c r="X200" s="172"/>
      <c r="Y200" s="172"/>
      <c r="Z200" s="172"/>
    </row>
    <row r="201" spans="1:26" ht="18.75">
      <c r="A201" s="407"/>
      <c r="B201" s="407"/>
      <c r="C201" s="407"/>
      <c r="D201" s="407"/>
      <c r="E201" s="407"/>
      <c r="F201" s="172"/>
      <c r="G201" s="172"/>
      <c r="H201" s="172"/>
      <c r="I201" s="172"/>
      <c r="J201" s="172"/>
      <c r="K201" s="172"/>
      <c r="L201" s="172"/>
      <c r="M201" s="172"/>
      <c r="N201" s="172"/>
      <c r="O201" s="172"/>
      <c r="P201" s="172"/>
      <c r="Q201" s="172"/>
      <c r="R201" s="172"/>
      <c r="S201" s="172"/>
      <c r="T201" s="172"/>
      <c r="U201" s="172"/>
      <c r="V201" s="172"/>
      <c r="W201" s="172"/>
      <c r="X201" s="172"/>
      <c r="Y201" s="172"/>
      <c r="Z201" s="172"/>
    </row>
    <row r="202" spans="1:26" ht="18.75">
      <c r="A202" s="407"/>
      <c r="B202" s="407"/>
      <c r="C202" s="407"/>
      <c r="D202" s="407"/>
      <c r="E202" s="407"/>
      <c r="F202" s="172"/>
      <c r="G202" s="172"/>
      <c r="H202" s="172"/>
      <c r="I202" s="172"/>
      <c r="J202" s="172"/>
      <c r="K202" s="172"/>
      <c r="L202" s="172"/>
      <c r="M202" s="172"/>
      <c r="N202" s="172"/>
      <c r="O202" s="172"/>
      <c r="P202" s="172"/>
      <c r="Q202" s="172"/>
      <c r="R202" s="172"/>
      <c r="S202" s="172"/>
      <c r="T202" s="172"/>
      <c r="U202" s="172"/>
      <c r="V202" s="172"/>
      <c r="W202" s="172"/>
      <c r="X202" s="172"/>
      <c r="Y202" s="172"/>
      <c r="Z202" s="172"/>
    </row>
    <row r="203" spans="1:26" ht="18.75">
      <c r="A203" s="407"/>
      <c r="B203" s="407"/>
      <c r="C203" s="407"/>
      <c r="D203" s="407"/>
      <c r="E203" s="407"/>
      <c r="F203" s="172"/>
      <c r="G203" s="172"/>
      <c r="H203" s="172"/>
      <c r="I203" s="172"/>
      <c r="J203" s="172"/>
      <c r="K203" s="172"/>
      <c r="L203" s="172"/>
      <c r="M203" s="172"/>
      <c r="N203" s="172"/>
      <c r="O203" s="172"/>
      <c r="P203" s="172"/>
      <c r="Q203" s="172"/>
      <c r="R203" s="172"/>
      <c r="S203" s="172"/>
      <c r="T203" s="172"/>
      <c r="U203" s="172"/>
      <c r="V203" s="172"/>
      <c r="W203" s="172"/>
      <c r="X203" s="172"/>
      <c r="Y203" s="172"/>
      <c r="Z203" s="172"/>
    </row>
    <row r="204" spans="1:26" ht="18.75">
      <c r="A204" s="407"/>
      <c r="B204" s="407"/>
      <c r="C204" s="407"/>
      <c r="D204" s="407"/>
      <c r="E204" s="407"/>
      <c r="F204" s="172"/>
      <c r="G204" s="172"/>
      <c r="H204" s="172"/>
      <c r="I204" s="172"/>
      <c r="J204" s="172"/>
      <c r="K204" s="172"/>
      <c r="L204" s="172"/>
      <c r="M204" s="172"/>
      <c r="N204" s="172"/>
      <c r="O204" s="172"/>
      <c r="P204" s="172"/>
      <c r="Q204" s="172"/>
      <c r="R204" s="172"/>
      <c r="S204" s="172"/>
      <c r="T204" s="172"/>
      <c r="U204" s="172"/>
      <c r="V204" s="172"/>
      <c r="W204" s="172"/>
      <c r="X204" s="172"/>
      <c r="Y204" s="172"/>
      <c r="Z204" s="172"/>
    </row>
    <row r="205" spans="1:26" ht="18.75">
      <c r="A205" s="407"/>
      <c r="B205" s="407"/>
      <c r="C205" s="407"/>
      <c r="D205" s="407"/>
      <c r="E205" s="407"/>
      <c r="F205" s="172"/>
      <c r="G205" s="172"/>
      <c r="H205" s="172"/>
      <c r="I205" s="172"/>
      <c r="J205" s="172"/>
      <c r="K205" s="172"/>
      <c r="L205" s="172"/>
      <c r="M205" s="172"/>
      <c r="N205" s="172"/>
      <c r="O205" s="172"/>
      <c r="P205" s="172"/>
      <c r="Q205" s="172"/>
      <c r="R205" s="172"/>
      <c r="S205" s="172"/>
      <c r="T205" s="172"/>
      <c r="U205" s="172"/>
      <c r="V205" s="172"/>
      <c r="W205" s="172"/>
      <c r="X205" s="172"/>
      <c r="Y205" s="172"/>
      <c r="Z205" s="172"/>
    </row>
    <row r="206" spans="1:26" ht="18.75">
      <c r="A206" s="24"/>
      <c r="B206" s="172"/>
      <c r="C206" s="172"/>
      <c r="D206" s="172"/>
      <c r="E206" s="172"/>
      <c r="F206" s="172"/>
      <c r="G206" s="172"/>
      <c r="H206" s="172"/>
      <c r="I206" s="172"/>
      <c r="J206" s="172"/>
      <c r="K206" s="172"/>
      <c r="L206" s="172"/>
      <c r="M206" s="172"/>
      <c r="N206" s="172"/>
      <c r="O206" s="172"/>
      <c r="P206" s="172"/>
      <c r="Q206" s="172"/>
      <c r="R206" s="172"/>
      <c r="S206" s="172"/>
      <c r="T206" s="172"/>
      <c r="U206" s="172"/>
      <c r="V206" s="172"/>
      <c r="W206" s="172"/>
      <c r="X206" s="172"/>
      <c r="Y206" s="172"/>
      <c r="Z206" s="172"/>
    </row>
    <row r="207" spans="1:26" ht="18.75">
      <c r="A207" s="24" t="s">
        <v>394</v>
      </c>
      <c r="B207" s="343">
        <v>44007</v>
      </c>
      <c r="C207" s="172"/>
      <c r="D207" s="172" t="s">
        <v>964</v>
      </c>
      <c r="E207" s="172"/>
      <c r="F207" s="172"/>
      <c r="G207" s="172"/>
      <c r="H207" s="172"/>
      <c r="I207" s="172"/>
      <c r="J207" s="172"/>
      <c r="K207" s="172"/>
      <c r="L207" s="172"/>
      <c r="M207" s="172"/>
      <c r="N207" s="172"/>
      <c r="O207" s="172"/>
      <c r="P207" s="172"/>
      <c r="Q207" s="172"/>
      <c r="R207" s="172"/>
      <c r="S207" s="172"/>
      <c r="T207" s="172"/>
      <c r="U207" s="172"/>
      <c r="V207" s="172"/>
      <c r="W207" s="172"/>
      <c r="X207" s="172"/>
      <c r="Y207" s="172"/>
      <c r="Z207" s="172"/>
    </row>
    <row r="208" spans="1:26" ht="18.75">
      <c r="A208" s="24" t="s">
        <v>965</v>
      </c>
      <c r="B208" s="343">
        <v>44124</v>
      </c>
      <c r="C208" s="172"/>
      <c r="D208" s="172"/>
      <c r="E208" s="172"/>
      <c r="F208" s="172"/>
      <c r="G208" s="172"/>
      <c r="H208" s="172"/>
      <c r="I208" s="172"/>
      <c r="J208" s="172"/>
      <c r="K208" s="172"/>
      <c r="L208" s="172"/>
      <c r="M208" s="172"/>
      <c r="N208" s="172"/>
      <c r="O208" s="172"/>
      <c r="P208" s="172"/>
      <c r="Q208" s="172"/>
      <c r="R208" s="172"/>
      <c r="S208" s="172"/>
      <c r="T208" s="172"/>
      <c r="U208" s="172"/>
      <c r="V208" s="172"/>
      <c r="W208" s="172"/>
      <c r="X208" s="172"/>
      <c r="Y208" s="172"/>
      <c r="Z208" s="172"/>
    </row>
    <row r="209" spans="1:26" ht="18.75">
      <c r="A209" s="24" t="s">
        <v>757</v>
      </c>
      <c r="B209" s="172">
        <v>200</v>
      </c>
      <c r="C209" s="172"/>
      <c r="D209" s="172"/>
      <c r="E209" s="172"/>
      <c r="F209" s="172"/>
      <c r="G209" s="172"/>
      <c r="H209" s="172"/>
      <c r="I209" s="172"/>
      <c r="J209" s="172"/>
      <c r="K209" s="172"/>
      <c r="L209" s="172"/>
      <c r="M209" s="172"/>
      <c r="N209" s="172"/>
      <c r="O209" s="172"/>
      <c r="P209" s="172"/>
      <c r="Q209" s="172"/>
      <c r="R209" s="172"/>
      <c r="S209" s="172"/>
      <c r="T209" s="172"/>
      <c r="U209" s="172"/>
      <c r="V209" s="172"/>
      <c r="W209" s="172"/>
      <c r="X209" s="172"/>
      <c r="Y209" s="172"/>
      <c r="Z209" s="172"/>
    </row>
    <row r="210" spans="1:26" ht="18.75">
      <c r="A210" s="24" t="s">
        <v>438</v>
      </c>
      <c r="B210" s="172">
        <f>_xlfn.DAYS(B208,B207)</f>
        <v>117</v>
      </c>
      <c r="C210" s="172"/>
      <c r="D210" s="172"/>
      <c r="E210" s="172"/>
      <c r="F210" s="172"/>
      <c r="G210" s="172"/>
      <c r="H210" s="172"/>
      <c r="I210" s="172"/>
      <c r="J210" s="172"/>
      <c r="K210" s="172"/>
      <c r="L210" s="172"/>
      <c r="M210" s="172"/>
      <c r="N210" s="172"/>
      <c r="O210" s="172"/>
      <c r="P210" s="172"/>
      <c r="Q210" s="172"/>
      <c r="R210" s="172"/>
      <c r="S210" s="172"/>
      <c r="T210" s="172"/>
      <c r="U210" s="172"/>
      <c r="V210" s="172"/>
      <c r="W210" s="172"/>
      <c r="X210" s="172"/>
      <c r="Y210" s="172"/>
      <c r="Z210" s="172"/>
    </row>
    <row r="211" spans="1:26" ht="18.75">
      <c r="A211" s="24" t="s">
        <v>966</v>
      </c>
      <c r="B211" s="172">
        <f>B210*B209/365</f>
        <v>64.109589041095887</v>
      </c>
      <c r="C211" s="172"/>
      <c r="D211" s="172"/>
      <c r="E211" s="172"/>
      <c r="F211" s="172"/>
      <c r="G211" s="172"/>
      <c r="H211" s="172"/>
      <c r="I211" s="172"/>
      <c r="J211" s="172"/>
      <c r="K211" s="172"/>
      <c r="L211" s="172"/>
      <c r="M211" s="172"/>
      <c r="N211" s="172"/>
      <c r="O211" s="172"/>
      <c r="P211" s="172"/>
      <c r="Q211" s="172"/>
      <c r="R211" s="172"/>
      <c r="S211" s="172"/>
      <c r="T211" s="172"/>
      <c r="U211" s="172"/>
      <c r="V211" s="172"/>
      <c r="W211" s="172"/>
      <c r="X211" s="172"/>
      <c r="Y211" s="172"/>
      <c r="Z211" s="172"/>
    </row>
    <row r="212" spans="1:26" ht="18.75">
      <c r="A212" s="24"/>
      <c r="B212" s="172"/>
      <c r="C212" s="172"/>
      <c r="D212" s="172"/>
      <c r="E212" s="172"/>
      <c r="F212" s="172"/>
      <c r="G212" s="172"/>
      <c r="H212" s="172"/>
      <c r="I212" s="172"/>
      <c r="J212" s="172"/>
      <c r="K212" s="172"/>
      <c r="L212" s="172"/>
      <c r="M212" s="172"/>
      <c r="N212" s="172"/>
      <c r="O212" s="172"/>
      <c r="P212" s="172"/>
      <c r="Q212" s="172"/>
      <c r="R212" s="172"/>
      <c r="S212" s="172"/>
      <c r="T212" s="172"/>
      <c r="U212" s="172"/>
      <c r="V212" s="172"/>
      <c r="W212" s="172"/>
      <c r="X212" s="172"/>
      <c r="Y212" s="172"/>
      <c r="Z212" s="172"/>
    </row>
    <row r="213" spans="1:26" ht="18.75">
      <c r="A213" s="407" t="s">
        <v>967</v>
      </c>
      <c r="B213" s="407"/>
      <c r="C213" s="407"/>
      <c r="D213" s="407"/>
      <c r="E213" s="407"/>
      <c r="F213" s="407"/>
      <c r="G213" s="172"/>
      <c r="H213" s="172"/>
      <c r="I213" s="172"/>
      <c r="J213" s="172"/>
      <c r="K213" s="172"/>
      <c r="L213" s="172"/>
      <c r="M213" s="172"/>
      <c r="N213" s="172"/>
      <c r="O213" s="172"/>
      <c r="P213" s="172"/>
      <c r="Q213" s="172"/>
      <c r="R213" s="172"/>
      <c r="S213" s="172"/>
      <c r="T213" s="172"/>
      <c r="U213" s="172"/>
      <c r="V213" s="172"/>
      <c r="W213" s="172"/>
      <c r="X213" s="172"/>
      <c r="Y213" s="172"/>
      <c r="Z213" s="172"/>
    </row>
    <row r="214" spans="1:26" ht="18.75">
      <c r="A214" s="407"/>
      <c r="B214" s="407"/>
      <c r="C214" s="407"/>
      <c r="D214" s="407"/>
      <c r="E214" s="407"/>
      <c r="F214" s="407"/>
      <c r="G214" s="172"/>
      <c r="H214" s="172"/>
      <c r="I214" s="172"/>
      <c r="J214" s="172"/>
      <c r="K214" s="172"/>
      <c r="L214" s="172"/>
      <c r="M214" s="172"/>
      <c r="N214" s="172"/>
      <c r="O214" s="172"/>
      <c r="P214" s="172"/>
      <c r="Q214" s="172"/>
      <c r="R214" s="172"/>
      <c r="S214" s="172"/>
      <c r="T214" s="172"/>
      <c r="U214" s="172"/>
      <c r="V214" s="172"/>
      <c r="W214" s="172"/>
      <c r="X214" s="172"/>
      <c r="Y214" s="172"/>
      <c r="Z214" s="172"/>
    </row>
    <row r="215" spans="1:26" ht="18.75">
      <c r="A215" s="407"/>
      <c r="B215" s="407"/>
      <c r="C215" s="407"/>
      <c r="D215" s="407"/>
      <c r="E215" s="407"/>
      <c r="F215" s="407"/>
      <c r="G215" s="172"/>
      <c r="H215" s="172"/>
      <c r="I215" s="172"/>
      <c r="J215" s="172"/>
      <c r="K215" s="172"/>
      <c r="L215" s="172"/>
      <c r="M215" s="172"/>
      <c r="N215" s="172"/>
      <c r="O215" s="172"/>
      <c r="P215" s="172"/>
      <c r="Q215" s="172"/>
      <c r="R215" s="172"/>
      <c r="S215" s="172"/>
      <c r="T215" s="172"/>
      <c r="U215" s="172"/>
      <c r="V215" s="172"/>
      <c r="W215" s="172"/>
      <c r="X215" s="172"/>
      <c r="Y215" s="172"/>
      <c r="Z215" s="172"/>
    </row>
    <row r="216" spans="1:26" ht="18.75">
      <c r="A216" s="407"/>
      <c r="B216" s="407"/>
      <c r="C216" s="407"/>
      <c r="D216" s="407"/>
      <c r="E216" s="407"/>
      <c r="F216" s="407"/>
      <c r="G216" s="172"/>
      <c r="H216" s="172"/>
      <c r="I216" s="172"/>
      <c r="J216" s="172"/>
      <c r="K216" s="172"/>
      <c r="L216" s="172"/>
      <c r="M216" s="172"/>
      <c r="N216" s="172"/>
      <c r="O216" s="172"/>
      <c r="P216" s="172"/>
      <c r="Q216" s="172"/>
      <c r="R216" s="172"/>
      <c r="S216" s="172"/>
      <c r="T216" s="172"/>
      <c r="U216" s="172"/>
      <c r="V216" s="172"/>
      <c r="W216" s="172"/>
      <c r="X216" s="172"/>
      <c r="Y216" s="172"/>
      <c r="Z216" s="172"/>
    </row>
    <row r="217" spans="1:26" ht="18.75">
      <c r="A217" s="407"/>
      <c r="B217" s="407"/>
      <c r="C217" s="407"/>
      <c r="D217" s="407"/>
      <c r="E217" s="407"/>
      <c r="F217" s="407"/>
      <c r="G217" s="172"/>
      <c r="H217" s="172"/>
      <c r="I217" s="172"/>
      <c r="J217" s="172"/>
      <c r="K217" s="172"/>
      <c r="L217" s="172"/>
      <c r="M217" s="172"/>
      <c r="N217" s="172"/>
      <c r="O217" s="172"/>
      <c r="P217" s="172"/>
      <c r="Q217" s="172"/>
      <c r="R217" s="172"/>
      <c r="S217" s="172"/>
      <c r="T217" s="172"/>
      <c r="U217" s="172"/>
      <c r="V217" s="172"/>
      <c r="W217" s="172"/>
      <c r="X217" s="172"/>
      <c r="Y217" s="172"/>
      <c r="Z217" s="172"/>
    </row>
    <row r="218" spans="1:26" ht="18.75">
      <c r="A218" s="24" t="s">
        <v>965</v>
      </c>
      <c r="B218" s="343">
        <v>44304</v>
      </c>
      <c r="D218" s="172" t="s">
        <v>968</v>
      </c>
      <c r="E218" s="172"/>
      <c r="F218" s="172"/>
      <c r="G218" s="172"/>
      <c r="H218" s="172"/>
      <c r="I218" s="172"/>
      <c r="J218" s="172"/>
      <c r="K218" s="172"/>
      <c r="L218" s="172"/>
      <c r="M218" s="172"/>
      <c r="N218" s="172"/>
      <c r="O218" s="172"/>
      <c r="P218" s="172"/>
      <c r="Q218" s="172"/>
      <c r="R218" s="172"/>
      <c r="S218" s="172"/>
      <c r="T218" s="172"/>
      <c r="U218" s="172"/>
      <c r="V218" s="172"/>
      <c r="W218" s="172"/>
      <c r="X218" s="172"/>
      <c r="Y218" s="172"/>
      <c r="Z218" s="172"/>
    </row>
    <row r="219" spans="1:26" ht="18.75">
      <c r="A219" s="24" t="s">
        <v>394</v>
      </c>
      <c r="B219" s="343">
        <v>44404</v>
      </c>
      <c r="C219" s="172"/>
      <c r="D219" s="172"/>
      <c r="E219" s="172"/>
      <c r="F219" s="172"/>
      <c r="G219" s="172"/>
      <c r="H219" s="172"/>
      <c r="I219" s="172"/>
      <c r="J219" s="172"/>
      <c r="K219" s="172"/>
      <c r="L219" s="172"/>
      <c r="M219" s="172"/>
      <c r="N219" s="172"/>
      <c r="O219" s="172"/>
      <c r="P219" s="172"/>
      <c r="Q219" s="172"/>
      <c r="R219" s="172"/>
      <c r="S219" s="172"/>
      <c r="T219" s="172"/>
      <c r="U219" s="172"/>
      <c r="V219" s="172"/>
      <c r="W219" s="172"/>
      <c r="X219" s="172"/>
      <c r="Y219" s="172"/>
      <c r="Z219" s="172"/>
    </row>
    <row r="220" spans="1:26" ht="17.45" customHeight="1">
      <c r="A220" s="24" t="s">
        <v>757</v>
      </c>
      <c r="B220" s="172">
        <v>300</v>
      </c>
      <c r="C220" s="172"/>
      <c r="D220" s="172"/>
      <c r="E220" s="172"/>
      <c r="F220" s="172"/>
      <c r="G220" s="172"/>
      <c r="H220" s="172"/>
      <c r="I220" s="172"/>
      <c r="J220" s="172"/>
      <c r="K220" s="172"/>
      <c r="L220" s="172"/>
      <c r="M220" s="172"/>
      <c r="N220" s="172"/>
      <c r="O220" s="172"/>
      <c r="P220" s="172"/>
      <c r="Q220" s="172"/>
      <c r="R220" s="172"/>
      <c r="S220" s="172"/>
      <c r="T220" s="172"/>
      <c r="U220" s="172"/>
      <c r="V220" s="172"/>
      <c r="W220" s="172"/>
      <c r="X220" s="172"/>
      <c r="Y220" s="172"/>
      <c r="Z220" s="172"/>
    </row>
    <row r="221" spans="1:26" ht="18.75">
      <c r="A221" s="24" t="s">
        <v>438</v>
      </c>
      <c r="B221" s="172">
        <f>_xlfn.DAYS(B219,B218)</f>
        <v>100</v>
      </c>
      <c r="C221" s="172"/>
      <c r="D221" s="172"/>
      <c r="E221" s="172"/>
      <c r="F221" s="172"/>
      <c r="G221" s="172"/>
      <c r="H221" s="172"/>
      <c r="I221" s="172"/>
      <c r="J221" s="172"/>
      <c r="K221" s="172"/>
      <c r="L221" s="172"/>
      <c r="M221" s="172"/>
      <c r="N221" s="172"/>
      <c r="O221" s="172"/>
      <c r="P221" s="172"/>
      <c r="Q221" s="172"/>
      <c r="R221" s="172"/>
      <c r="S221" s="172"/>
      <c r="T221" s="172"/>
      <c r="U221" s="172"/>
      <c r="V221" s="172"/>
      <c r="W221" s="172"/>
      <c r="X221" s="172"/>
      <c r="Y221" s="172"/>
      <c r="Z221" s="172"/>
    </row>
    <row r="222" spans="1:26" ht="18.75">
      <c r="A222" s="24" t="s">
        <v>966</v>
      </c>
      <c r="B222" s="172">
        <f>B221*B220/360</f>
        <v>83.333333333333329</v>
      </c>
      <c r="C222" s="172"/>
      <c r="D222" s="172"/>
      <c r="E222" s="172"/>
      <c r="F222" s="172"/>
      <c r="G222" s="172"/>
      <c r="H222" s="172"/>
      <c r="I222" s="172"/>
      <c r="J222" s="172"/>
      <c r="K222" s="172"/>
      <c r="L222" s="172"/>
      <c r="M222" s="172"/>
      <c r="N222" s="172"/>
      <c r="O222" s="172"/>
      <c r="P222" s="172"/>
      <c r="Q222" s="172"/>
      <c r="R222" s="172"/>
      <c r="S222" s="172"/>
      <c r="T222" s="172"/>
      <c r="U222" s="172"/>
      <c r="V222" s="172"/>
      <c r="W222" s="172"/>
      <c r="X222" s="172"/>
      <c r="Y222" s="172"/>
      <c r="Z222" s="172"/>
    </row>
    <row r="223" spans="1:26" ht="18.75">
      <c r="A223" s="407" t="s">
        <v>969</v>
      </c>
      <c r="B223" s="407"/>
      <c r="C223" s="407"/>
      <c r="D223" s="407"/>
      <c r="E223" s="407"/>
      <c r="F223" s="407"/>
      <c r="G223" s="172"/>
      <c r="H223" s="172"/>
      <c r="I223" s="172"/>
      <c r="J223" s="172"/>
      <c r="K223" s="172"/>
      <c r="L223" s="172"/>
      <c r="M223" s="172"/>
      <c r="N223" s="172"/>
      <c r="O223" s="172"/>
      <c r="P223" s="172"/>
      <c r="Q223" s="172"/>
      <c r="R223" s="172"/>
      <c r="S223" s="172"/>
      <c r="T223" s="172"/>
      <c r="U223" s="172"/>
      <c r="V223" s="172"/>
      <c r="W223" s="172"/>
      <c r="X223" s="172"/>
      <c r="Y223" s="172"/>
      <c r="Z223" s="172"/>
    </row>
    <row r="224" spans="1:26" ht="18.75">
      <c r="A224" s="407"/>
      <c r="B224" s="407"/>
      <c r="C224" s="407"/>
      <c r="D224" s="407"/>
      <c r="E224" s="407"/>
      <c r="F224" s="407"/>
      <c r="G224" s="172"/>
      <c r="H224" s="172"/>
      <c r="I224" s="172"/>
      <c r="J224" s="172"/>
      <c r="K224" s="172"/>
      <c r="L224" s="172"/>
      <c r="M224" s="172"/>
      <c r="N224" s="172"/>
      <c r="O224" s="172"/>
      <c r="P224" s="172"/>
      <c r="Q224" s="172"/>
      <c r="R224" s="172"/>
      <c r="S224" s="172"/>
      <c r="T224" s="172"/>
      <c r="U224" s="172"/>
      <c r="V224" s="172"/>
      <c r="W224" s="172"/>
      <c r="X224" s="172"/>
      <c r="Y224" s="172"/>
      <c r="Z224" s="172"/>
    </row>
    <row r="225" spans="1:26" ht="18.75">
      <c r="A225" s="407"/>
      <c r="B225" s="407"/>
      <c r="C225" s="407"/>
      <c r="D225" s="407"/>
      <c r="E225" s="407"/>
      <c r="F225" s="407"/>
      <c r="G225" s="172"/>
      <c r="H225" s="172"/>
      <c r="I225" s="172"/>
      <c r="J225" s="172"/>
      <c r="K225" s="172"/>
      <c r="L225" s="172"/>
      <c r="M225" s="172"/>
      <c r="N225" s="172"/>
      <c r="O225" s="172"/>
      <c r="P225" s="172"/>
      <c r="Q225" s="172"/>
      <c r="R225" s="172"/>
      <c r="S225" s="172"/>
      <c r="T225" s="172"/>
      <c r="U225" s="172"/>
      <c r="V225" s="172"/>
      <c r="W225" s="172"/>
      <c r="X225" s="172"/>
      <c r="Y225" s="172"/>
      <c r="Z225" s="172"/>
    </row>
    <row r="226" spans="1:26" ht="18.75">
      <c r="A226" s="407"/>
      <c r="B226" s="407"/>
      <c r="C226" s="407"/>
      <c r="D226" s="407"/>
      <c r="E226" s="407"/>
      <c r="F226" s="407"/>
      <c r="G226" s="172"/>
      <c r="H226" s="172"/>
      <c r="I226" s="172"/>
      <c r="J226" s="172"/>
      <c r="K226" s="172"/>
      <c r="L226" s="172"/>
      <c r="M226" s="172"/>
      <c r="N226" s="172"/>
      <c r="O226" s="172"/>
      <c r="P226" s="172"/>
      <c r="Q226" s="172"/>
      <c r="R226" s="172"/>
      <c r="S226" s="172"/>
      <c r="T226" s="172"/>
      <c r="U226" s="172"/>
      <c r="V226" s="172"/>
      <c r="W226" s="172"/>
      <c r="X226" s="172"/>
      <c r="Y226" s="172"/>
      <c r="Z226" s="172"/>
    </row>
    <row r="227" spans="1:26" ht="18.75">
      <c r="A227" s="24" t="s">
        <v>965</v>
      </c>
      <c r="B227" s="343">
        <v>44302</v>
      </c>
      <c r="C227" s="172"/>
      <c r="D227" s="172"/>
      <c r="E227" s="172"/>
      <c r="F227" s="172"/>
      <c r="G227" s="172"/>
      <c r="H227" s="172"/>
      <c r="I227" s="172"/>
      <c r="J227" s="172"/>
      <c r="K227" s="172"/>
      <c r="L227" s="172"/>
      <c r="M227" s="172"/>
      <c r="N227" s="172"/>
      <c r="O227" s="172"/>
      <c r="P227" s="172"/>
      <c r="Q227" s="172"/>
      <c r="R227" s="172"/>
      <c r="S227" s="172"/>
      <c r="T227" s="172"/>
      <c r="U227" s="172"/>
      <c r="V227" s="172"/>
      <c r="W227" s="172"/>
      <c r="X227" s="172"/>
      <c r="Y227" s="172"/>
      <c r="Z227" s="172"/>
    </row>
    <row r="228" spans="1:26" ht="18.75">
      <c r="A228" s="24" t="s">
        <v>394</v>
      </c>
      <c r="B228" s="343">
        <v>44389</v>
      </c>
      <c r="D228" s="172"/>
      <c r="E228" s="172"/>
      <c r="F228" s="172"/>
      <c r="G228" s="172"/>
      <c r="H228" s="172"/>
      <c r="I228" s="172"/>
      <c r="J228" s="172"/>
      <c r="K228" s="172"/>
      <c r="L228" s="172"/>
      <c r="M228" s="172"/>
      <c r="N228" s="172"/>
      <c r="O228" s="172"/>
      <c r="P228" s="172"/>
      <c r="Q228" s="172"/>
      <c r="R228" s="172"/>
      <c r="S228" s="172"/>
      <c r="T228" s="172"/>
      <c r="U228" s="172"/>
      <c r="V228" s="172"/>
      <c r="W228" s="172"/>
      <c r="X228" s="172"/>
      <c r="Y228" s="172"/>
      <c r="Z228" s="172"/>
    </row>
    <row r="229" spans="1:26" ht="18.75">
      <c r="A229" s="24" t="s">
        <v>757</v>
      </c>
      <c r="B229" s="172">
        <v>350</v>
      </c>
      <c r="C229" s="172"/>
      <c r="D229" s="172"/>
      <c r="E229" s="172"/>
      <c r="F229" s="172"/>
      <c r="G229" s="172"/>
      <c r="H229" s="172"/>
      <c r="I229" s="172"/>
      <c r="J229" s="172"/>
      <c r="K229" s="172"/>
      <c r="L229" s="172"/>
      <c r="M229" s="172"/>
      <c r="N229" s="172"/>
      <c r="O229" s="172"/>
      <c r="P229" s="172"/>
      <c r="Q229" s="172"/>
      <c r="R229" s="172"/>
      <c r="S229" s="172"/>
      <c r="T229" s="172"/>
      <c r="U229" s="172"/>
      <c r="V229" s="172"/>
      <c r="W229" s="172"/>
      <c r="X229" s="172"/>
      <c r="Y229" s="172"/>
      <c r="Z229" s="172"/>
    </row>
    <row r="230" spans="1:26" ht="18.75">
      <c r="A230" s="24" t="s">
        <v>438</v>
      </c>
      <c r="B230" s="172">
        <f>DAYS360(B227,B228)</f>
        <v>86</v>
      </c>
      <c r="C230" s="172"/>
      <c r="D230" s="172"/>
      <c r="E230" s="172"/>
      <c r="F230" s="172"/>
      <c r="G230" s="172"/>
      <c r="H230" s="172"/>
      <c r="I230" s="172"/>
      <c r="J230" s="172"/>
      <c r="K230" s="172"/>
      <c r="L230" s="172"/>
      <c r="M230" s="172"/>
      <c r="N230" s="172"/>
      <c r="O230" s="172"/>
      <c r="P230" s="172"/>
      <c r="Q230" s="172"/>
      <c r="R230" s="172"/>
      <c r="S230" s="172"/>
      <c r="T230" s="172"/>
      <c r="U230" s="172"/>
      <c r="V230" s="172"/>
      <c r="W230" s="172"/>
      <c r="X230" s="172"/>
      <c r="Y230" s="172"/>
      <c r="Z230" s="172"/>
    </row>
    <row r="231" spans="1:26" ht="18.75">
      <c r="A231" s="24" t="s">
        <v>966</v>
      </c>
      <c r="B231" s="172">
        <f>B230*B229/360</f>
        <v>83.611111111111114</v>
      </c>
      <c r="C231" s="172"/>
      <c r="D231" s="172"/>
      <c r="E231" s="172"/>
      <c r="F231" s="172"/>
      <c r="G231" s="172"/>
      <c r="H231" s="172"/>
      <c r="I231" s="172"/>
      <c r="J231" s="172"/>
      <c r="K231" s="172"/>
      <c r="L231" s="172"/>
      <c r="M231" s="172"/>
      <c r="N231" s="172"/>
      <c r="O231" s="172"/>
      <c r="P231" s="172"/>
      <c r="Q231" s="172"/>
      <c r="R231" s="172"/>
      <c r="S231" s="172"/>
      <c r="T231" s="172"/>
      <c r="U231" s="172"/>
      <c r="V231" s="172"/>
      <c r="W231" s="172"/>
      <c r="X231" s="172"/>
      <c r="Y231" s="172"/>
      <c r="Z231" s="172"/>
    </row>
    <row r="232" spans="1:26" ht="18.75">
      <c r="A232" s="407" t="s">
        <v>970</v>
      </c>
      <c r="B232" s="407"/>
      <c r="C232" s="407"/>
      <c r="D232" s="407"/>
      <c r="E232" s="407"/>
      <c r="F232" s="407"/>
      <c r="G232" s="172"/>
      <c r="H232" s="172"/>
      <c r="I232" s="172"/>
      <c r="J232" s="172"/>
      <c r="K232" s="172"/>
      <c r="L232" s="172"/>
      <c r="M232" s="172"/>
      <c r="N232" s="172"/>
      <c r="O232" s="172"/>
      <c r="P232" s="172"/>
      <c r="Q232" s="172"/>
      <c r="R232" s="172"/>
      <c r="S232" s="172"/>
      <c r="T232" s="172"/>
      <c r="U232" s="172"/>
      <c r="V232" s="172"/>
      <c r="W232" s="172"/>
      <c r="X232" s="172"/>
      <c r="Y232" s="172"/>
      <c r="Z232" s="172"/>
    </row>
    <row r="233" spans="1:26" ht="18.75">
      <c r="A233" s="407"/>
      <c r="B233" s="407"/>
      <c r="C233" s="407"/>
      <c r="D233" s="407"/>
      <c r="E233" s="407"/>
      <c r="F233" s="407"/>
      <c r="G233" s="172"/>
      <c r="H233" s="172"/>
      <c r="I233" s="172"/>
      <c r="J233" s="172"/>
      <c r="K233" s="172"/>
      <c r="L233" s="172"/>
      <c r="M233" s="172"/>
      <c r="N233" s="172"/>
      <c r="O233" s="172"/>
      <c r="P233" s="172"/>
      <c r="Q233" s="172"/>
      <c r="R233" s="172"/>
      <c r="S233" s="172"/>
      <c r="T233" s="172"/>
      <c r="U233" s="172"/>
      <c r="V233" s="172"/>
      <c r="W233" s="172"/>
      <c r="X233" s="172"/>
      <c r="Y233" s="172"/>
      <c r="Z233" s="172"/>
    </row>
    <row r="234" spans="1:26" ht="18.75">
      <c r="A234" s="407"/>
      <c r="B234" s="407"/>
      <c r="C234" s="407"/>
      <c r="D234" s="407"/>
      <c r="E234" s="407"/>
      <c r="F234" s="407"/>
      <c r="G234" s="172"/>
      <c r="H234" s="172"/>
      <c r="I234" s="172"/>
      <c r="J234" s="172"/>
      <c r="K234" s="172"/>
      <c r="L234" s="172"/>
      <c r="M234" s="172"/>
      <c r="N234" s="172"/>
      <c r="O234" s="172"/>
      <c r="P234" s="172"/>
      <c r="Q234" s="172"/>
      <c r="R234" s="172"/>
      <c r="S234" s="172"/>
      <c r="T234" s="172"/>
      <c r="U234" s="172"/>
      <c r="V234" s="172"/>
      <c r="W234" s="172"/>
      <c r="X234" s="172"/>
      <c r="Y234" s="172"/>
      <c r="Z234" s="172"/>
    </row>
    <row r="235" spans="1:26" ht="18.75">
      <c r="A235" s="407"/>
      <c r="B235" s="407"/>
      <c r="C235" s="407"/>
      <c r="D235" s="407"/>
      <c r="E235" s="407"/>
      <c r="F235" s="407"/>
      <c r="G235" s="172"/>
      <c r="H235" s="172"/>
      <c r="I235" s="172"/>
      <c r="J235" s="172"/>
      <c r="K235" s="172"/>
      <c r="L235" s="172"/>
      <c r="M235" s="172"/>
      <c r="N235" s="172"/>
      <c r="O235" s="172"/>
      <c r="P235" s="172"/>
      <c r="Q235" s="172"/>
      <c r="R235" s="172"/>
      <c r="S235" s="172"/>
      <c r="T235" s="172"/>
      <c r="U235" s="172"/>
      <c r="V235" s="172"/>
      <c r="W235" s="172"/>
      <c r="X235" s="172"/>
      <c r="Y235" s="172"/>
      <c r="Z235" s="172"/>
    </row>
    <row r="236" spans="1:26" ht="18.75">
      <c r="A236" s="24" t="s">
        <v>394</v>
      </c>
      <c r="B236" s="343">
        <v>42472</v>
      </c>
      <c r="C236" s="172"/>
      <c r="D236" s="172"/>
      <c r="E236" s="172" t="s">
        <v>971</v>
      </c>
      <c r="F236" s="172"/>
      <c r="G236" s="172"/>
      <c r="H236" s="172"/>
      <c r="I236" s="172"/>
      <c r="J236" s="172"/>
      <c r="K236" s="172"/>
      <c r="L236" s="172"/>
      <c r="M236" s="172"/>
      <c r="N236" s="172"/>
      <c r="O236" s="172"/>
      <c r="P236" s="172"/>
      <c r="Q236" s="172"/>
      <c r="R236" s="172"/>
      <c r="S236" s="172"/>
      <c r="T236" s="172"/>
      <c r="U236" s="172"/>
      <c r="V236" s="172"/>
      <c r="W236" s="172"/>
      <c r="X236" s="172"/>
      <c r="Y236" s="172"/>
      <c r="Z236" s="172"/>
    </row>
    <row r="237" spans="1:26" ht="18.75">
      <c r="A237" s="24" t="s">
        <v>965</v>
      </c>
      <c r="B237" s="343">
        <v>42388</v>
      </c>
      <c r="C237" s="172"/>
      <c r="D237" s="172"/>
      <c r="E237" s="172"/>
      <c r="F237" s="172"/>
      <c r="G237" s="172"/>
      <c r="H237" s="172"/>
      <c r="I237" s="172"/>
      <c r="J237" s="172"/>
      <c r="K237" s="172"/>
      <c r="L237" s="172"/>
      <c r="M237" s="172"/>
      <c r="N237" s="172"/>
      <c r="O237" s="172"/>
      <c r="P237" s="172"/>
      <c r="Q237" s="172"/>
      <c r="R237" s="172"/>
      <c r="S237" s="172"/>
      <c r="T237" s="172"/>
      <c r="U237" s="172"/>
      <c r="V237" s="172"/>
      <c r="W237" s="172"/>
      <c r="X237" s="172"/>
      <c r="Y237" s="172"/>
      <c r="Z237" s="172"/>
    </row>
    <row r="238" spans="1:26" ht="18.75">
      <c r="A238" s="24" t="s">
        <v>452</v>
      </c>
      <c r="B238" s="343">
        <v>42565</v>
      </c>
      <c r="C238" s="172"/>
      <c r="D238" s="172"/>
      <c r="E238" s="172"/>
      <c r="F238" s="172"/>
      <c r="G238" s="172"/>
      <c r="H238" s="172"/>
      <c r="I238" s="172"/>
      <c r="J238" s="172"/>
      <c r="K238" s="172"/>
      <c r="L238" s="172"/>
      <c r="M238" s="172"/>
      <c r="N238" s="172"/>
      <c r="O238" s="172"/>
      <c r="P238" s="172"/>
      <c r="Q238" s="172"/>
      <c r="R238" s="172"/>
      <c r="S238" s="172"/>
      <c r="T238" s="172"/>
      <c r="U238" s="172"/>
      <c r="V238" s="172"/>
      <c r="W238" s="172"/>
      <c r="X238" s="172"/>
      <c r="Y238" s="172"/>
      <c r="Z238" s="172"/>
    </row>
    <row r="239" spans="1:26" ht="18.75">
      <c r="A239" s="24" t="s">
        <v>757</v>
      </c>
      <c r="B239" s="172">
        <v>230</v>
      </c>
      <c r="D239" s="172"/>
      <c r="E239" s="172"/>
      <c r="F239" s="172"/>
      <c r="G239" s="172"/>
      <c r="H239" s="172"/>
      <c r="I239" s="172"/>
      <c r="J239" s="172"/>
      <c r="K239" s="172"/>
      <c r="L239" s="172"/>
      <c r="M239" s="172"/>
      <c r="N239" s="172"/>
      <c r="O239" s="172"/>
      <c r="P239" s="172"/>
      <c r="Q239" s="172"/>
      <c r="R239" s="172"/>
      <c r="S239" s="172"/>
      <c r="T239" s="172"/>
      <c r="U239" s="172"/>
      <c r="V239" s="172"/>
      <c r="W239" s="172"/>
      <c r="X239" s="172"/>
      <c r="Y239" s="172"/>
      <c r="Z239" s="172"/>
    </row>
    <row r="240" spans="1:26" ht="18.75">
      <c r="A240" s="24" t="s">
        <v>972</v>
      </c>
      <c r="C240" s="172">
        <f>_xlfn.DAYS(B236,B237)</f>
        <v>84</v>
      </c>
      <c r="E240" s="172"/>
      <c r="F240" s="172"/>
      <c r="G240" s="172"/>
      <c r="H240" s="172"/>
      <c r="I240" s="172"/>
      <c r="J240" s="172"/>
      <c r="K240" s="172"/>
      <c r="L240" s="172"/>
      <c r="M240" s="172"/>
      <c r="N240" s="172"/>
      <c r="O240" s="172"/>
      <c r="P240" s="172"/>
      <c r="Q240" s="172"/>
      <c r="R240" s="172"/>
      <c r="S240" s="172"/>
      <c r="T240" s="172"/>
      <c r="U240" s="172"/>
      <c r="V240" s="172"/>
      <c r="W240" s="172"/>
      <c r="X240" s="172"/>
      <c r="Y240" s="172"/>
      <c r="Z240" s="172"/>
    </row>
    <row r="241" spans="1:26" ht="18.75">
      <c r="A241" s="24" t="s">
        <v>973</v>
      </c>
      <c r="C241" s="172">
        <f>_xlfn.DAYS(B238,B237)</f>
        <v>177</v>
      </c>
      <c r="D241" s="172"/>
      <c r="E241" s="172"/>
      <c r="F241" s="172"/>
      <c r="G241" s="172"/>
      <c r="H241" s="172"/>
      <c r="I241" s="172"/>
      <c r="J241" s="172"/>
      <c r="K241" s="172"/>
      <c r="L241" s="172"/>
      <c r="M241" s="172"/>
      <c r="N241" s="172"/>
      <c r="O241" s="172"/>
      <c r="P241" s="172"/>
      <c r="Q241" s="172"/>
      <c r="R241" s="172"/>
      <c r="S241" s="172"/>
      <c r="T241" s="172"/>
      <c r="U241" s="172"/>
      <c r="V241" s="172"/>
      <c r="W241" s="172"/>
      <c r="X241" s="172"/>
      <c r="Y241" s="172"/>
      <c r="Z241" s="172"/>
    </row>
    <row r="242" spans="1:26" ht="18.75">
      <c r="A242" s="24" t="s">
        <v>966</v>
      </c>
      <c r="B242" s="172">
        <f>B239*C240/C241</f>
        <v>109.15254237288136</v>
      </c>
      <c r="C242" s="172"/>
      <c r="D242" s="172"/>
      <c r="E242" s="172"/>
      <c r="F242" s="172"/>
      <c r="G242" s="172"/>
      <c r="H242" s="172"/>
      <c r="I242" s="172"/>
      <c r="J242" s="172"/>
      <c r="K242" s="172"/>
      <c r="L242" s="172"/>
      <c r="M242" s="172"/>
      <c r="N242" s="172"/>
      <c r="O242" s="172"/>
      <c r="P242" s="172"/>
      <c r="Q242" s="172"/>
      <c r="R242" s="172"/>
      <c r="S242" s="172"/>
      <c r="T242" s="172"/>
      <c r="U242" s="172"/>
      <c r="V242" s="172"/>
      <c r="W242" s="172"/>
      <c r="X242" s="172"/>
      <c r="Y242" s="172"/>
      <c r="Z242" s="172"/>
    </row>
    <row r="243" spans="1:26" ht="18.75">
      <c r="A243" s="407" t="s">
        <v>974</v>
      </c>
      <c r="B243" s="407"/>
      <c r="C243" s="407"/>
      <c r="D243" s="407"/>
      <c r="E243" s="407"/>
      <c r="F243" s="407"/>
      <c r="G243" s="172"/>
      <c r="H243" s="172"/>
      <c r="I243" s="172"/>
      <c r="J243" s="172"/>
      <c r="K243" s="172"/>
      <c r="L243" s="172"/>
      <c r="M243" s="172"/>
      <c r="N243" s="172"/>
      <c r="O243" s="172"/>
      <c r="P243" s="172"/>
      <c r="Q243" s="172"/>
      <c r="R243" s="172"/>
      <c r="S243" s="172"/>
      <c r="T243" s="172"/>
      <c r="U243" s="172"/>
      <c r="V243" s="172"/>
      <c r="W243" s="172"/>
      <c r="X243" s="172"/>
      <c r="Y243" s="172"/>
      <c r="Z243" s="172"/>
    </row>
    <row r="244" spans="1:26" ht="18.75">
      <c r="A244" s="407"/>
      <c r="B244" s="407"/>
      <c r="C244" s="407"/>
      <c r="D244" s="407"/>
      <c r="E244" s="407"/>
      <c r="F244" s="407"/>
      <c r="G244" s="172"/>
      <c r="H244" s="172"/>
      <c r="I244" s="172"/>
      <c r="J244" s="172"/>
      <c r="K244" s="172"/>
      <c r="L244" s="172"/>
      <c r="M244" s="172"/>
      <c r="N244" s="172"/>
      <c r="O244" s="172"/>
      <c r="P244" s="172"/>
      <c r="Q244" s="172"/>
      <c r="R244" s="172"/>
      <c r="S244" s="172"/>
      <c r="T244" s="172"/>
      <c r="U244" s="172"/>
      <c r="V244" s="172"/>
      <c r="W244" s="172"/>
      <c r="X244" s="172"/>
      <c r="Y244" s="172"/>
      <c r="Z244" s="172"/>
    </row>
    <row r="245" spans="1:26" ht="18.75">
      <c r="A245" s="407"/>
      <c r="B245" s="407"/>
      <c r="C245" s="407"/>
      <c r="D245" s="407"/>
      <c r="E245" s="407"/>
      <c r="F245" s="407"/>
      <c r="G245" s="172"/>
      <c r="H245" s="172"/>
      <c r="I245" s="172"/>
      <c r="J245" s="172"/>
      <c r="K245" s="172"/>
      <c r="L245" s="172"/>
      <c r="M245" s="172"/>
      <c r="N245" s="172"/>
      <c r="O245" s="172"/>
      <c r="P245" s="172"/>
      <c r="Q245" s="172"/>
      <c r="R245" s="172"/>
      <c r="S245" s="172"/>
      <c r="T245" s="172"/>
      <c r="U245" s="172"/>
      <c r="V245" s="172"/>
      <c r="W245" s="172"/>
      <c r="X245" s="172"/>
      <c r="Y245" s="172"/>
      <c r="Z245" s="172"/>
    </row>
    <row r="246" spans="1:26" ht="18.75">
      <c r="A246" s="407"/>
      <c r="B246" s="407"/>
      <c r="C246" s="407"/>
      <c r="D246" s="407"/>
      <c r="E246" s="407"/>
      <c r="F246" s="407"/>
      <c r="G246" s="172"/>
      <c r="H246" s="172"/>
      <c r="I246" s="172"/>
      <c r="J246" s="172"/>
      <c r="K246" s="172"/>
      <c r="L246" s="172"/>
      <c r="M246" s="172"/>
      <c r="N246" s="172"/>
      <c r="O246" s="172"/>
      <c r="P246" s="172"/>
      <c r="Q246" s="172"/>
      <c r="R246" s="172"/>
      <c r="S246" s="172"/>
      <c r="T246" s="172"/>
      <c r="U246" s="172"/>
      <c r="V246" s="172"/>
      <c r="W246" s="172"/>
      <c r="X246" s="172"/>
      <c r="Y246" s="172"/>
      <c r="Z246" s="172"/>
    </row>
    <row r="247" spans="1:26" ht="18.75">
      <c r="A247" s="24" t="s">
        <v>394</v>
      </c>
      <c r="B247" s="343">
        <v>43028</v>
      </c>
      <c r="C247" s="172"/>
      <c r="D247" s="172"/>
      <c r="E247" s="172"/>
      <c r="F247" s="172"/>
      <c r="G247" s="172"/>
      <c r="H247" s="172"/>
      <c r="I247" s="172"/>
      <c r="J247" s="172"/>
      <c r="K247" s="172"/>
      <c r="L247" s="172"/>
      <c r="M247" s="172"/>
      <c r="N247" s="172"/>
      <c r="O247" s="172"/>
      <c r="P247" s="172"/>
      <c r="Q247" s="172"/>
      <c r="R247" s="172"/>
      <c r="S247" s="172"/>
      <c r="T247" s="172"/>
      <c r="U247" s="172"/>
      <c r="V247" s="172"/>
      <c r="W247" s="172"/>
      <c r="X247" s="172"/>
      <c r="Y247" s="172"/>
      <c r="Z247" s="172"/>
    </row>
    <row r="248" spans="1:26" ht="18.75">
      <c r="A248" s="24" t="s">
        <v>965</v>
      </c>
      <c r="B248" s="343">
        <v>42901</v>
      </c>
      <c r="C248" s="172"/>
      <c r="D248" s="172"/>
      <c r="E248" s="172"/>
      <c r="F248" s="172"/>
      <c r="G248" s="172"/>
      <c r="H248" s="172"/>
      <c r="I248" s="172"/>
      <c r="J248" s="172"/>
      <c r="K248" s="172"/>
      <c r="L248" s="172"/>
      <c r="M248" s="172"/>
      <c r="N248" s="172"/>
      <c r="O248" s="172"/>
      <c r="P248" s="172"/>
      <c r="Q248" s="172"/>
      <c r="R248" s="172"/>
      <c r="S248" s="172"/>
      <c r="T248" s="172"/>
      <c r="U248" s="172"/>
      <c r="V248" s="172"/>
      <c r="W248" s="172"/>
      <c r="X248" s="172"/>
      <c r="Y248" s="172"/>
      <c r="Z248" s="172"/>
    </row>
    <row r="249" spans="1:26" ht="18.75">
      <c r="A249" s="24" t="s">
        <v>452</v>
      </c>
      <c r="B249" s="343">
        <v>43266</v>
      </c>
      <c r="C249" s="172" t="s">
        <v>975</v>
      </c>
      <c r="D249" s="172"/>
      <c r="E249" s="172"/>
      <c r="F249" s="172"/>
      <c r="G249" s="172"/>
      <c r="H249" s="172"/>
      <c r="I249" s="172"/>
      <c r="J249" s="172"/>
      <c r="K249" s="172"/>
      <c r="L249" s="172"/>
      <c r="M249" s="172"/>
      <c r="N249" s="172"/>
      <c r="O249" s="172"/>
      <c r="P249" s="172"/>
      <c r="Q249" s="172"/>
      <c r="R249" s="172"/>
      <c r="S249" s="172"/>
      <c r="T249" s="172"/>
      <c r="U249" s="172"/>
      <c r="V249" s="172"/>
      <c r="W249" s="172"/>
      <c r="X249" s="172"/>
      <c r="Y249" s="172"/>
      <c r="Z249" s="172"/>
    </row>
    <row r="250" spans="1:26" ht="18.75">
      <c r="A250" s="24" t="s">
        <v>972</v>
      </c>
      <c r="C250" s="172">
        <f>_xlfn.DAYS(B247,B248)</f>
        <v>127</v>
      </c>
      <c r="D250" s="172"/>
      <c r="E250" s="172"/>
      <c r="F250" s="172"/>
      <c r="G250" s="172"/>
      <c r="H250" s="172"/>
      <c r="I250" s="172"/>
      <c r="J250" s="172"/>
      <c r="K250" s="172"/>
      <c r="L250" s="172"/>
      <c r="M250" s="172"/>
      <c r="N250" s="172"/>
      <c r="O250" s="172"/>
      <c r="P250" s="172"/>
      <c r="Q250" s="172"/>
      <c r="R250" s="172"/>
      <c r="S250" s="172"/>
      <c r="T250" s="172"/>
      <c r="U250" s="172"/>
      <c r="V250" s="172"/>
      <c r="W250" s="172"/>
      <c r="X250" s="172"/>
      <c r="Y250" s="172"/>
      <c r="Z250" s="172"/>
    </row>
    <row r="251" spans="1:26" ht="18.75">
      <c r="A251" s="24" t="s">
        <v>976</v>
      </c>
      <c r="C251" s="172">
        <f>_xlfn.DAYS(B249,B247)</f>
        <v>238</v>
      </c>
      <c r="D251" s="172"/>
      <c r="E251" s="172"/>
      <c r="F251" s="172"/>
      <c r="G251" s="172"/>
      <c r="H251" s="172"/>
      <c r="I251" s="172"/>
      <c r="J251" s="172"/>
      <c r="K251" s="172"/>
      <c r="L251" s="172"/>
      <c r="M251" s="172"/>
      <c r="N251" s="172"/>
      <c r="O251" s="172"/>
      <c r="P251" s="172"/>
      <c r="Q251" s="172"/>
      <c r="R251" s="172"/>
      <c r="S251" s="172"/>
      <c r="T251" s="172"/>
      <c r="U251" s="172"/>
      <c r="V251" s="172"/>
      <c r="W251" s="172"/>
      <c r="X251" s="172"/>
      <c r="Y251" s="172"/>
      <c r="Z251" s="172"/>
    </row>
    <row r="252" spans="1:26" ht="18.75">
      <c r="A252" s="24" t="s">
        <v>914</v>
      </c>
      <c r="B252" s="172">
        <f>C250/365</f>
        <v>0.34794520547945207</v>
      </c>
      <c r="C252" s="172" t="s">
        <v>977</v>
      </c>
      <c r="D252" s="172">
        <f>C251/365</f>
        <v>0.65205479452054793</v>
      </c>
      <c r="E252" s="172"/>
      <c r="F252" s="172"/>
      <c r="G252" s="172"/>
      <c r="H252" s="172"/>
      <c r="I252" s="172"/>
      <c r="J252" s="172"/>
      <c r="K252" s="172"/>
      <c r="L252" s="172"/>
      <c r="M252" s="172"/>
      <c r="N252" s="172"/>
      <c r="O252" s="172"/>
      <c r="P252" s="172"/>
      <c r="Q252" s="172"/>
      <c r="R252" s="172"/>
      <c r="S252" s="172"/>
      <c r="T252" s="172"/>
      <c r="U252" s="172"/>
      <c r="V252" s="172"/>
      <c r="W252" s="172"/>
      <c r="X252" s="172"/>
      <c r="Y252" s="172"/>
      <c r="Z252" s="172"/>
    </row>
    <row r="253" spans="1:26" ht="18.75">
      <c r="A253" s="24" t="s">
        <v>978</v>
      </c>
      <c r="B253" s="172"/>
      <c r="C253" s="172"/>
      <c r="D253" s="172"/>
      <c r="E253" s="172"/>
      <c r="F253" s="172"/>
      <c r="G253" s="172"/>
      <c r="H253" s="172"/>
      <c r="I253" s="172"/>
      <c r="J253" s="172"/>
      <c r="K253" s="172"/>
      <c r="L253" s="172"/>
      <c r="M253" s="172"/>
      <c r="N253" s="172"/>
      <c r="O253" s="172"/>
      <c r="P253" s="172"/>
      <c r="Q253" s="172"/>
      <c r="R253" s="172"/>
      <c r="S253" s="172"/>
      <c r="T253" s="172"/>
      <c r="U253" s="172"/>
      <c r="V253" s="172"/>
      <c r="W253" s="172"/>
      <c r="X253" s="172"/>
      <c r="Y253" s="172"/>
      <c r="Z253" s="172"/>
    </row>
    <row r="254" spans="1:26" ht="18.75">
      <c r="A254" s="24"/>
      <c r="B254" s="172"/>
      <c r="C254" s="172"/>
      <c r="D254" s="172"/>
      <c r="E254" s="172"/>
      <c r="F254" s="172"/>
      <c r="G254" s="172"/>
      <c r="H254" s="172"/>
      <c r="I254" s="172"/>
      <c r="J254" s="172"/>
      <c r="K254" s="172"/>
      <c r="L254" s="172"/>
      <c r="M254" s="172"/>
      <c r="N254" s="172"/>
      <c r="O254" s="172"/>
      <c r="P254" s="172"/>
      <c r="Q254" s="172"/>
      <c r="R254" s="172"/>
      <c r="S254" s="172"/>
      <c r="T254" s="172"/>
      <c r="U254" s="172"/>
      <c r="V254" s="172"/>
      <c r="W254" s="172"/>
      <c r="X254" s="172"/>
      <c r="Y254" s="172"/>
      <c r="Z254" s="172"/>
    </row>
    <row r="255" spans="1:26" ht="18.75">
      <c r="A255" s="78"/>
      <c r="B255" s="172"/>
      <c r="C255" s="172"/>
      <c r="D255" s="172"/>
      <c r="E255" s="172"/>
      <c r="F255" s="172"/>
      <c r="G255" s="172"/>
      <c r="H255" s="172"/>
      <c r="I255" s="172"/>
      <c r="J255" s="172"/>
      <c r="K255" s="172"/>
      <c r="L255" s="172"/>
      <c r="M255" s="172"/>
      <c r="N255" s="172"/>
      <c r="O255" s="172"/>
      <c r="P255" s="172"/>
      <c r="Q255" s="172"/>
      <c r="R255" s="172"/>
      <c r="S255" s="172"/>
      <c r="T255" s="172"/>
      <c r="U255" s="172"/>
      <c r="V255" s="172"/>
      <c r="W255" s="172"/>
      <c r="X255" s="172"/>
      <c r="Y255" s="172"/>
      <c r="Z255" s="172"/>
    </row>
    <row r="256" spans="1:26" ht="18.75">
      <c r="A256" s="172"/>
      <c r="B256" s="21" t="s">
        <v>150</v>
      </c>
      <c r="C256" s="172"/>
      <c r="D256" s="172"/>
      <c r="E256" s="172"/>
      <c r="F256" s="172"/>
      <c r="G256" s="172"/>
      <c r="H256" s="172"/>
      <c r="I256" s="172"/>
      <c r="J256" s="172"/>
      <c r="K256" s="172"/>
      <c r="L256" s="172"/>
      <c r="M256" s="172"/>
      <c r="N256" s="172"/>
      <c r="O256" s="172"/>
      <c r="P256" s="172"/>
      <c r="Q256" s="172"/>
      <c r="R256" s="172"/>
      <c r="S256" s="172"/>
      <c r="T256" s="172"/>
      <c r="U256" s="172"/>
      <c r="V256" s="172"/>
      <c r="W256" s="172"/>
      <c r="X256" s="172"/>
      <c r="Y256" s="172"/>
      <c r="Z256" s="172"/>
    </row>
    <row r="257" spans="1:26" ht="18.75">
      <c r="A257" s="430" t="s">
        <v>979</v>
      </c>
      <c r="B257" s="405"/>
      <c r="C257" s="405"/>
      <c r="D257" s="405"/>
      <c r="E257" s="405"/>
      <c r="F257" s="405"/>
      <c r="G257" s="405"/>
      <c r="H257" s="405"/>
      <c r="I257" s="172"/>
      <c r="J257" s="172"/>
      <c r="K257" s="172"/>
      <c r="L257" s="172"/>
      <c r="M257" s="172"/>
      <c r="N257" s="172"/>
      <c r="O257" s="172"/>
      <c r="P257" s="172"/>
      <c r="Q257" s="172"/>
      <c r="R257" s="172"/>
      <c r="S257" s="172"/>
      <c r="T257" s="172"/>
      <c r="U257" s="172"/>
      <c r="V257" s="172"/>
      <c r="W257" s="172"/>
      <c r="X257" s="172"/>
      <c r="Y257" s="172"/>
      <c r="Z257" s="172"/>
    </row>
    <row r="258" spans="1:26" ht="18.75">
      <c r="A258" s="405"/>
      <c r="B258" s="405"/>
      <c r="C258" s="405"/>
      <c r="D258" s="405"/>
      <c r="E258" s="405"/>
      <c r="F258" s="405"/>
      <c r="G258" s="405"/>
      <c r="H258" s="405"/>
      <c r="I258" s="172"/>
      <c r="J258" s="172"/>
      <c r="K258" s="172"/>
      <c r="L258" s="172"/>
      <c r="M258" s="172"/>
      <c r="N258" s="172"/>
      <c r="O258" s="172"/>
      <c r="P258" s="172"/>
      <c r="Q258" s="172"/>
      <c r="R258" s="172"/>
      <c r="S258" s="172"/>
      <c r="T258" s="172"/>
      <c r="U258" s="172"/>
      <c r="V258" s="172"/>
      <c r="W258" s="172"/>
      <c r="X258" s="172"/>
      <c r="Y258" s="172"/>
      <c r="Z258" s="172"/>
    </row>
    <row r="259" spans="1:26" ht="18.75">
      <c r="A259" s="405"/>
      <c r="B259" s="405"/>
      <c r="C259" s="405"/>
      <c r="D259" s="405"/>
      <c r="E259" s="405"/>
      <c r="F259" s="405"/>
      <c r="G259" s="405"/>
      <c r="H259" s="405"/>
      <c r="I259" s="172"/>
      <c r="J259" s="172"/>
      <c r="K259" s="172"/>
      <c r="L259" s="172"/>
      <c r="M259" s="172"/>
      <c r="N259" s="172"/>
      <c r="O259" s="172"/>
      <c r="P259" s="172"/>
      <c r="Q259" s="172"/>
      <c r="R259" s="172"/>
      <c r="S259" s="172"/>
      <c r="T259" s="172"/>
      <c r="U259" s="172"/>
      <c r="V259" s="172"/>
      <c r="W259" s="172"/>
      <c r="X259" s="172"/>
      <c r="Y259" s="172"/>
      <c r="Z259" s="172"/>
    </row>
    <row r="260" spans="1:26" ht="18.75">
      <c r="A260" s="405"/>
      <c r="B260" s="405"/>
      <c r="C260" s="405"/>
      <c r="D260" s="405"/>
      <c r="E260" s="405"/>
      <c r="F260" s="405"/>
      <c r="G260" s="405"/>
      <c r="H260" s="405"/>
      <c r="I260" s="172"/>
      <c r="J260" s="172"/>
      <c r="K260" s="172"/>
      <c r="L260" s="172"/>
      <c r="M260" s="172"/>
      <c r="N260" s="172"/>
      <c r="O260" s="172"/>
      <c r="P260" s="172"/>
      <c r="Q260" s="172"/>
      <c r="R260" s="172"/>
      <c r="S260" s="172"/>
      <c r="T260" s="172"/>
      <c r="U260" s="172"/>
      <c r="V260" s="172"/>
      <c r="W260" s="172"/>
      <c r="X260" s="172"/>
      <c r="Y260" s="172"/>
      <c r="Z260" s="172"/>
    </row>
    <row r="261" spans="1:26" ht="18.75">
      <c r="A261" s="405"/>
      <c r="B261" s="405"/>
      <c r="C261" s="405"/>
      <c r="D261" s="405"/>
      <c r="E261" s="405"/>
      <c r="F261" s="405"/>
      <c r="G261" s="405"/>
      <c r="H261" s="405"/>
      <c r="I261" s="172"/>
      <c r="J261" s="172"/>
      <c r="K261" s="172"/>
      <c r="L261" s="172"/>
      <c r="M261" s="172"/>
      <c r="N261" s="172"/>
      <c r="O261" s="172"/>
      <c r="P261" s="172"/>
      <c r="Q261" s="172"/>
      <c r="R261" s="172"/>
      <c r="S261" s="172"/>
      <c r="T261" s="172"/>
      <c r="U261" s="172"/>
      <c r="V261" s="172"/>
      <c r="W261" s="172"/>
      <c r="X261" s="172"/>
      <c r="Y261" s="172"/>
      <c r="Z261" s="172"/>
    </row>
    <row r="262" spans="1:26" ht="18.75">
      <c r="A262" s="405"/>
      <c r="B262" s="405"/>
      <c r="C262" s="405"/>
      <c r="D262" s="405"/>
      <c r="E262" s="405"/>
      <c r="F262" s="405"/>
      <c r="G262" s="405"/>
      <c r="H262" s="405"/>
      <c r="I262" s="172"/>
      <c r="J262" s="172"/>
      <c r="K262" s="172"/>
      <c r="L262" s="172"/>
      <c r="M262" s="172"/>
      <c r="N262" s="172"/>
      <c r="O262" s="172"/>
      <c r="P262" s="172"/>
      <c r="Q262" s="172"/>
      <c r="R262" s="172"/>
      <c r="S262" s="172"/>
      <c r="T262" s="172"/>
      <c r="U262" s="172"/>
      <c r="V262" s="172"/>
      <c r="W262" s="172"/>
      <c r="X262" s="172"/>
      <c r="Y262" s="172"/>
      <c r="Z262" s="172"/>
    </row>
    <row r="263" spans="1:26" ht="18.75">
      <c r="A263" s="172"/>
      <c r="B263" s="172"/>
      <c r="C263" s="172"/>
      <c r="D263" s="172"/>
      <c r="E263" s="172"/>
      <c r="F263" s="172"/>
      <c r="G263" s="172"/>
      <c r="H263" s="172"/>
      <c r="I263" s="172"/>
      <c r="J263" s="172"/>
      <c r="K263" s="172"/>
      <c r="L263" s="172"/>
      <c r="M263" s="172"/>
      <c r="N263" s="172"/>
      <c r="O263" s="172"/>
      <c r="P263" s="172"/>
      <c r="Q263" s="172"/>
      <c r="R263" s="172"/>
      <c r="S263" s="172"/>
      <c r="T263" s="172"/>
      <c r="U263" s="172"/>
      <c r="V263" s="172"/>
      <c r="W263" s="172"/>
      <c r="X263" s="172"/>
      <c r="Y263" s="172"/>
      <c r="Z263" s="172"/>
    </row>
    <row r="264" spans="1:26" ht="18.75">
      <c r="A264" s="172" t="s">
        <v>938</v>
      </c>
      <c r="B264" s="172">
        <v>1000</v>
      </c>
      <c r="C264" s="172"/>
      <c r="D264" s="172"/>
      <c r="E264" s="172"/>
      <c r="F264" s="172"/>
      <c r="G264" s="172"/>
      <c r="H264" s="172"/>
      <c r="I264" s="172"/>
      <c r="J264" s="172"/>
      <c r="K264" s="172"/>
      <c r="L264" s="172"/>
      <c r="M264" s="172"/>
      <c r="N264" s="172"/>
      <c r="O264" s="172"/>
      <c r="P264" s="172"/>
      <c r="Q264" s="172"/>
      <c r="R264" s="172"/>
      <c r="S264" s="172"/>
      <c r="T264" s="172"/>
      <c r="U264" s="172"/>
      <c r="V264" s="172"/>
      <c r="W264" s="172"/>
      <c r="X264" s="172"/>
      <c r="Y264" s="172"/>
      <c r="Z264" s="172"/>
    </row>
    <row r="265" spans="1:26" ht="18.75">
      <c r="A265" s="172" t="s">
        <v>790</v>
      </c>
      <c r="B265" s="172">
        <v>1200</v>
      </c>
      <c r="C265" s="172"/>
      <c r="D265" s="172"/>
      <c r="E265" s="172"/>
      <c r="F265" s="172"/>
      <c r="G265" s="172"/>
      <c r="H265" s="172"/>
      <c r="I265" s="172"/>
      <c r="J265" s="172"/>
      <c r="K265" s="172"/>
      <c r="L265" s="172"/>
      <c r="M265" s="172"/>
      <c r="N265" s="172"/>
      <c r="O265" s="172"/>
      <c r="P265" s="172"/>
      <c r="Q265" s="172"/>
      <c r="R265" s="172"/>
      <c r="S265" s="172"/>
      <c r="T265" s="172"/>
      <c r="U265" s="172"/>
      <c r="V265" s="172"/>
      <c r="W265" s="172"/>
      <c r="X265" s="172"/>
      <c r="Y265" s="172"/>
      <c r="Z265" s="172"/>
    </row>
    <row r="266" spans="1:26" ht="18.75">
      <c r="A266" s="172" t="s">
        <v>919</v>
      </c>
      <c r="B266" s="173">
        <v>0.12</v>
      </c>
      <c r="C266" s="172"/>
      <c r="D266" s="172"/>
      <c r="E266" s="172"/>
      <c r="F266" s="172"/>
      <c r="G266" s="172"/>
      <c r="H266" s="172"/>
      <c r="I266" s="172"/>
      <c r="J266" s="172"/>
      <c r="K266" s="172"/>
      <c r="L266" s="172"/>
      <c r="M266" s="172"/>
      <c r="N266" s="172"/>
      <c r="O266" s="172"/>
      <c r="P266" s="172"/>
      <c r="Q266" s="172"/>
      <c r="R266" s="172"/>
      <c r="S266" s="172"/>
      <c r="T266" s="172"/>
      <c r="U266" s="172"/>
      <c r="V266" s="172"/>
      <c r="W266" s="172"/>
      <c r="X266" s="172"/>
      <c r="Y266" s="172"/>
      <c r="Z266" s="172"/>
    </row>
    <row r="267" spans="1:26" ht="18.75">
      <c r="A267" s="172" t="s">
        <v>48</v>
      </c>
      <c r="B267" s="172">
        <v>2</v>
      </c>
      <c r="C267" s="172"/>
      <c r="D267" s="172"/>
      <c r="E267" s="172"/>
      <c r="F267" s="172"/>
      <c r="G267" s="172"/>
      <c r="H267" s="172"/>
      <c r="I267" s="172"/>
      <c r="J267" s="172"/>
      <c r="K267" s="172"/>
      <c r="L267" s="172"/>
      <c r="M267" s="172"/>
      <c r="N267" s="172"/>
      <c r="O267" s="172"/>
      <c r="P267" s="172"/>
      <c r="Q267" s="172"/>
      <c r="R267" s="172"/>
      <c r="S267" s="172"/>
      <c r="T267" s="172"/>
      <c r="U267" s="172"/>
      <c r="V267" s="172"/>
      <c r="W267" s="172"/>
      <c r="X267" s="172"/>
      <c r="Y267" s="172"/>
      <c r="Z267" s="172"/>
    </row>
    <row r="268" spans="1:26" ht="18.75">
      <c r="A268" s="172" t="s">
        <v>558</v>
      </c>
      <c r="B268" s="173">
        <v>0.1</v>
      </c>
      <c r="C268" s="172"/>
      <c r="D268" s="172"/>
      <c r="E268" s="172"/>
      <c r="F268" s="172"/>
      <c r="G268" s="172"/>
      <c r="H268" s="172"/>
      <c r="I268" s="172"/>
      <c r="J268" s="172"/>
      <c r="K268" s="172"/>
      <c r="L268" s="172"/>
      <c r="M268" s="172"/>
      <c r="N268" s="172"/>
      <c r="O268" s="172"/>
      <c r="P268" s="172"/>
      <c r="Q268" s="172"/>
      <c r="R268" s="172"/>
      <c r="S268" s="172"/>
      <c r="T268" s="172"/>
      <c r="U268" s="172"/>
      <c r="V268" s="172"/>
      <c r="W268" s="172"/>
      <c r="X268" s="172"/>
      <c r="Y268" s="172"/>
      <c r="Z268" s="172"/>
    </row>
    <row r="269" spans="1:26" ht="18.75">
      <c r="A269" s="173" t="s">
        <v>559</v>
      </c>
      <c r="B269" s="173">
        <v>0.14000000000000001</v>
      </c>
      <c r="C269" s="173"/>
      <c r="D269" s="172"/>
      <c r="E269" s="172"/>
      <c r="F269" s="172"/>
      <c r="G269" s="172"/>
      <c r="H269" s="172"/>
      <c r="I269" s="172"/>
      <c r="J269" s="172"/>
      <c r="K269" s="172"/>
      <c r="L269" s="172"/>
      <c r="M269" s="172"/>
      <c r="N269" s="172"/>
      <c r="O269" s="172"/>
      <c r="P269" s="172"/>
      <c r="Q269" s="172"/>
      <c r="R269" s="172"/>
      <c r="S269" s="172"/>
      <c r="T269" s="172"/>
      <c r="U269" s="172"/>
      <c r="V269" s="172"/>
      <c r="W269" s="172"/>
      <c r="X269" s="172"/>
      <c r="Y269" s="172"/>
      <c r="Z269" s="172"/>
    </row>
    <row r="270" spans="1:26" ht="18.75">
      <c r="A270" s="172" t="s">
        <v>903</v>
      </c>
      <c r="B270" s="173">
        <v>0.12</v>
      </c>
      <c r="C270" s="172"/>
      <c r="D270" s="172"/>
      <c r="E270" s="172"/>
      <c r="F270" s="172"/>
      <c r="G270" s="172"/>
      <c r="H270" s="172"/>
      <c r="I270" s="172"/>
      <c r="J270" s="172"/>
      <c r="K270" s="172"/>
      <c r="L270" s="172"/>
      <c r="M270" s="172"/>
      <c r="N270" s="172"/>
      <c r="O270" s="172"/>
      <c r="P270" s="172"/>
      <c r="Q270" s="172"/>
      <c r="R270" s="172"/>
      <c r="S270" s="172"/>
      <c r="T270" s="172"/>
      <c r="U270" s="172"/>
      <c r="V270" s="172"/>
      <c r="W270" s="172"/>
      <c r="X270" s="172"/>
      <c r="Y270" s="172"/>
      <c r="Z270" s="172"/>
    </row>
    <row r="271" spans="1:26" ht="18.75">
      <c r="A271" s="172" t="s">
        <v>980</v>
      </c>
      <c r="B271" s="174">
        <f t="shared" ref="B271:B273" si="1">$B$266*$B$264*(1-(1+B268)^-$B$267)/B268+$B$264/(1+B268)^$B$267</f>
        <v>1034.7107438016528</v>
      </c>
      <c r="C271" s="172"/>
      <c r="D271" s="172"/>
      <c r="E271" s="172"/>
      <c r="F271" s="172"/>
      <c r="G271" s="172"/>
      <c r="H271" s="172"/>
      <c r="I271" s="172"/>
      <c r="J271" s="172"/>
      <c r="K271" s="172"/>
      <c r="L271" s="172"/>
      <c r="M271" s="172"/>
      <c r="N271" s="172"/>
      <c r="O271" s="172"/>
      <c r="P271" s="172"/>
      <c r="Q271" s="172"/>
      <c r="R271" s="172"/>
      <c r="S271" s="172"/>
      <c r="T271" s="172"/>
      <c r="U271" s="172"/>
      <c r="V271" s="172"/>
      <c r="W271" s="172"/>
      <c r="X271" s="172"/>
      <c r="Y271" s="172"/>
      <c r="Z271" s="172"/>
    </row>
    <row r="272" spans="1:26" ht="18.75">
      <c r="A272" s="172" t="s">
        <v>981</v>
      </c>
      <c r="B272" s="174">
        <f t="shared" si="1"/>
        <v>967.06678978147113</v>
      </c>
      <c r="C272" s="172"/>
      <c r="D272" s="172"/>
      <c r="E272" s="172"/>
      <c r="F272" s="172"/>
      <c r="G272" s="172"/>
      <c r="H272" s="172"/>
      <c r="I272" s="172"/>
      <c r="J272" s="172"/>
      <c r="K272" s="172"/>
      <c r="L272" s="172"/>
      <c r="M272" s="172"/>
      <c r="N272" s="172"/>
      <c r="O272" s="172"/>
      <c r="P272" s="172"/>
      <c r="Q272" s="172"/>
      <c r="R272" s="172"/>
      <c r="S272" s="172"/>
      <c r="T272" s="172"/>
      <c r="U272" s="172"/>
      <c r="V272" s="172"/>
      <c r="W272" s="172"/>
      <c r="X272" s="172"/>
      <c r="Y272" s="172"/>
      <c r="Z272" s="172"/>
    </row>
    <row r="273" spans="1:26" ht="18.75">
      <c r="A273" s="172" t="s">
        <v>982</v>
      </c>
      <c r="B273" s="174">
        <f t="shared" si="1"/>
        <v>999.99999999999989</v>
      </c>
      <c r="C273" s="172"/>
      <c r="D273" s="172"/>
      <c r="E273" s="172"/>
      <c r="F273" s="172"/>
      <c r="G273" s="172"/>
      <c r="H273" s="172"/>
      <c r="I273" s="172"/>
      <c r="J273" s="172"/>
      <c r="K273" s="172"/>
      <c r="L273" s="172"/>
      <c r="M273" s="172"/>
      <c r="N273" s="172"/>
      <c r="O273" s="172"/>
      <c r="P273" s="172"/>
      <c r="Q273" s="172"/>
      <c r="R273" s="172"/>
      <c r="S273" s="172"/>
      <c r="T273" s="172"/>
      <c r="U273" s="172"/>
      <c r="V273" s="172"/>
      <c r="W273" s="172"/>
      <c r="X273" s="172"/>
      <c r="Y273" s="172"/>
      <c r="Z273" s="172"/>
    </row>
    <row r="274" spans="1:26" ht="18.75">
      <c r="A274" s="172" t="s">
        <v>983</v>
      </c>
      <c r="B274" s="175">
        <f>$B$265/B264</f>
        <v>1.2</v>
      </c>
      <c r="C274" s="172"/>
      <c r="D274" s="172"/>
      <c r="E274" s="172"/>
      <c r="F274" s="172"/>
      <c r="G274" s="172"/>
      <c r="H274" s="172"/>
      <c r="I274" s="172"/>
      <c r="J274" s="172"/>
      <c r="K274" s="172"/>
      <c r="L274" s="172"/>
      <c r="M274" s="172"/>
      <c r="N274" s="172"/>
      <c r="O274" s="172"/>
      <c r="P274" s="172"/>
      <c r="Q274" s="172"/>
      <c r="R274" s="172"/>
      <c r="S274" s="172"/>
      <c r="T274" s="172"/>
      <c r="U274" s="172"/>
      <c r="V274" s="172"/>
      <c r="W274" s="172"/>
      <c r="X274" s="172"/>
      <c r="Y274" s="172"/>
      <c r="Z274" s="172"/>
    </row>
    <row r="275" spans="1:26" ht="18.75">
      <c r="A275" s="172"/>
      <c r="B275" s="172"/>
      <c r="C275" s="172"/>
      <c r="D275" s="172"/>
      <c r="E275" s="172"/>
      <c r="F275" s="172"/>
      <c r="G275" s="172"/>
      <c r="H275" s="172"/>
      <c r="I275" s="172"/>
      <c r="J275" s="172"/>
      <c r="K275" s="172"/>
      <c r="L275" s="172"/>
      <c r="M275" s="172"/>
      <c r="N275" s="172"/>
      <c r="O275" s="172"/>
      <c r="P275" s="172"/>
      <c r="Q275" s="172"/>
      <c r="R275" s="172"/>
      <c r="S275" s="172"/>
      <c r="T275" s="172"/>
      <c r="U275" s="172"/>
      <c r="V275" s="172"/>
      <c r="W275" s="172"/>
      <c r="X275" s="172"/>
      <c r="Y275" s="172"/>
      <c r="Z275" s="172"/>
    </row>
    <row r="276" spans="1:26" ht="18.75">
      <c r="A276" s="430" t="s">
        <v>984</v>
      </c>
      <c r="B276" s="405"/>
      <c r="C276" s="405"/>
      <c r="D276" s="405"/>
      <c r="E276" s="405"/>
      <c r="F276" s="405"/>
      <c r="G276" s="405"/>
      <c r="H276" s="405"/>
      <c r="I276" s="172"/>
      <c r="J276" s="172"/>
      <c r="K276" s="172"/>
      <c r="L276" s="172"/>
      <c r="M276" s="172"/>
      <c r="N276" s="172"/>
      <c r="O276" s="172"/>
      <c r="P276" s="172"/>
      <c r="Q276" s="172"/>
      <c r="R276" s="172"/>
      <c r="S276" s="172"/>
      <c r="T276" s="172"/>
      <c r="U276" s="172"/>
      <c r="V276" s="172"/>
      <c r="W276" s="172"/>
      <c r="X276" s="172"/>
      <c r="Y276" s="172"/>
      <c r="Z276" s="172"/>
    </row>
    <row r="277" spans="1:26" ht="18.75">
      <c r="A277" s="405"/>
      <c r="B277" s="405"/>
      <c r="C277" s="405"/>
      <c r="D277" s="405"/>
      <c r="E277" s="405"/>
      <c r="F277" s="405"/>
      <c r="G277" s="405"/>
      <c r="H277" s="405"/>
      <c r="I277" s="172"/>
      <c r="J277" s="172"/>
      <c r="K277" s="172"/>
      <c r="L277" s="172"/>
      <c r="M277" s="172"/>
      <c r="N277" s="172"/>
      <c r="O277" s="172"/>
      <c r="P277" s="172"/>
      <c r="Q277" s="172"/>
      <c r="R277" s="172"/>
      <c r="S277" s="172"/>
      <c r="T277" s="172"/>
      <c r="U277" s="172"/>
      <c r="V277" s="172"/>
      <c r="W277" s="172"/>
      <c r="X277" s="172"/>
      <c r="Y277" s="172"/>
      <c r="Z277" s="172"/>
    </row>
    <row r="278" spans="1:26" ht="18.75">
      <c r="A278" s="405"/>
      <c r="B278" s="405"/>
      <c r="C278" s="405"/>
      <c r="D278" s="405"/>
      <c r="E278" s="405"/>
      <c r="F278" s="405"/>
      <c r="G278" s="405"/>
      <c r="H278" s="405"/>
      <c r="I278" s="172"/>
      <c r="J278" s="172"/>
      <c r="K278" s="172"/>
      <c r="L278" s="172"/>
      <c r="M278" s="172"/>
      <c r="N278" s="172"/>
      <c r="O278" s="172"/>
      <c r="P278" s="172"/>
      <c r="Q278" s="172"/>
      <c r="R278" s="172"/>
      <c r="S278" s="172"/>
      <c r="T278" s="172"/>
      <c r="U278" s="172"/>
      <c r="V278" s="172"/>
      <c r="W278" s="172"/>
      <c r="X278" s="172"/>
      <c r="Y278" s="172"/>
      <c r="Z278" s="172"/>
    </row>
    <row r="279" spans="1:26" ht="18.75">
      <c r="A279" s="405"/>
      <c r="B279" s="405"/>
      <c r="C279" s="405"/>
      <c r="D279" s="405"/>
      <c r="E279" s="405"/>
      <c r="F279" s="405"/>
      <c r="G279" s="405"/>
      <c r="H279" s="405"/>
      <c r="I279" s="172"/>
      <c r="J279" s="172"/>
      <c r="K279" s="172"/>
      <c r="L279" s="172"/>
      <c r="M279" s="172"/>
      <c r="N279" s="172"/>
      <c r="O279" s="172"/>
      <c r="P279" s="172"/>
      <c r="Q279" s="172"/>
      <c r="R279" s="172"/>
      <c r="S279" s="172"/>
      <c r="T279" s="172"/>
      <c r="U279" s="172"/>
      <c r="V279" s="172"/>
      <c r="W279" s="172"/>
      <c r="X279" s="172"/>
      <c r="Y279" s="172"/>
      <c r="Z279" s="172"/>
    </row>
    <row r="280" spans="1:26" ht="18.75">
      <c r="A280" s="405"/>
      <c r="B280" s="405"/>
      <c r="C280" s="405"/>
      <c r="D280" s="405"/>
      <c r="E280" s="405"/>
      <c r="F280" s="405"/>
      <c r="G280" s="405"/>
      <c r="H280" s="405"/>
      <c r="I280" s="172"/>
      <c r="J280" s="172"/>
      <c r="K280" s="172"/>
      <c r="L280" s="172"/>
      <c r="M280" s="172"/>
      <c r="N280" s="172"/>
      <c r="O280" s="172"/>
      <c r="P280" s="172"/>
      <c r="Q280" s="172"/>
      <c r="R280" s="172"/>
      <c r="S280" s="172"/>
      <c r="T280" s="172"/>
      <c r="U280" s="172"/>
      <c r="V280" s="172"/>
      <c r="W280" s="172"/>
      <c r="X280" s="172"/>
      <c r="Y280" s="172"/>
      <c r="Z280" s="172"/>
    </row>
    <row r="281" spans="1:26" ht="18.75">
      <c r="A281" s="172" t="s">
        <v>938</v>
      </c>
      <c r="B281" s="172">
        <v>1000</v>
      </c>
      <c r="C281" s="172"/>
      <c r="D281" s="172"/>
      <c r="E281" s="172"/>
      <c r="F281" s="172"/>
      <c r="G281" s="172"/>
      <c r="H281" s="172"/>
      <c r="I281" s="172"/>
      <c r="J281" s="172"/>
      <c r="K281" s="172"/>
      <c r="L281" s="172"/>
      <c r="M281" s="172"/>
      <c r="N281" s="172"/>
      <c r="O281" s="172"/>
      <c r="P281" s="172"/>
      <c r="Q281" s="172"/>
      <c r="R281" s="172"/>
      <c r="S281" s="172"/>
      <c r="T281" s="172"/>
      <c r="U281" s="172"/>
      <c r="V281" s="172"/>
      <c r="W281" s="172"/>
      <c r="X281" s="172"/>
      <c r="Y281" s="172"/>
      <c r="Z281" s="172"/>
    </row>
    <row r="282" spans="1:26" ht="18.75">
      <c r="A282" s="172" t="s">
        <v>919</v>
      </c>
      <c r="B282" s="173">
        <v>0.15</v>
      </c>
      <c r="C282" s="172"/>
      <c r="D282" s="172"/>
      <c r="E282" s="172"/>
      <c r="F282" s="172"/>
      <c r="G282" s="172"/>
      <c r="H282" s="172"/>
      <c r="I282" s="172"/>
      <c r="J282" s="172"/>
      <c r="K282" s="172"/>
      <c r="L282" s="172"/>
      <c r="M282" s="172"/>
      <c r="N282" s="172"/>
      <c r="O282" s="172"/>
      <c r="P282" s="172"/>
      <c r="Q282" s="172"/>
      <c r="R282" s="172"/>
      <c r="S282" s="172"/>
      <c r="T282" s="172"/>
      <c r="U282" s="172"/>
      <c r="V282" s="172"/>
      <c r="W282" s="172"/>
      <c r="X282" s="172"/>
      <c r="Y282" s="172"/>
      <c r="Z282" s="172"/>
    </row>
    <row r="283" spans="1:26" ht="18.75">
      <c r="A283" s="172" t="s">
        <v>48</v>
      </c>
      <c r="B283" s="172">
        <v>5</v>
      </c>
      <c r="C283" s="172"/>
      <c r="D283" s="172"/>
      <c r="E283" s="172"/>
      <c r="F283" s="172"/>
      <c r="G283" s="172"/>
      <c r="H283" s="172"/>
      <c r="I283" s="172"/>
      <c r="J283" s="172"/>
      <c r="K283" s="172"/>
      <c r="L283" s="172"/>
      <c r="M283" s="172"/>
      <c r="N283" s="172"/>
      <c r="O283" s="172"/>
      <c r="P283" s="172"/>
      <c r="Q283" s="172"/>
      <c r="R283" s="172"/>
      <c r="S283" s="172"/>
      <c r="T283" s="172"/>
      <c r="U283" s="172"/>
      <c r="V283" s="172"/>
      <c r="W283" s="172"/>
      <c r="X283" s="172"/>
      <c r="Y283" s="172"/>
      <c r="Z283" s="172"/>
    </row>
    <row r="284" spans="1:26" ht="18.75">
      <c r="A284" s="172" t="s">
        <v>940</v>
      </c>
      <c r="B284" s="173">
        <v>0.2</v>
      </c>
      <c r="C284" s="172"/>
      <c r="D284" s="172"/>
      <c r="E284" s="172"/>
      <c r="F284" s="172"/>
      <c r="G284" s="172"/>
      <c r="H284" s="172"/>
      <c r="I284" s="172"/>
      <c r="J284" s="172"/>
      <c r="K284" s="172"/>
      <c r="L284" s="172"/>
      <c r="M284" s="172"/>
      <c r="N284" s="172"/>
      <c r="O284" s="172"/>
      <c r="P284" s="172"/>
      <c r="Q284" s="172"/>
      <c r="R284" s="172"/>
      <c r="S284" s="172"/>
      <c r="T284" s="172"/>
      <c r="U284" s="172"/>
      <c r="V284" s="172"/>
      <c r="W284" s="172"/>
      <c r="X284" s="172"/>
      <c r="Y284" s="172"/>
      <c r="Z284" s="172"/>
    </row>
    <row r="285" spans="1:26" ht="18.75">
      <c r="A285" s="172" t="s">
        <v>980</v>
      </c>
      <c r="B285" s="174">
        <f>B282*B281*(1-(1+B284)^-B283)/B284+B281/(1+B284)^B283</f>
        <v>850.4693930041152</v>
      </c>
      <c r="C285" s="172"/>
      <c r="D285" s="172"/>
      <c r="E285" s="172"/>
      <c r="F285" s="172"/>
      <c r="G285" s="172"/>
      <c r="H285" s="172"/>
      <c r="I285" s="172"/>
      <c r="J285" s="172"/>
      <c r="K285" s="172"/>
      <c r="L285" s="172"/>
      <c r="M285" s="172"/>
      <c r="N285" s="172"/>
      <c r="O285" s="172"/>
      <c r="P285" s="172"/>
      <c r="Q285" s="172"/>
      <c r="R285" s="172"/>
      <c r="S285" s="172"/>
      <c r="T285" s="172"/>
      <c r="U285" s="172"/>
      <c r="V285" s="172"/>
      <c r="W285" s="172"/>
      <c r="X285" s="172"/>
      <c r="Y285" s="172"/>
      <c r="Z285" s="172"/>
    </row>
    <row r="286" spans="1:26" ht="18.75">
      <c r="A286" s="172"/>
      <c r="B286" s="173"/>
      <c r="C286" s="172"/>
      <c r="D286" s="172"/>
      <c r="E286" s="172"/>
      <c r="F286" s="172"/>
      <c r="G286" s="172"/>
      <c r="H286" s="172"/>
      <c r="I286" s="172"/>
      <c r="J286" s="172"/>
      <c r="K286" s="172"/>
      <c r="L286" s="172"/>
      <c r="M286" s="172"/>
      <c r="N286" s="172"/>
      <c r="O286" s="172"/>
      <c r="P286" s="172"/>
      <c r="Q286" s="172"/>
      <c r="R286" s="172"/>
      <c r="S286" s="172"/>
      <c r="T286" s="172"/>
      <c r="U286" s="172"/>
      <c r="V286" s="172"/>
      <c r="W286" s="172"/>
      <c r="X286" s="172"/>
      <c r="Y286" s="172"/>
      <c r="Z286" s="172"/>
    </row>
    <row r="287" spans="1:26" ht="18.75">
      <c r="A287" s="430" t="s">
        <v>985</v>
      </c>
      <c r="B287" s="405"/>
      <c r="C287" s="405"/>
      <c r="D287" s="405"/>
      <c r="E287" s="405"/>
      <c r="F287" s="405"/>
      <c r="G287" s="405"/>
      <c r="H287" s="405"/>
      <c r="I287" s="172"/>
      <c r="J287" s="172"/>
      <c r="K287" s="172"/>
      <c r="L287" s="172"/>
      <c r="M287" s="172"/>
      <c r="N287" s="172"/>
      <c r="O287" s="172"/>
      <c r="P287" s="172"/>
      <c r="Q287" s="172"/>
      <c r="R287" s="172"/>
      <c r="S287" s="172"/>
      <c r="T287" s="172"/>
      <c r="U287" s="172"/>
      <c r="V287" s="172"/>
      <c r="W287" s="172"/>
      <c r="X287" s="172"/>
      <c r="Y287" s="172"/>
      <c r="Z287" s="172"/>
    </row>
    <row r="288" spans="1:26" ht="18.75">
      <c r="A288" s="405"/>
      <c r="B288" s="405"/>
      <c r="C288" s="405"/>
      <c r="D288" s="405"/>
      <c r="E288" s="405"/>
      <c r="F288" s="405"/>
      <c r="G288" s="405"/>
      <c r="H288" s="405"/>
      <c r="I288" s="172"/>
      <c r="J288" s="172"/>
      <c r="K288" s="172"/>
      <c r="L288" s="172"/>
      <c r="M288" s="172"/>
      <c r="N288" s="172"/>
      <c r="O288" s="172"/>
      <c r="P288" s="172"/>
      <c r="Q288" s="172"/>
      <c r="R288" s="172"/>
      <c r="S288" s="172"/>
      <c r="T288" s="172"/>
      <c r="U288" s="172"/>
      <c r="V288" s="172"/>
      <c r="W288" s="172"/>
      <c r="X288" s="172"/>
      <c r="Y288" s="172"/>
      <c r="Z288" s="172"/>
    </row>
    <row r="289" spans="1:26" ht="18.75">
      <c r="A289" s="405"/>
      <c r="B289" s="405"/>
      <c r="C289" s="405"/>
      <c r="D289" s="405"/>
      <c r="E289" s="405"/>
      <c r="F289" s="405"/>
      <c r="G289" s="405"/>
      <c r="H289" s="405"/>
      <c r="I289" s="172"/>
      <c r="J289" s="172"/>
      <c r="K289" s="172"/>
      <c r="L289" s="172"/>
      <c r="M289" s="172"/>
      <c r="N289" s="172"/>
      <c r="O289" s="172"/>
      <c r="P289" s="172"/>
      <c r="Q289" s="172"/>
      <c r="R289" s="172"/>
      <c r="S289" s="172"/>
      <c r="T289" s="172"/>
      <c r="U289" s="172"/>
      <c r="V289" s="172"/>
      <c r="W289" s="172"/>
      <c r="X289" s="172"/>
      <c r="Y289" s="172"/>
      <c r="Z289" s="172"/>
    </row>
    <row r="290" spans="1:26" ht="18.75">
      <c r="A290" s="405"/>
      <c r="B290" s="405"/>
      <c r="C290" s="405"/>
      <c r="D290" s="405"/>
      <c r="E290" s="405"/>
      <c r="F290" s="405"/>
      <c r="G290" s="405"/>
      <c r="H290" s="405"/>
      <c r="I290" s="172"/>
      <c r="J290" s="172"/>
      <c r="K290" s="172"/>
      <c r="L290" s="172"/>
      <c r="M290" s="172"/>
      <c r="N290" s="172"/>
      <c r="O290" s="172"/>
      <c r="P290" s="172"/>
      <c r="Q290" s="172"/>
      <c r="R290" s="172"/>
      <c r="S290" s="172"/>
      <c r="T290" s="172"/>
      <c r="U290" s="172"/>
      <c r="V290" s="172"/>
      <c r="W290" s="172"/>
      <c r="X290" s="172"/>
      <c r="Y290" s="172"/>
      <c r="Z290" s="172"/>
    </row>
    <row r="291" spans="1:26" ht="18.75">
      <c r="A291" s="405"/>
      <c r="B291" s="405"/>
      <c r="C291" s="405"/>
      <c r="D291" s="405"/>
      <c r="E291" s="405"/>
      <c r="F291" s="405"/>
      <c r="G291" s="405"/>
      <c r="H291" s="405"/>
      <c r="I291" s="172"/>
      <c r="J291" s="172"/>
      <c r="K291" s="172"/>
      <c r="L291" s="172"/>
      <c r="M291" s="172"/>
      <c r="N291" s="172"/>
      <c r="O291" s="172"/>
      <c r="P291" s="172"/>
      <c r="Q291" s="172"/>
      <c r="R291" s="172"/>
      <c r="S291" s="172"/>
      <c r="T291" s="172"/>
      <c r="U291" s="172"/>
      <c r="V291" s="172"/>
      <c r="W291" s="172"/>
      <c r="X291" s="172"/>
      <c r="Y291" s="172"/>
      <c r="Z291" s="172"/>
    </row>
    <row r="292" spans="1:26" ht="18.75">
      <c r="A292" s="405"/>
      <c r="B292" s="405"/>
      <c r="C292" s="405"/>
      <c r="D292" s="405"/>
      <c r="E292" s="405"/>
      <c r="F292" s="405"/>
      <c r="G292" s="405"/>
      <c r="H292" s="405"/>
      <c r="I292" s="172"/>
      <c r="J292" s="172"/>
      <c r="K292" s="172"/>
      <c r="L292" s="172"/>
      <c r="M292" s="172"/>
      <c r="N292" s="172"/>
      <c r="O292" s="172"/>
      <c r="P292" s="172"/>
      <c r="Q292" s="172"/>
      <c r="R292" s="172"/>
      <c r="S292" s="172"/>
      <c r="T292" s="172"/>
      <c r="U292" s="172"/>
      <c r="V292" s="172"/>
      <c r="W292" s="172"/>
      <c r="X292" s="172"/>
      <c r="Y292" s="172"/>
      <c r="Z292" s="172"/>
    </row>
    <row r="293" spans="1:26" ht="18.75">
      <c r="A293" s="172" t="s">
        <v>938</v>
      </c>
      <c r="B293" s="172">
        <v>50000</v>
      </c>
      <c r="C293" s="172"/>
      <c r="D293" s="172"/>
      <c r="E293" s="172"/>
      <c r="F293" s="172"/>
      <c r="G293" s="172"/>
      <c r="H293" s="172"/>
      <c r="I293" s="172"/>
      <c r="J293" s="172"/>
      <c r="K293" s="172"/>
      <c r="L293" s="172"/>
      <c r="M293" s="172"/>
      <c r="N293" s="172"/>
      <c r="O293" s="172"/>
      <c r="P293" s="172"/>
      <c r="Q293" s="172"/>
      <c r="R293" s="172"/>
      <c r="S293" s="172"/>
      <c r="T293" s="172"/>
      <c r="U293" s="172"/>
      <c r="V293" s="172"/>
      <c r="W293" s="172"/>
      <c r="X293" s="172"/>
      <c r="Y293" s="172"/>
      <c r="Z293" s="172"/>
    </row>
    <row r="294" spans="1:26" ht="18.75">
      <c r="A294" s="172" t="s">
        <v>919</v>
      </c>
      <c r="B294" s="173">
        <v>0.08</v>
      </c>
      <c r="C294" s="172"/>
      <c r="D294" s="172"/>
      <c r="E294" s="172"/>
      <c r="F294" s="172"/>
      <c r="G294" s="172"/>
      <c r="H294" s="172"/>
      <c r="I294" s="172"/>
      <c r="J294" s="172"/>
      <c r="K294" s="172"/>
      <c r="L294" s="172"/>
      <c r="M294" s="172"/>
      <c r="N294" s="172"/>
      <c r="O294" s="172"/>
      <c r="P294" s="172"/>
      <c r="Q294" s="172"/>
      <c r="R294" s="172"/>
      <c r="S294" s="172"/>
      <c r="T294" s="172"/>
      <c r="U294" s="172"/>
      <c r="V294" s="172"/>
      <c r="W294" s="172"/>
      <c r="X294" s="172"/>
      <c r="Y294" s="172"/>
      <c r="Z294" s="172"/>
    </row>
    <row r="295" spans="1:26" ht="18.75">
      <c r="A295" s="172" t="s">
        <v>48</v>
      </c>
      <c r="B295" s="176">
        <v>7</v>
      </c>
      <c r="C295" s="172"/>
      <c r="D295" s="172"/>
      <c r="E295" s="172"/>
      <c r="F295" s="172"/>
      <c r="G295" s="172"/>
      <c r="H295" s="172"/>
      <c r="I295" s="172"/>
      <c r="J295" s="172"/>
      <c r="K295" s="172"/>
      <c r="L295" s="172"/>
      <c r="M295" s="172"/>
      <c r="N295" s="172"/>
      <c r="O295" s="172"/>
      <c r="P295" s="172"/>
      <c r="Q295" s="172"/>
      <c r="R295" s="172"/>
      <c r="S295" s="172"/>
      <c r="T295" s="172"/>
      <c r="U295" s="172"/>
      <c r="V295" s="172"/>
      <c r="W295" s="172"/>
      <c r="X295" s="172"/>
      <c r="Y295" s="172"/>
      <c r="Z295" s="172"/>
    </row>
    <row r="296" spans="1:26" ht="18.75">
      <c r="A296" s="172" t="s">
        <v>922</v>
      </c>
      <c r="B296" s="173">
        <v>0.1</v>
      </c>
      <c r="C296" s="172"/>
      <c r="D296" s="172"/>
      <c r="E296" s="172"/>
      <c r="F296" s="172"/>
      <c r="G296" s="172"/>
      <c r="H296" s="172"/>
      <c r="I296" s="172"/>
      <c r="J296" s="172"/>
      <c r="K296" s="172"/>
      <c r="L296" s="172"/>
      <c r="M296" s="172"/>
      <c r="N296" s="172"/>
      <c r="O296" s="172"/>
      <c r="P296" s="172"/>
      <c r="Q296" s="172"/>
      <c r="R296" s="172"/>
      <c r="S296" s="172"/>
      <c r="T296" s="172"/>
      <c r="U296" s="172"/>
      <c r="V296" s="172"/>
      <c r="W296" s="172"/>
      <c r="X296" s="172"/>
      <c r="Y296" s="172"/>
      <c r="Z296" s="172"/>
    </row>
    <row r="297" spans="1:26" ht="18.75">
      <c r="A297" s="172" t="s">
        <v>923</v>
      </c>
      <c r="B297" s="173">
        <v>0.08</v>
      </c>
      <c r="C297" s="172"/>
      <c r="D297" s="172"/>
      <c r="E297" s="172"/>
      <c r="F297" s="172"/>
      <c r="G297" s="172"/>
      <c r="H297" s="172"/>
      <c r="I297" s="172"/>
      <c r="J297" s="172"/>
      <c r="K297" s="172"/>
      <c r="L297" s="172"/>
      <c r="M297" s="172"/>
      <c r="N297" s="172"/>
      <c r="O297" s="172"/>
      <c r="P297" s="172"/>
      <c r="Q297" s="172"/>
      <c r="R297" s="172"/>
      <c r="S297" s="172"/>
      <c r="T297" s="172"/>
      <c r="U297" s="172"/>
      <c r="V297" s="172"/>
      <c r="W297" s="172"/>
      <c r="X297" s="172"/>
      <c r="Y297" s="172"/>
      <c r="Z297" s="172"/>
    </row>
    <row r="298" spans="1:26" ht="18.75">
      <c r="A298" s="172" t="s">
        <v>986</v>
      </c>
      <c r="B298" s="173">
        <v>0.12</v>
      </c>
      <c r="C298" s="172"/>
      <c r="D298" s="172"/>
      <c r="E298" s="172"/>
      <c r="F298" s="172"/>
      <c r="G298" s="172"/>
      <c r="H298" s="172"/>
      <c r="I298" s="172"/>
      <c r="J298" s="172"/>
      <c r="K298" s="172"/>
      <c r="L298" s="172"/>
      <c r="M298" s="172"/>
      <c r="N298" s="172"/>
      <c r="O298" s="172"/>
      <c r="P298" s="172"/>
      <c r="Q298" s="172"/>
      <c r="R298" s="172"/>
      <c r="S298" s="172"/>
      <c r="T298" s="172"/>
      <c r="U298" s="172"/>
      <c r="V298" s="172"/>
      <c r="W298" s="172"/>
      <c r="X298" s="172"/>
      <c r="Y298" s="172"/>
      <c r="Z298" s="172"/>
    </row>
    <row r="299" spans="1:26" ht="18.75">
      <c r="A299" s="172" t="s">
        <v>987</v>
      </c>
      <c r="B299" s="174">
        <f>B294*B293*(1-(1+B296)^-B295)/B296+B293*(1+B296)^-B295</f>
        <v>45131.581182307062</v>
      </c>
      <c r="C299" s="172"/>
      <c r="D299" s="172"/>
      <c r="E299" s="172"/>
      <c r="F299" s="172"/>
      <c r="G299" s="172"/>
      <c r="H299" s="172"/>
      <c r="I299" s="172"/>
      <c r="J299" s="172"/>
      <c r="K299" s="172"/>
      <c r="L299" s="172"/>
      <c r="M299" s="172"/>
      <c r="N299" s="172"/>
      <c r="O299" s="172"/>
      <c r="P299" s="172"/>
      <c r="Q299" s="172"/>
      <c r="R299" s="172"/>
      <c r="S299" s="172"/>
      <c r="T299" s="172"/>
      <c r="U299" s="172"/>
      <c r="V299" s="172"/>
      <c r="W299" s="172"/>
      <c r="X299" s="172"/>
      <c r="Y299" s="172"/>
      <c r="Z299" s="172"/>
    </row>
    <row r="300" spans="1:26" ht="18.75">
      <c r="A300" s="172" t="s">
        <v>988</v>
      </c>
      <c r="B300" s="174">
        <f>B294*B293*(1-(1+B297)^-B295)/B297+B293*(1+B297)^-B295</f>
        <v>50000</v>
      </c>
      <c r="C300" s="172"/>
      <c r="D300" s="172"/>
      <c r="E300" s="172"/>
      <c r="F300" s="172"/>
      <c r="G300" s="172"/>
      <c r="H300" s="172"/>
      <c r="I300" s="172"/>
      <c r="J300" s="172"/>
      <c r="K300" s="172"/>
      <c r="L300" s="172"/>
      <c r="M300" s="172"/>
      <c r="N300" s="172"/>
      <c r="O300" s="172"/>
      <c r="P300" s="172"/>
      <c r="Q300" s="172"/>
      <c r="R300" s="172"/>
      <c r="S300" s="172"/>
      <c r="T300" s="172"/>
      <c r="U300" s="172"/>
      <c r="V300" s="172"/>
      <c r="W300" s="172"/>
      <c r="X300" s="172"/>
      <c r="Y300" s="172"/>
      <c r="Z300" s="172"/>
    </row>
    <row r="301" spans="1:26" ht="18.75">
      <c r="A301" s="172" t="s">
        <v>989</v>
      </c>
      <c r="B301" s="174">
        <f>B294*B293*(1-(1+B298)^-B295)/B298+B293*(1+B298)^-B295</f>
        <v>40872.486922281561</v>
      </c>
      <c r="C301" s="172"/>
      <c r="D301" s="172"/>
      <c r="E301" s="172"/>
      <c r="F301" s="172"/>
      <c r="G301" s="172"/>
      <c r="H301" s="172"/>
      <c r="I301" s="172"/>
      <c r="J301" s="172"/>
      <c r="K301" s="172"/>
      <c r="L301" s="172"/>
      <c r="M301" s="172"/>
      <c r="N301" s="172"/>
      <c r="O301" s="172"/>
      <c r="P301" s="172"/>
      <c r="Q301" s="172"/>
      <c r="R301" s="172"/>
      <c r="S301" s="172"/>
      <c r="T301" s="172"/>
      <c r="U301" s="172"/>
      <c r="V301" s="172"/>
      <c r="W301" s="172"/>
      <c r="X301" s="172"/>
      <c r="Y301" s="172"/>
      <c r="Z301" s="172"/>
    </row>
    <row r="302" spans="1:26" ht="18.75">
      <c r="A302" s="172"/>
      <c r="B302" s="172"/>
      <c r="C302" s="172"/>
      <c r="D302" s="172"/>
      <c r="E302" s="172"/>
      <c r="F302" s="172"/>
      <c r="G302" s="172"/>
      <c r="H302" s="172"/>
      <c r="I302" s="172"/>
      <c r="J302" s="172"/>
      <c r="K302" s="172"/>
      <c r="L302" s="172"/>
      <c r="M302" s="172"/>
      <c r="N302" s="172"/>
      <c r="O302" s="172"/>
      <c r="P302" s="172"/>
      <c r="Q302" s="172"/>
      <c r="R302" s="172"/>
      <c r="S302" s="172"/>
      <c r="T302" s="172"/>
      <c r="U302" s="172"/>
      <c r="V302" s="172"/>
      <c r="W302" s="172"/>
      <c r="X302" s="172"/>
      <c r="Y302" s="172"/>
      <c r="Z302" s="172"/>
    </row>
    <row r="303" spans="1:26" ht="18.75">
      <c r="A303" s="430" t="s">
        <v>990</v>
      </c>
      <c r="B303" s="405"/>
      <c r="C303" s="405"/>
      <c r="D303" s="405"/>
      <c r="E303" s="405"/>
      <c r="F303" s="405"/>
      <c r="G303" s="405"/>
      <c r="H303" s="405"/>
      <c r="I303" s="172"/>
      <c r="J303" s="172"/>
      <c r="K303" s="172"/>
      <c r="L303" s="172"/>
      <c r="M303" s="172"/>
      <c r="N303" s="172"/>
      <c r="O303" s="172"/>
      <c r="P303" s="172"/>
      <c r="Q303" s="172"/>
      <c r="R303" s="172"/>
      <c r="S303" s="172"/>
      <c r="T303" s="172"/>
      <c r="U303" s="172"/>
      <c r="V303" s="172"/>
      <c r="W303" s="172"/>
      <c r="X303" s="172"/>
      <c r="Y303" s="172"/>
      <c r="Z303" s="172"/>
    </row>
    <row r="304" spans="1:26" ht="18.75">
      <c r="A304" s="405"/>
      <c r="B304" s="405"/>
      <c r="C304" s="405"/>
      <c r="D304" s="405"/>
      <c r="E304" s="405"/>
      <c r="F304" s="405"/>
      <c r="G304" s="405"/>
      <c r="H304" s="405"/>
      <c r="I304" s="172"/>
      <c r="J304" s="172"/>
      <c r="K304" s="172"/>
      <c r="L304" s="172"/>
      <c r="M304" s="172"/>
      <c r="N304" s="172"/>
      <c r="O304" s="172"/>
      <c r="P304" s="172"/>
      <c r="Q304" s="172"/>
      <c r="R304" s="172"/>
      <c r="S304" s="172"/>
      <c r="T304" s="172"/>
      <c r="U304" s="172"/>
      <c r="V304" s="172"/>
      <c r="W304" s="172"/>
      <c r="X304" s="172"/>
      <c r="Y304" s="172"/>
      <c r="Z304" s="172"/>
    </row>
    <row r="305" spans="1:26" ht="18.75">
      <c r="A305" s="405"/>
      <c r="B305" s="405"/>
      <c r="C305" s="405"/>
      <c r="D305" s="405"/>
      <c r="E305" s="405"/>
      <c r="F305" s="405"/>
      <c r="G305" s="405"/>
      <c r="H305" s="405"/>
      <c r="I305" s="172"/>
      <c r="J305" s="172"/>
      <c r="K305" s="172"/>
      <c r="L305" s="172"/>
      <c r="M305" s="172"/>
      <c r="N305" s="172"/>
      <c r="O305" s="172"/>
      <c r="P305" s="172"/>
      <c r="Q305" s="172"/>
      <c r="R305" s="172"/>
      <c r="S305" s="172"/>
      <c r="T305" s="172"/>
      <c r="U305" s="172"/>
      <c r="V305" s="172"/>
      <c r="W305" s="172"/>
      <c r="X305" s="172"/>
      <c r="Y305" s="172"/>
      <c r="Z305" s="172"/>
    </row>
    <row r="306" spans="1:26" ht="18.75">
      <c r="A306" s="405"/>
      <c r="B306" s="405"/>
      <c r="C306" s="405"/>
      <c r="D306" s="405"/>
      <c r="E306" s="405"/>
      <c r="F306" s="405"/>
      <c r="G306" s="405"/>
      <c r="H306" s="405"/>
      <c r="I306" s="172"/>
      <c r="J306" s="172"/>
      <c r="K306" s="172"/>
      <c r="L306" s="172"/>
      <c r="M306" s="172"/>
      <c r="N306" s="172"/>
      <c r="O306" s="172"/>
      <c r="P306" s="172"/>
      <c r="Q306" s="172"/>
      <c r="R306" s="172"/>
      <c r="S306" s="172"/>
      <c r="T306" s="172"/>
      <c r="U306" s="172"/>
      <c r="V306" s="172"/>
      <c r="W306" s="172"/>
      <c r="X306" s="172"/>
      <c r="Y306" s="172"/>
      <c r="Z306" s="172"/>
    </row>
    <row r="307" spans="1:26" ht="18.75">
      <c r="A307" s="405"/>
      <c r="B307" s="405"/>
      <c r="C307" s="405"/>
      <c r="D307" s="405"/>
      <c r="E307" s="405"/>
      <c r="F307" s="405"/>
      <c r="G307" s="405"/>
      <c r="H307" s="405"/>
      <c r="I307" s="172"/>
      <c r="J307" s="172"/>
      <c r="K307" s="172"/>
      <c r="L307" s="172"/>
      <c r="M307" s="172"/>
      <c r="N307" s="172"/>
      <c r="O307" s="172"/>
      <c r="P307" s="172"/>
      <c r="Q307" s="172"/>
      <c r="R307" s="172"/>
      <c r="S307" s="172"/>
      <c r="T307" s="172"/>
      <c r="U307" s="172"/>
      <c r="V307" s="172"/>
      <c r="W307" s="172"/>
      <c r="X307" s="172"/>
      <c r="Y307" s="172"/>
      <c r="Z307" s="172"/>
    </row>
    <row r="308" spans="1:26" ht="18.75">
      <c r="A308" s="172" t="s">
        <v>938</v>
      </c>
      <c r="B308" s="172">
        <v>3500</v>
      </c>
      <c r="C308" s="172"/>
      <c r="D308" s="172" t="s">
        <v>558</v>
      </c>
      <c r="E308" s="172" t="s">
        <v>559</v>
      </c>
      <c r="F308" s="172" t="s">
        <v>903</v>
      </c>
      <c r="G308" s="172"/>
      <c r="H308" s="172"/>
      <c r="I308" s="172"/>
      <c r="J308" s="172"/>
      <c r="K308" s="172"/>
      <c r="L308" s="172"/>
      <c r="M308" s="172"/>
      <c r="N308" s="172"/>
      <c r="O308" s="172"/>
      <c r="P308" s="172"/>
      <c r="Q308" s="172"/>
      <c r="R308" s="172"/>
      <c r="S308" s="172"/>
      <c r="T308" s="172"/>
      <c r="U308" s="172"/>
      <c r="V308" s="172"/>
      <c r="W308" s="172"/>
      <c r="X308" s="172"/>
      <c r="Y308" s="172"/>
      <c r="Z308" s="172"/>
    </row>
    <row r="309" spans="1:26" ht="18.75">
      <c r="A309" s="172" t="s">
        <v>790</v>
      </c>
      <c r="B309" s="172">
        <v>4300</v>
      </c>
      <c r="C309" s="172"/>
      <c r="D309" s="173">
        <v>0.14000000000000001</v>
      </c>
      <c r="E309" s="173">
        <v>0.2</v>
      </c>
      <c r="F309" s="173">
        <v>0.23</v>
      </c>
      <c r="G309" s="172"/>
      <c r="H309" s="172"/>
      <c r="I309" s="172"/>
      <c r="J309" s="172"/>
      <c r="K309" s="172"/>
      <c r="L309" s="172"/>
      <c r="M309" s="172"/>
      <c r="N309" s="172"/>
      <c r="O309" s="172"/>
      <c r="P309" s="172"/>
      <c r="Q309" s="172"/>
      <c r="R309" s="172"/>
      <c r="S309" s="172"/>
      <c r="T309" s="172"/>
      <c r="U309" s="172"/>
      <c r="V309" s="172"/>
      <c r="W309" s="172"/>
      <c r="X309" s="172"/>
      <c r="Y309" s="172"/>
      <c r="Z309" s="172"/>
    </row>
    <row r="310" spans="1:26" ht="18.75">
      <c r="A310" s="172" t="s">
        <v>919</v>
      </c>
      <c r="B310" s="173">
        <v>0.2</v>
      </c>
      <c r="C310" s="172"/>
      <c r="D310" s="172" t="s">
        <v>898</v>
      </c>
      <c r="E310" s="172" t="s">
        <v>935</v>
      </c>
      <c r="F310" s="172" t="s">
        <v>991</v>
      </c>
      <c r="G310" s="172" t="s">
        <v>983</v>
      </c>
      <c r="H310" s="172"/>
      <c r="I310" s="172"/>
      <c r="J310" s="172"/>
      <c r="K310" s="172"/>
      <c r="L310" s="172"/>
      <c r="M310" s="172"/>
      <c r="N310" s="172"/>
      <c r="O310" s="172"/>
      <c r="P310" s="172"/>
      <c r="Q310" s="172"/>
      <c r="R310" s="172"/>
      <c r="S310" s="172"/>
      <c r="T310" s="172"/>
      <c r="U310" s="172"/>
      <c r="V310" s="172"/>
      <c r="W310" s="172"/>
      <c r="X310" s="172"/>
      <c r="Y310" s="172"/>
      <c r="Z310" s="172"/>
    </row>
    <row r="311" spans="1:26" ht="18.75">
      <c r="A311" s="172" t="s">
        <v>48</v>
      </c>
      <c r="B311" s="172">
        <v>2</v>
      </c>
      <c r="C311" s="172"/>
      <c r="D311" s="174">
        <f t="shared" ref="D311:F311" si="2">$B310*$B308*(1-(1+D309)^-$B311)/D309+$B308/(1+D309)^$B311</f>
        <v>3845.7987072945525</v>
      </c>
      <c r="E311" s="174">
        <f t="shared" si="2"/>
        <v>3500</v>
      </c>
      <c r="F311" s="174">
        <f t="shared" si="2"/>
        <v>3345.2310132857428</v>
      </c>
      <c r="G311" s="175">
        <f>B309/B308</f>
        <v>1.2285714285714286</v>
      </c>
      <c r="H311" s="172"/>
      <c r="I311" s="172"/>
      <c r="J311" s="172"/>
      <c r="K311" s="172"/>
      <c r="L311" s="172"/>
      <c r="M311" s="172"/>
      <c r="N311" s="172"/>
      <c r="O311" s="172"/>
      <c r="P311" s="172"/>
      <c r="Q311" s="172"/>
      <c r="R311" s="172"/>
      <c r="S311" s="172"/>
      <c r="T311" s="172"/>
      <c r="U311" s="172"/>
      <c r="V311" s="172"/>
      <c r="W311" s="172"/>
      <c r="X311" s="172"/>
      <c r="Y311" s="172"/>
      <c r="Z311" s="172"/>
    </row>
    <row r="312" spans="1:26" ht="18.75">
      <c r="A312" s="172"/>
      <c r="B312" s="172"/>
      <c r="C312" s="172"/>
      <c r="D312" s="172"/>
      <c r="E312" s="172"/>
      <c r="F312" s="172"/>
      <c r="G312" s="172"/>
      <c r="H312" s="172"/>
      <c r="I312" s="172"/>
      <c r="J312" s="172"/>
      <c r="K312" s="172"/>
      <c r="L312" s="172"/>
      <c r="M312" s="172"/>
      <c r="N312" s="172"/>
      <c r="O312" s="172"/>
      <c r="P312" s="172"/>
      <c r="Q312" s="172"/>
      <c r="R312" s="172"/>
      <c r="S312" s="172"/>
      <c r="T312" s="172"/>
      <c r="U312" s="172"/>
      <c r="V312" s="172"/>
      <c r="W312" s="172"/>
      <c r="X312" s="172"/>
      <c r="Y312" s="172"/>
      <c r="Z312" s="172"/>
    </row>
    <row r="313" spans="1:26" ht="18.75">
      <c r="A313" s="430" t="s">
        <v>992</v>
      </c>
      <c r="B313" s="405"/>
      <c r="C313" s="405"/>
      <c r="D313" s="405"/>
      <c r="E313" s="405"/>
      <c r="F313" s="405"/>
      <c r="G313" s="405"/>
      <c r="H313" s="405"/>
      <c r="I313" s="172"/>
      <c r="J313" s="172"/>
      <c r="K313" s="172"/>
      <c r="L313" s="172"/>
      <c r="M313" s="172"/>
      <c r="N313" s="172"/>
      <c r="O313" s="172"/>
      <c r="P313" s="172"/>
      <c r="Q313" s="172"/>
      <c r="R313" s="172"/>
      <c r="S313" s="172"/>
      <c r="T313" s="172"/>
      <c r="U313" s="172"/>
      <c r="V313" s="172"/>
      <c r="W313" s="172"/>
      <c r="X313" s="172"/>
      <c r="Y313" s="172"/>
      <c r="Z313" s="172"/>
    </row>
    <row r="314" spans="1:26" ht="18.75">
      <c r="A314" s="405"/>
      <c r="B314" s="405"/>
      <c r="C314" s="405"/>
      <c r="D314" s="405"/>
      <c r="E314" s="405"/>
      <c r="F314" s="405"/>
      <c r="G314" s="405"/>
      <c r="H314" s="405"/>
      <c r="I314" s="172"/>
      <c r="J314" s="172"/>
      <c r="K314" s="172"/>
      <c r="L314" s="172"/>
      <c r="M314" s="172"/>
      <c r="N314" s="172"/>
      <c r="O314" s="172"/>
      <c r="P314" s="172"/>
      <c r="Q314" s="172"/>
      <c r="R314" s="172"/>
      <c r="S314" s="172"/>
      <c r="T314" s="172"/>
      <c r="U314" s="172"/>
      <c r="V314" s="172"/>
      <c r="W314" s="172"/>
      <c r="X314" s="172"/>
      <c r="Y314" s="172"/>
      <c r="Z314" s="172"/>
    </row>
    <row r="315" spans="1:26" ht="18.75">
      <c r="A315" s="405"/>
      <c r="B315" s="405"/>
      <c r="C315" s="405"/>
      <c r="D315" s="405"/>
      <c r="E315" s="405"/>
      <c r="F315" s="405"/>
      <c r="G315" s="405"/>
      <c r="H315" s="405"/>
      <c r="I315" s="172"/>
      <c r="J315" s="172"/>
      <c r="K315" s="172"/>
      <c r="L315" s="172"/>
      <c r="M315" s="172"/>
      <c r="N315" s="172"/>
      <c r="O315" s="172"/>
      <c r="P315" s="172"/>
      <c r="Q315" s="172"/>
      <c r="R315" s="172"/>
      <c r="S315" s="172"/>
      <c r="T315" s="172"/>
      <c r="U315" s="172"/>
      <c r="V315" s="172"/>
      <c r="W315" s="172"/>
      <c r="X315" s="172"/>
      <c r="Y315" s="172"/>
      <c r="Z315" s="172"/>
    </row>
    <row r="316" spans="1:26" ht="18.75">
      <c r="A316" s="405"/>
      <c r="B316" s="405"/>
      <c r="C316" s="405"/>
      <c r="D316" s="405"/>
      <c r="E316" s="405"/>
      <c r="F316" s="405"/>
      <c r="G316" s="405"/>
      <c r="H316" s="405"/>
      <c r="I316" s="172"/>
      <c r="J316" s="172"/>
      <c r="K316" s="172"/>
      <c r="L316" s="172"/>
      <c r="M316" s="172"/>
      <c r="N316" s="172"/>
      <c r="O316" s="172"/>
      <c r="P316" s="172"/>
      <c r="Q316" s="172"/>
      <c r="R316" s="172"/>
      <c r="S316" s="172"/>
      <c r="T316" s="172"/>
      <c r="U316" s="172"/>
      <c r="V316" s="172"/>
      <c r="W316" s="172"/>
      <c r="X316" s="172"/>
      <c r="Y316" s="172"/>
      <c r="Z316" s="172"/>
    </row>
    <row r="317" spans="1:26" ht="18.75">
      <c r="A317" s="405"/>
      <c r="B317" s="405"/>
      <c r="C317" s="405"/>
      <c r="D317" s="405"/>
      <c r="E317" s="405"/>
      <c r="F317" s="405"/>
      <c r="G317" s="405"/>
      <c r="H317" s="405"/>
      <c r="I317" s="172"/>
      <c r="J317" s="172"/>
      <c r="K317" s="172"/>
      <c r="L317" s="172"/>
      <c r="M317" s="172"/>
      <c r="N317" s="172"/>
      <c r="O317" s="172"/>
      <c r="P317" s="172"/>
      <c r="Q317" s="172"/>
      <c r="R317" s="172"/>
      <c r="S317" s="172"/>
      <c r="T317" s="172"/>
      <c r="U317" s="172"/>
      <c r="V317" s="172"/>
      <c r="W317" s="172"/>
      <c r="X317" s="172"/>
      <c r="Y317" s="172"/>
      <c r="Z317" s="172"/>
    </row>
    <row r="318" spans="1:26" ht="18.75">
      <c r="A318" s="172" t="s">
        <v>48</v>
      </c>
      <c r="B318" s="172">
        <v>8</v>
      </c>
      <c r="C318" s="172"/>
      <c r="D318" s="172" t="s">
        <v>993</v>
      </c>
      <c r="E318" s="172" t="s">
        <v>994</v>
      </c>
      <c r="F318" s="172" t="s">
        <v>995</v>
      </c>
      <c r="G318" s="172"/>
      <c r="H318" s="172"/>
      <c r="I318" s="172"/>
      <c r="J318" s="172"/>
      <c r="K318" s="172"/>
      <c r="L318" s="172"/>
      <c r="M318" s="172"/>
      <c r="N318" s="172"/>
      <c r="O318" s="172"/>
      <c r="P318" s="172"/>
      <c r="Q318" s="172"/>
      <c r="R318" s="172"/>
      <c r="S318" s="172"/>
      <c r="T318" s="172"/>
      <c r="U318" s="172"/>
      <c r="V318" s="172"/>
      <c r="W318" s="172"/>
      <c r="X318" s="172"/>
      <c r="Y318" s="172"/>
      <c r="Z318" s="172"/>
    </row>
    <row r="319" spans="1:26" ht="18.75">
      <c r="A319" s="172" t="s">
        <v>938</v>
      </c>
      <c r="B319" s="172">
        <v>3000</v>
      </c>
      <c r="C319" s="172"/>
      <c r="D319" s="172">
        <v>3000</v>
      </c>
      <c r="E319" s="172">
        <f>D319*1.1</f>
        <v>3300.0000000000005</v>
      </c>
      <c r="F319" s="172">
        <f>D319*0.95</f>
        <v>2850</v>
      </c>
      <c r="G319" s="172"/>
      <c r="H319" s="172"/>
      <c r="I319" s="172"/>
      <c r="J319" s="172"/>
      <c r="K319" s="172"/>
      <c r="L319" s="172"/>
      <c r="M319" s="172"/>
      <c r="N319" s="172"/>
      <c r="O319" s="172"/>
      <c r="P319" s="172"/>
      <c r="Q319" s="172"/>
      <c r="R319" s="172"/>
      <c r="S319" s="172"/>
      <c r="T319" s="172"/>
      <c r="U319" s="172"/>
      <c r="V319" s="172"/>
      <c r="W319" s="172"/>
      <c r="X319" s="172"/>
      <c r="Y319" s="172"/>
      <c r="Z319" s="172"/>
    </row>
    <row r="320" spans="1:26" ht="18.75">
      <c r="A320" s="172" t="s">
        <v>919</v>
      </c>
      <c r="B320" s="173">
        <v>0.08</v>
      </c>
      <c r="C320" s="172"/>
      <c r="D320" s="172" t="s">
        <v>996</v>
      </c>
      <c r="E320" s="172" t="s">
        <v>997</v>
      </c>
      <c r="F320" s="172" t="s">
        <v>998</v>
      </c>
      <c r="G320" s="172"/>
      <c r="H320" s="172"/>
      <c r="I320" s="172"/>
      <c r="J320" s="172"/>
      <c r="K320" s="172"/>
      <c r="L320" s="172"/>
      <c r="M320" s="172"/>
      <c r="N320" s="172"/>
      <c r="O320" s="172"/>
      <c r="P320" s="172"/>
      <c r="Q320" s="172"/>
      <c r="R320" s="172"/>
      <c r="S320" s="172"/>
      <c r="T320" s="172"/>
      <c r="U320" s="172"/>
      <c r="V320" s="172"/>
      <c r="W320" s="172"/>
      <c r="X320" s="172"/>
      <c r="Y320" s="172"/>
      <c r="Z320" s="172"/>
    </row>
    <row r="321" spans="1:26" ht="18.75">
      <c r="A321" s="172"/>
      <c r="B321" s="172"/>
      <c r="C321" s="172"/>
      <c r="D321" s="174">
        <f t="shared" ref="D321:F321" si="3">2*($B320*$B318+1-D319/$B319)/(D319/$B319-1+$B318*(1+D319/$B319))</f>
        <v>8.0000000000000016E-2</v>
      </c>
      <c r="E321" s="174">
        <f t="shared" si="3"/>
        <v>6.3905325443786978E-2</v>
      </c>
      <c r="F321" s="174">
        <f t="shared" si="3"/>
        <v>8.8745980707395519E-2</v>
      </c>
      <c r="G321" s="172"/>
      <c r="H321" s="172"/>
      <c r="I321" s="172"/>
      <c r="J321" s="172"/>
      <c r="K321" s="172"/>
      <c r="L321" s="172"/>
      <c r="M321" s="172"/>
      <c r="N321" s="172"/>
      <c r="O321" s="172"/>
      <c r="P321" s="172"/>
      <c r="Q321" s="172"/>
      <c r="R321" s="172"/>
      <c r="S321" s="172"/>
      <c r="T321" s="172"/>
      <c r="U321" s="172"/>
      <c r="V321" s="172"/>
      <c r="W321" s="172"/>
      <c r="X321" s="172"/>
      <c r="Y321" s="172"/>
      <c r="Z321" s="172"/>
    </row>
    <row r="322" spans="1:26" ht="18.75">
      <c r="A322" s="172"/>
      <c r="B322" s="172"/>
      <c r="C322" s="172"/>
      <c r="D322" s="172"/>
      <c r="E322" s="172"/>
      <c r="F322" s="172"/>
      <c r="G322" s="172"/>
      <c r="H322" s="172"/>
      <c r="I322" s="172"/>
      <c r="J322" s="172"/>
      <c r="K322" s="172"/>
      <c r="L322" s="172"/>
      <c r="M322" s="172"/>
      <c r="N322" s="172"/>
      <c r="O322" s="172"/>
      <c r="P322" s="172"/>
      <c r="Q322" s="172"/>
      <c r="R322" s="172"/>
      <c r="S322" s="172"/>
      <c r="T322" s="172"/>
      <c r="U322" s="172"/>
      <c r="V322" s="172"/>
      <c r="W322" s="172"/>
      <c r="X322" s="172"/>
      <c r="Y322" s="172"/>
      <c r="Z322" s="172"/>
    </row>
    <row r="323" spans="1:26" ht="18.75">
      <c r="A323" s="430" t="s">
        <v>999</v>
      </c>
      <c r="B323" s="405"/>
      <c r="C323" s="405"/>
      <c r="D323" s="405"/>
      <c r="E323" s="405"/>
      <c r="F323" s="405"/>
      <c r="G323" s="405"/>
      <c r="H323" s="405"/>
      <c r="I323" s="172"/>
      <c r="J323" s="172"/>
      <c r="K323" s="172"/>
      <c r="L323" s="172"/>
      <c r="M323" s="172"/>
      <c r="N323" s="172"/>
      <c r="O323" s="172"/>
      <c r="P323" s="172"/>
      <c r="Q323" s="172"/>
      <c r="R323" s="172"/>
      <c r="S323" s="172"/>
      <c r="T323" s="172"/>
      <c r="U323" s="172"/>
      <c r="V323" s="172"/>
      <c r="W323" s="172"/>
      <c r="X323" s="172"/>
      <c r="Y323" s="172"/>
      <c r="Z323" s="172"/>
    </row>
    <row r="324" spans="1:26" ht="18.75">
      <c r="A324" s="405"/>
      <c r="B324" s="405"/>
      <c r="C324" s="405"/>
      <c r="D324" s="405"/>
      <c r="E324" s="405"/>
      <c r="F324" s="405"/>
      <c r="G324" s="405"/>
      <c r="H324" s="405"/>
      <c r="I324" s="172"/>
      <c r="J324" s="172"/>
      <c r="K324" s="172"/>
      <c r="L324" s="172"/>
      <c r="M324" s="172"/>
      <c r="N324" s="172"/>
      <c r="O324" s="172"/>
      <c r="P324" s="172"/>
      <c r="Q324" s="172"/>
      <c r="R324" s="172"/>
      <c r="S324" s="172"/>
      <c r="T324" s="172"/>
      <c r="U324" s="172"/>
      <c r="V324" s="172"/>
      <c r="W324" s="172"/>
      <c r="X324" s="172"/>
      <c r="Y324" s="172"/>
      <c r="Z324" s="172"/>
    </row>
    <row r="325" spans="1:26" ht="18.75">
      <c r="A325" s="405"/>
      <c r="B325" s="405"/>
      <c r="C325" s="405"/>
      <c r="D325" s="405"/>
      <c r="E325" s="405"/>
      <c r="F325" s="405"/>
      <c r="G325" s="405"/>
      <c r="H325" s="405"/>
      <c r="I325" s="172"/>
      <c r="J325" s="172"/>
      <c r="K325" s="172"/>
      <c r="L325" s="172"/>
      <c r="M325" s="172"/>
      <c r="N325" s="172"/>
      <c r="O325" s="172"/>
      <c r="P325" s="172"/>
      <c r="Q325" s="172"/>
      <c r="R325" s="172"/>
      <c r="S325" s="172"/>
      <c r="T325" s="172"/>
      <c r="U325" s="172"/>
      <c r="V325" s="172"/>
      <c r="W325" s="172"/>
      <c r="X325" s="172"/>
      <c r="Y325" s="172"/>
      <c r="Z325" s="172"/>
    </row>
    <row r="326" spans="1:26" ht="18.75">
      <c r="A326" s="405"/>
      <c r="B326" s="405"/>
      <c r="C326" s="405"/>
      <c r="D326" s="405"/>
      <c r="E326" s="405"/>
      <c r="F326" s="405"/>
      <c r="G326" s="405"/>
      <c r="H326" s="405"/>
      <c r="I326" s="172"/>
      <c r="J326" s="172"/>
      <c r="K326" s="172"/>
      <c r="L326" s="172"/>
      <c r="M326" s="172"/>
      <c r="N326" s="172"/>
      <c r="O326" s="172"/>
      <c r="P326" s="172"/>
      <c r="Q326" s="172"/>
      <c r="R326" s="172"/>
      <c r="S326" s="172"/>
      <c r="T326" s="172"/>
      <c r="U326" s="172"/>
      <c r="V326" s="172"/>
      <c r="W326" s="172"/>
      <c r="X326" s="172"/>
      <c r="Y326" s="172"/>
      <c r="Z326" s="172"/>
    </row>
    <row r="327" spans="1:26" ht="18.75">
      <c r="A327" s="172" t="s">
        <v>48</v>
      </c>
      <c r="B327" s="172">
        <v>10</v>
      </c>
      <c r="C327" s="172"/>
      <c r="D327" s="172" t="s">
        <v>905</v>
      </c>
      <c r="E327" s="172"/>
      <c r="F327" s="172"/>
      <c r="G327" s="172"/>
      <c r="H327" s="172"/>
      <c r="I327" s="172"/>
      <c r="J327" s="172"/>
      <c r="K327" s="172"/>
      <c r="L327" s="172"/>
      <c r="M327" s="172"/>
      <c r="N327" s="172"/>
      <c r="O327" s="172"/>
      <c r="P327" s="172"/>
      <c r="Q327" s="172"/>
      <c r="R327" s="172"/>
      <c r="S327" s="172"/>
      <c r="T327" s="172"/>
      <c r="U327" s="172"/>
      <c r="V327" s="172"/>
      <c r="W327" s="172"/>
      <c r="X327" s="172"/>
      <c r="Y327" s="172"/>
      <c r="Z327" s="172"/>
    </row>
    <row r="328" spans="1:26" ht="18.75">
      <c r="A328" s="172" t="s">
        <v>938</v>
      </c>
      <c r="B328" s="172">
        <v>1000</v>
      </c>
      <c r="C328" s="172"/>
      <c r="D328" s="172">
        <v>900</v>
      </c>
      <c r="E328" s="172"/>
      <c r="F328" s="172"/>
      <c r="G328" s="172"/>
      <c r="H328" s="172"/>
      <c r="I328" s="172"/>
      <c r="J328" s="172"/>
      <c r="K328" s="172"/>
      <c r="L328" s="172"/>
      <c r="M328" s="172"/>
      <c r="N328" s="172"/>
      <c r="O328" s="172"/>
      <c r="P328" s="172"/>
      <c r="Q328" s="172"/>
      <c r="R328" s="172"/>
      <c r="S328" s="172"/>
      <c r="T328" s="172"/>
      <c r="U328" s="172"/>
      <c r="V328" s="172"/>
      <c r="W328" s="172"/>
      <c r="X328" s="172"/>
      <c r="Y328" s="172"/>
      <c r="Z328" s="172"/>
    </row>
    <row r="329" spans="1:26" ht="18.75">
      <c r="A329" s="172" t="s">
        <v>919</v>
      </c>
      <c r="B329" s="173">
        <f>B330/B328</f>
        <v>0.05</v>
      </c>
      <c r="C329" s="172"/>
      <c r="D329" s="172" t="s">
        <v>1000</v>
      </c>
      <c r="E329" s="172"/>
      <c r="F329" s="172"/>
      <c r="G329" s="172"/>
      <c r="H329" s="172"/>
      <c r="I329" s="172"/>
      <c r="J329" s="172"/>
      <c r="K329" s="172"/>
      <c r="L329" s="172"/>
      <c r="M329" s="172"/>
      <c r="N329" s="172"/>
      <c r="O329" s="172"/>
      <c r="P329" s="172"/>
      <c r="Q329" s="172"/>
      <c r="R329" s="172"/>
      <c r="S329" s="172"/>
      <c r="T329" s="172"/>
      <c r="U329" s="172"/>
      <c r="V329" s="172"/>
      <c r="W329" s="172"/>
      <c r="X329" s="172"/>
      <c r="Y329" s="172"/>
      <c r="Z329" s="172"/>
    </row>
    <row r="330" spans="1:26" ht="18.75">
      <c r="A330" s="172" t="s">
        <v>1001</v>
      </c>
      <c r="B330" s="172">
        <v>50</v>
      </c>
      <c r="C330" s="172"/>
      <c r="D330" s="172">
        <f>D328/$B328</f>
        <v>0.9</v>
      </c>
      <c r="E330" s="172"/>
      <c r="F330" s="172"/>
      <c r="G330" s="172"/>
      <c r="H330" s="172"/>
      <c r="I330" s="172"/>
      <c r="J330" s="172"/>
      <c r="K330" s="172"/>
      <c r="L330" s="172"/>
      <c r="M330" s="172"/>
      <c r="N330" s="172"/>
      <c r="O330" s="172"/>
      <c r="P330" s="172"/>
      <c r="Q330" s="172"/>
      <c r="R330" s="172"/>
      <c r="S330" s="172"/>
      <c r="T330" s="172"/>
      <c r="U330" s="172"/>
      <c r="V330" s="172"/>
      <c r="W330" s="172"/>
      <c r="X330" s="172"/>
      <c r="Y330" s="172"/>
      <c r="Z330" s="172"/>
    </row>
    <row r="331" spans="1:26" ht="18.75">
      <c r="A331" s="172"/>
      <c r="B331" s="172"/>
      <c r="C331" s="172"/>
      <c r="D331" s="172" t="s">
        <v>1002</v>
      </c>
      <c r="E331" s="172"/>
      <c r="F331" s="172"/>
      <c r="G331" s="172"/>
      <c r="H331" s="172"/>
      <c r="I331" s="172"/>
      <c r="J331" s="172"/>
      <c r="K331" s="172"/>
      <c r="L331" s="172"/>
      <c r="M331" s="172"/>
      <c r="N331" s="172"/>
      <c r="O331" s="172"/>
      <c r="P331" s="172"/>
      <c r="Q331" s="172"/>
      <c r="R331" s="172"/>
      <c r="S331" s="172"/>
      <c r="T331" s="172"/>
      <c r="U331" s="172"/>
      <c r="V331" s="172"/>
      <c r="W331" s="172"/>
      <c r="X331" s="172"/>
      <c r="Y331" s="172"/>
      <c r="Z331" s="172"/>
    </row>
    <row r="332" spans="1:26" ht="18.75">
      <c r="A332" s="172"/>
      <c r="B332" s="172"/>
      <c r="C332" s="172"/>
      <c r="D332" s="174">
        <f>2*($B329*$B327+1-D330)/(D330-1+$B327*(1+D330))</f>
        <v>6.3492063492063489E-2</v>
      </c>
      <c r="E332" s="172"/>
      <c r="F332" s="172"/>
      <c r="G332" s="172"/>
      <c r="H332" s="172"/>
      <c r="I332" s="172"/>
      <c r="J332" s="172"/>
      <c r="K332" s="172"/>
      <c r="L332" s="172"/>
      <c r="M332" s="172"/>
      <c r="N332" s="172"/>
      <c r="O332" s="172"/>
      <c r="P332" s="172"/>
      <c r="Q332" s="172"/>
      <c r="R332" s="172"/>
      <c r="S332" s="172"/>
      <c r="T332" s="172"/>
      <c r="U332" s="172"/>
      <c r="V332" s="172"/>
      <c r="W332" s="172"/>
      <c r="X332" s="172"/>
      <c r="Y332" s="172"/>
      <c r="Z332" s="172"/>
    </row>
    <row r="333" spans="1:26" ht="18.75">
      <c r="A333" s="172"/>
      <c r="B333" s="172"/>
      <c r="C333" s="172"/>
      <c r="D333" s="172"/>
      <c r="E333" s="172"/>
      <c r="F333" s="172"/>
      <c r="G333" s="172"/>
      <c r="H333" s="172"/>
      <c r="I333" s="172"/>
      <c r="J333" s="172"/>
      <c r="K333" s="172"/>
      <c r="L333" s="172"/>
      <c r="M333" s="172"/>
      <c r="N333" s="172"/>
      <c r="O333" s="172"/>
      <c r="P333" s="172"/>
      <c r="Q333" s="172"/>
      <c r="R333" s="172"/>
      <c r="S333" s="172"/>
      <c r="T333" s="172"/>
      <c r="U333" s="172"/>
      <c r="V333" s="172"/>
      <c r="W333" s="172"/>
      <c r="X333" s="172"/>
      <c r="Y333" s="172"/>
      <c r="Z333" s="172"/>
    </row>
    <row r="334" spans="1:26" ht="18.75">
      <c r="A334" s="430" t="s">
        <v>1003</v>
      </c>
      <c r="B334" s="405"/>
      <c r="C334" s="405"/>
      <c r="D334" s="405"/>
      <c r="E334" s="405"/>
      <c r="F334" s="405"/>
      <c r="G334" s="405"/>
      <c r="H334" s="405"/>
      <c r="I334" s="172"/>
      <c r="J334" s="172"/>
      <c r="K334" s="172"/>
      <c r="L334" s="172"/>
      <c r="M334" s="172"/>
      <c r="N334" s="172"/>
      <c r="O334" s="172"/>
      <c r="P334" s="172"/>
      <c r="Q334" s="172"/>
      <c r="R334" s="172"/>
      <c r="S334" s="172"/>
      <c r="T334" s="172"/>
      <c r="U334" s="172"/>
      <c r="V334" s="172"/>
      <c r="W334" s="172"/>
      <c r="X334" s="172"/>
      <c r="Y334" s="172"/>
      <c r="Z334" s="172"/>
    </row>
    <row r="335" spans="1:26" ht="18.75">
      <c r="A335" s="405"/>
      <c r="B335" s="405"/>
      <c r="C335" s="405"/>
      <c r="D335" s="405"/>
      <c r="E335" s="405"/>
      <c r="F335" s="405"/>
      <c r="G335" s="405"/>
      <c r="H335" s="405"/>
      <c r="I335" s="172"/>
      <c r="J335" s="172"/>
      <c r="K335" s="172"/>
      <c r="L335" s="172"/>
      <c r="M335" s="172"/>
      <c r="N335" s="172"/>
      <c r="O335" s="172"/>
      <c r="P335" s="172"/>
      <c r="Q335" s="172"/>
      <c r="R335" s="172"/>
      <c r="S335" s="172"/>
      <c r="T335" s="172"/>
      <c r="U335" s="172"/>
      <c r="V335" s="172"/>
      <c r="W335" s="172"/>
      <c r="X335" s="172"/>
      <c r="Y335" s="172"/>
      <c r="Z335" s="172"/>
    </row>
    <row r="336" spans="1:26" ht="18.75">
      <c r="A336" s="405"/>
      <c r="B336" s="405"/>
      <c r="C336" s="405"/>
      <c r="D336" s="405"/>
      <c r="E336" s="405"/>
      <c r="F336" s="405"/>
      <c r="G336" s="405"/>
      <c r="H336" s="405"/>
      <c r="I336" s="172"/>
      <c r="J336" s="172"/>
      <c r="K336" s="172"/>
      <c r="L336" s="172"/>
      <c r="M336" s="172"/>
      <c r="N336" s="172"/>
      <c r="O336" s="172"/>
      <c r="P336" s="172"/>
      <c r="Q336" s="172"/>
      <c r="R336" s="172"/>
      <c r="S336" s="172"/>
      <c r="T336" s="172"/>
      <c r="U336" s="172"/>
      <c r="V336" s="172"/>
      <c r="W336" s="172"/>
      <c r="X336" s="172"/>
      <c r="Y336" s="172"/>
      <c r="Z336" s="172"/>
    </row>
    <row r="337" spans="1:26" ht="18.75">
      <c r="A337" s="405"/>
      <c r="B337" s="405"/>
      <c r="C337" s="405"/>
      <c r="D337" s="405"/>
      <c r="E337" s="405"/>
      <c r="F337" s="405"/>
      <c r="G337" s="405"/>
      <c r="H337" s="405"/>
      <c r="I337" s="172"/>
      <c r="J337" s="172"/>
      <c r="K337" s="172"/>
      <c r="L337" s="172"/>
      <c r="M337" s="172"/>
      <c r="N337" s="172"/>
      <c r="O337" s="172"/>
      <c r="P337" s="172"/>
      <c r="Q337" s="172"/>
      <c r="R337" s="172"/>
      <c r="S337" s="172"/>
      <c r="T337" s="172"/>
      <c r="U337" s="172"/>
      <c r="V337" s="172"/>
      <c r="W337" s="172"/>
      <c r="X337" s="172"/>
      <c r="Y337" s="172"/>
      <c r="Z337" s="172"/>
    </row>
    <row r="338" spans="1:26" ht="18.75">
      <c r="A338" s="405"/>
      <c r="B338" s="405"/>
      <c r="C338" s="405"/>
      <c r="D338" s="405"/>
      <c r="E338" s="405"/>
      <c r="F338" s="405"/>
      <c r="G338" s="405"/>
      <c r="H338" s="405"/>
      <c r="I338" s="172"/>
      <c r="J338" s="172"/>
      <c r="K338" s="172"/>
      <c r="L338" s="172"/>
      <c r="M338" s="172"/>
      <c r="N338" s="172"/>
      <c r="O338" s="172"/>
      <c r="P338" s="172"/>
      <c r="Q338" s="172"/>
      <c r="R338" s="172"/>
      <c r="S338" s="172"/>
      <c r="T338" s="172"/>
      <c r="U338" s="172"/>
      <c r="V338" s="172"/>
      <c r="W338" s="172"/>
      <c r="X338" s="172"/>
      <c r="Y338" s="172"/>
      <c r="Z338" s="172"/>
    </row>
    <row r="339" spans="1:26" ht="18.75">
      <c r="A339" s="172" t="s">
        <v>938</v>
      </c>
      <c r="B339" s="172">
        <v>2500</v>
      </c>
      <c r="C339" s="172"/>
      <c r="D339" s="172"/>
      <c r="E339" s="172"/>
      <c r="F339" s="172"/>
      <c r="G339" s="172"/>
      <c r="H339" s="172"/>
      <c r="I339" s="172"/>
      <c r="J339" s="172"/>
      <c r="K339" s="172"/>
      <c r="L339" s="172"/>
      <c r="M339" s="172"/>
      <c r="N339" s="172"/>
      <c r="O339" s="172"/>
      <c r="P339" s="172"/>
      <c r="Q339" s="172"/>
      <c r="R339" s="172"/>
      <c r="S339" s="172"/>
      <c r="T339" s="172"/>
      <c r="U339" s="172"/>
      <c r="V339" s="172"/>
      <c r="W339" s="172"/>
      <c r="X339" s="172"/>
      <c r="Y339" s="172"/>
      <c r="Z339" s="172"/>
    </row>
    <row r="340" spans="1:26" ht="18.75">
      <c r="A340" s="172" t="s">
        <v>919</v>
      </c>
      <c r="B340" s="173">
        <f>B342/B339</f>
        <v>0.28000000000000003</v>
      </c>
      <c r="C340" s="172"/>
      <c r="D340" s="172"/>
      <c r="E340" s="172"/>
      <c r="F340" s="172"/>
      <c r="G340" s="172"/>
      <c r="H340" s="172"/>
      <c r="I340" s="172"/>
      <c r="J340" s="172"/>
      <c r="K340" s="172"/>
      <c r="L340" s="172"/>
      <c r="M340" s="172"/>
      <c r="N340" s="172"/>
      <c r="O340" s="172"/>
      <c r="P340" s="172"/>
      <c r="Q340" s="172"/>
      <c r="R340" s="172"/>
      <c r="S340" s="172"/>
      <c r="T340" s="172"/>
      <c r="U340" s="172"/>
      <c r="V340" s="172"/>
      <c r="W340" s="172"/>
      <c r="X340" s="172"/>
      <c r="Y340" s="172"/>
      <c r="Z340" s="172"/>
    </row>
    <row r="341" spans="1:26" ht="18.75">
      <c r="A341" s="172" t="s">
        <v>48</v>
      </c>
      <c r="B341" s="176">
        <v>5</v>
      </c>
      <c r="C341" s="172"/>
      <c r="D341" s="430" t="s">
        <v>1004</v>
      </c>
      <c r="E341" s="405"/>
      <c r="F341" s="405"/>
      <c r="G341" s="405"/>
      <c r="H341" s="172"/>
      <c r="I341" s="172"/>
      <c r="J341" s="172"/>
      <c r="K341" s="172"/>
      <c r="L341" s="172"/>
      <c r="M341" s="172"/>
      <c r="N341" s="172"/>
      <c r="O341" s="172"/>
      <c r="P341" s="172"/>
      <c r="Q341" s="172"/>
      <c r="R341" s="172"/>
      <c r="S341" s="172"/>
      <c r="T341" s="172"/>
      <c r="U341" s="172"/>
      <c r="V341" s="172"/>
      <c r="W341" s="172"/>
      <c r="X341" s="172"/>
      <c r="Y341" s="172"/>
      <c r="Z341" s="172"/>
    </row>
    <row r="342" spans="1:26" ht="18.75">
      <c r="A342" s="172" t="s">
        <v>1001</v>
      </c>
      <c r="B342" s="172">
        <v>700</v>
      </c>
      <c r="C342" s="172"/>
      <c r="D342" s="405"/>
      <c r="E342" s="405"/>
      <c r="F342" s="405"/>
      <c r="G342" s="405"/>
      <c r="H342" s="172"/>
      <c r="I342" s="172"/>
      <c r="J342" s="172"/>
      <c r="K342" s="172"/>
      <c r="L342" s="172"/>
      <c r="M342" s="172"/>
      <c r="N342" s="172"/>
      <c r="O342" s="172"/>
      <c r="P342" s="172"/>
      <c r="Q342" s="172"/>
      <c r="R342" s="172"/>
      <c r="S342" s="172"/>
      <c r="T342" s="172"/>
      <c r="U342" s="172"/>
      <c r="V342" s="172"/>
      <c r="W342" s="172"/>
      <c r="X342" s="172"/>
      <c r="Y342" s="172"/>
      <c r="Z342" s="172"/>
    </row>
    <row r="343" spans="1:26" ht="18.75">
      <c r="A343" s="172" t="s">
        <v>940</v>
      </c>
      <c r="B343" s="173">
        <v>0.1</v>
      </c>
      <c r="C343" s="172"/>
      <c r="D343" s="405"/>
      <c r="E343" s="405"/>
      <c r="F343" s="405"/>
      <c r="G343" s="405"/>
      <c r="H343" s="172"/>
      <c r="I343" s="172"/>
      <c r="J343" s="172"/>
      <c r="K343" s="172"/>
      <c r="L343" s="172"/>
      <c r="M343" s="172"/>
      <c r="N343" s="172"/>
      <c r="O343" s="172"/>
      <c r="P343" s="172"/>
      <c r="Q343" s="172"/>
      <c r="R343" s="172"/>
      <c r="S343" s="172"/>
      <c r="T343" s="172"/>
      <c r="U343" s="172"/>
      <c r="V343" s="172"/>
      <c r="W343" s="172"/>
      <c r="X343" s="172"/>
      <c r="Y343" s="172"/>
      <c r="Z343" s="172"/>
    </row>
    <row r="344" spans="1:26" ht="18.75">
      <c r="A344" s="172" t="s">
        <v>107</v>
      </c>
      <c r="B344" s="174">
        <f>B340*B339*(1-(1+B343)^-B341)/B343+B339*(1+B343)^-B341</f>
        <v>4205.8540462338033</v>
      </c>
      <c r="C344" s="172"/>
      <c r="D344" s="405"/>
      <c r="E344" s="405"/>
      <c r="F344" s="405"/>
      <c r="G344" s="405"/>
      <c r="H344" s="172"/>
      <c r="I344" s="172"/>
      <c r="J344" s="172"/>
      <c r="K344" s="172"/>
      <c r="L344" s="172"/>
      <c r="M344" s="172"/>
      <c r="N344" s="172"/>
      <c r="O344" s="172"/>
      <c r="P344" s="172"/>
      <c r="Q344" s="172"/>
      <c r="R344" s="172"/>
      <c r="S344" s="172"/>
      <c r="T344" s="172"/>
      <c r="U344" s="172"/>
      <c r="V344" s="172"/>
      <c r="W344" s="172"/>
      <c r="X344" s="172"/>
      <c r="Y344" s="172"/>
      <c r="Z344" s="172"/>
    </row>
    <row r="345" spans="1:26" ht="18.75">
      <c r="A345" s="172" t="s">
        <v>1005</v>
      </c>
      <c r="B345" s="174">
        <v>4000</v>
      </c>
      <c r="C345" s="172"/>
      <c r="D345" s="405"/>
      <c r="E345" s="405"/>
      <c r="F345" s="405"/>
      <c r="G345" s="405"/>
      <c r="H345" s="172"/>
      <c r="I345" s="172"/>
      <c r="J345" s="172"/>
      <c r="K345" s="172"/>
      <c r="L345" s="172"/>
      <c r="M345" s="172"/>
      <c r="N345" s="172"/>
      <c r="O345" s="172"/>
      <c r="P345" s="172"/>
      <c r="Q345" s="172"/>
      <c r="R345" s="172"/>
      <c r="S345" s="172"/>
      <c r="T345" s="172"/>
      <c r="U345" s="172"/>
      <c r="V345" s="172"/>
      <c r="W345" s="172"/>
      <c r="X345" s="172"/>
      <c r="Y345" s="172"/>
      <c r="Z345" s="172"/>
    </row>
    <row r="346" spans="1:26" ht="18.75">
      <c r="A346" s="172"/>
      <c r="B346" s="172"/>
      <c r="C346" s="172"/>
      <c r="D346" s="172"/>
      <c r="E346" s="172"/>
      <c r="F346" s="172"/>
      <c r="G346" s="172"/>
      <c r="H346" s="172"/>
      <c r="I346" s="172"/>
      <c r="J346" s="172"/>
      <c r="K346" s="172"/>
      <c r="L346" s="172"/>
      <c r="M346" s="172"/>
      <c r="N346" s="172"/>
      <c r="O346" s="172"/>
      <c r="P346" s="172"/>
      <c r="Q346" s="172"/>
      <c r="R346" s="172"/>
      <c r="S346" s="172"/>
      <c r="T346" s="172"/>
      <c r="U346" s="172"/>
      <c r="V346" s="172"/>
      <c r="W346" s="172"/>
      <c r="X346" s="172"/>
      <c r="Y346" s="172"/>
      <c r="Z346" s="172"/>
    </row>
    <row r="347" spans="1:26" ht="18.75">
      <c r="A347" s="172"/>
      <c r="B347" s="172"/>
      <c r="C347" s="172"/>
      <c r="D347" s="172"/>
      <c r="E347" s="172"/>
      <c r="F347" s="172"/>
      <c r="G347" s="172"/>
      <c r="H347" s="172"/>
      <c r="I347" s="172"/>
      <c r="J347" s="172"/>
      <c r="K347" s="172"/>
      <c r="L347" s="172"/>
      <c r="M347" s="172"/>
      <c r="N347" s="172"/>
      <c r="O347" s="172"/>
      <c r="P347" s="172"/>
      <c r="Q347" s="172"/>
      <c r="R347" s="172"/>
      <c r="S347" s="172"/>
      <c r="T347" s="172"/>
      <c r="U347" s="172"/>
      <c r="V347" s="172"/>
      <c r="W347" s="172"/>
      <c r="X347" s="172"/>
      <c r="Y347" s="172"/>
      <c r="Z347" s="172"/>
    </row>
    <row r="348" spans="1:26" ht="18.75">
      <c r="A348" s="430" t="s">
        <v>1006</v>
      </c>
      <c r="B348" s="405"/>
      <c r="C348" s="405"/>
      <c r="D348" s="405"/>
      <c r="E348" s="405"/>
      <c r="F348" s="405"/>
      <c r="G348" s="405"/>
      <c r="H348" s="405"/>
      <c r="I348" s="172"/>
      <c r="J348" s="172"/>
      <c r="K348" s="172"/>
      <c r="L348" s="172"/>
      <c r="M348" s="172"/>
      <c r="N348" s="172"/>
      <c r="O348" s="172"/>
      <c r="P348" s="172"/>
      <c r="Q348" s="172"/>
      <c r="R348" s="172"/>
      <c r="S348" s="172"/>
      <c r="T348" s="172"/>
      <c r="U348" s="172"/>
      <c r="V348" s="172"/>
      <c r="W348" s="172"/>
      <c r="X348" s="172"/>
      <c r="Y348" s="172"/>
      <c r="Z348" s="172"/>
    </row>
    <row r="349" spans="1:26" ht="18.75">
      <c r="A349" s="405"/>
      <c r="B349" s="405"/>
      <c r="C349" s="405"/>
      <c r="D349" s="405"/>
      <c r="E349" s="405"/>
      <c r="F349" s="405"/>
      <c r="G349" s="405"/>
      <c r="H349" s="405"/>
      <c r="I349" s="172"/>
      <c r="J349" s="172"/>
      <c r="K349" s="172"/>
      <c r="L349" s="172"/>
      <c r="M349" s="172"/>
      <c r="N349" s="172"/>
      <c r="O349" s="172"/>
      <c r="P349" s="172"/>
      <c r="Q349" s="172"/>
      <c r="R349" s="172"/>
      <c r="S349" s="172"/>
      <c r="T349" s="172"/>
      <c r="U349" s="172"/>
      <c r="V349" s="172"/>
      <c r="W349" s="172"/>
      <c r="X349" s="172"/>
      <c r="Y349" s="172"/>
      <c r="Z349" s="172"/>
    </row>
    <row r="350" spans="1:26" ht="18.75">
      <c r="A350" s="405"/>
      <c r="B350" s="405"/>
      <c r="C350" s="405"/>
      <c r="D350" s="405"/>
      <c r="E350" s="405"/>
      <c r="F350" s="405"/>
      <c r="G350" s="405"/>
      <c r="H350" s="405"/>
      <c r="I350" s="172"/>
      <c r="J350" s="172"/>
      <c r="K350" s="172"/>
      <c r="L350" s="172"/>
      <c r="M350" s="172"/>
      <c r="N350" s="172"/>
      <c r="O350" s="172"/>
      <c r="P350" s="172"/>
      <c r="Q350" s="172"/>
      <c r="R350" s="172"/>
      <c r="S350" s="172"/>
      <c r="T350" s="172"/>
      <c r="U350" s="172"/>
      <c r="V350" s="172"/>
      <c r="W350" s="172"/>
      <c r="X350" s="172"/>
      <c r="Y350" s="172"/>
      <c r="Z350" s="172"/>
    </row>
    <row r="351" spans="1:26" ht="18.75">
      <c r="A351" s="405"/>
      <c r="B351" s="405"/>
      <c r="C351" s="405"/>
      <c r="D351" s="405"/>
      <c r="E351" s="405"/>
      <c r="F351" s="405"/>
      <c r="G351" s="405"/>
      <c r="H351" s="405"/>
      <c r="I351" s="172"/>
      <c r="J351" s="172"/>
      <c r="K351" s="172"/>
      <c r="L351" s="172"/>
      <c r="M351" s="172"/>
      <c r="N351" s="172"/>
      <c r="O351" s="172"/>
      <c r="P351" s="172"/>
      <c r="Q351" s="172"/>
      <c r="R351" s="172"/>
      <c r="S351" s="172"/>
      <c r="T351" s="172"/>
      <c r="U351" s="172"/>
      <c r="V351" s="172"/>
      <c r="W351" s="172"/>
      <c r="X351" s="172"/>
      <c r="Y351" s="172"/>
      <c r="Z351" s="172"/>
    </row>
    <row r="352" spans="1:26" ht="18.75">
      <c r="A352" s="405"/>
      <c r="B352" s="405"/>
      <c r="C352" s="405"/>
      <c r="D352" s="405"/>
      <c r="E352" s="405"/>
      <c r="F352" s="405"/>
      <c r="G352" s="405"/>
      <c r="H352" s="405"/>
      <c r="I352" s="172"/>
      <c r="J352" s="172"/>
      <c r="K352" s="172"/>
      <c r="L352" s="172"/>
      <c r="M352" s="172"/>
      <c r="N352" s="172"/>
      <c r="O352" s="172"/>
      <c r="P352" s="172"/>
      <c r="Q352" s="172"/>
      <c r="R352" s="172"/>
      <c r="S352" s="172"/>
      <c r="T352" s="172"/>
      <c r="U352" s="172"/>
      <c r="V352" s="172"/>
      <c r="W352" s="172"/>
      <c r="X352" s="172"/>
      <c r="Y352" s="172"/>
      <c r="Z352" s="172"/>
    </row>
    <row r="353" spans="1:26" ht="18.75">
      <c r="A353" s="172" t="s">
        <v>983</v>
      </c>
      <c r="B353" s="173">
        <v>0.95</v>
      </c>
      <c r="C353" s="172"/>
      <c r="D353" s="172"/>
      <c r="E353" s="172"/>
      <c r="F353" s="172"/>
      <c r="G353" s="172"/>
      <c r="H353" s="172"/>
      <c r="I353" s="172"/>
      <c r="J353" s="172"/>
      <c r="K353" s="172"/>
      <c r="L353" s="172"/>
      <c r="M353" s="172"/>
      <c r="N353" s="172"/>
      <c r="O353" s="172"/>
      <c r="P353" s="172"/>
      <c r="Q353" s="172"/>
      <c r="R353" s="172"/>
      <c r="S353" s="172"/>
      <c r="T353" s="172"/>
      <c r="U353" s="172"/>
      <c r="V353" s="172"/>
      <c r="W353" s="172"/>
      <c r="X353" s="172"/>
      <c r="Y353" s="172"/>
      <c r="Z353" s="172"/>
    </row>
    <row r="354" spans="1:26" ht="18.75">
      <c r="A354" s="172" t="s">
        <v>919</v>
      </c>
      <c r="B354" s="173">
        <v>0.15</v>
      </c>
      <c r="C354" s="172"/>
      <c r="D354" s="172"/>
      <c r="E354" s="172"/>
      <c r="F354" s="172"/>
      <c r="G354" s="172"/>
      <c r="H354" s="172"/>
      <c r="I354" s="172"/>
      <c r="J354" s="172"/>
      <c r="K354" s="172"/>
      <c r="L354" s="172"/>
      <c r="M354" s="172"/>
      <c r="N354" s="172"/>
      <c r="O354" s="172"/>
      <c r="P354" s="172"/>
      <c r="Q354" s="172"/>
      <c r="R354" s="172"/>
      <c r="S354" s="172"/>
      <c r="T354" s="172"/>
      <c r="U354" s="172"/>
      <c r="V354" s="172"/>
      <c r="W354" s="172"/>
      <c r="X354" s="172"/>
      <c r="Y354" s="172"/>
      <c r="Z354" s="172"/>
    </row>
    <row r="355" spans="1:26" ht="18.75">
      <c r="A355" s="172" t="s">
        <v>521</v>
      </c>
      <c r="B355" s="172">
        <v>4</v>
      </c>
      <c r="C355" s="172"/>
      <c r="D355" s="172"/>
      <c r="E355" s="172"/>
      <c r="F355" s="172"/>
      <c r="G355" s="172"/>
      <c r="H355" s="172"/>
      <c r="I355" s="172"/>
      <c r="J355" s="172"/>
      <c r="K355" s="172"/>
      <c r="L355" s="172"/>
      <c r="M355" s="172"/>
      <c r="N355" s="172"/>
      <c r="O355" s="172"/>
      <c r="P355" s="172"/>
      <c r="Q355" s="172"/>
      <c r="R355" s="172"/>
      <c r="S355" s="172"/>
      <c r="T355" s="172"/>
      <c r="U355" s="172"/>
      <c r="V355" s="172"/>
      <c r="W355" s="172"/>
      <c r="X355" s="172"/>
      <c r="Y355" s="172"/>
      <c r="Z355" s="172"/>
    </row>
    <row r="356" spans="1:26" ht="18.75">
      <c r="A356" s="172" t="s">
        <v>43</v>
      </c>
      <c r="B356" s="177">
        <f>1/B353*B354</f>
        <v>0.15789473684210525</v>
      </c>
      <c r="C356" s="172"/>
      <c r="D356" s="172"/>
      <c r="E356" s="172"/>
      <c r="F356" s="172"/>
      <c r="G356" s="172"/>
      <c r="H356" s="172"/>
      <c r="I356" s="172"/>
      <c r="J356" s="172"/>
      <c r="K356" s="172"/>
      <c r="L356" s="172"/>
      <c r="M356" s="172"/>
      <c r="N356" s="172"/>
      <c r="O356" s="172"/>
      <c r="P356" s="172"/>
      <c r="Q356" s="172"/>
      <c r="R356" s="172"/>
      <c r="S356" s="172"/>
      <c r="T356" s="172"/>
      <c r="U356" s="172"/>
      <c r="V356" s="172"/>
      <c r="W356" s="172"/>
      <c r="X356" s="172"/>
      <c r="Y356" s="172"/>
      <c r="Z356" s="172"/>
    </row>
    <row r="357" spans="1:26" ht="18.75">
      <c r="A357" s="172"/>
      <c r="B357" s="172"/>
      <c r="C357" s="172"/>
      <c r="D357" s="172"/>
      <c r="E357" s="172"/>
      <c r="F357" s="172"/>
      <c r="G357" s="172"/>
      <c r="H357" s="172"/>
      <c r="I357" s="172"/>
      <c r="J357" s="172"/>
      <c r="K357" s="172"/>
      <c r="L357" s="172"/>
      <c r="M357" s="172"/>
      <c r="N357" s="172"/>
      <c r="O357" s="172"/>
      <c r="P357" s="172"/>
      <c r="Q357" s="172"/>
      <c r="R357" s="172"/>
      <c r="S357" s="172"/>
      <c r="T357" s="172"/>
      <c r="U357" s="172"/>
      <c r="V357" s="172"/>
      <c r="W357" s="172"/>
      <c r="X357" s="172"/>
      <c r="Y357" s="172"/>
      <c r="Z357" s="172"/>
    </row>
    <row r="358" spans="1:26" ht="18.75">
      <c r="A358" s="430" t="s">
        <v>1007</v>
      </c>
      <c r="B358" s="405"/>
      <c r="C358" s="405"/>
      <c r="D358" s="405"/>
      <c r="E358" s="405"/>
      <c r="F358" s="405"/>
      <c r="G358" s="405"/>
      <c r="H358" s="405"/>
      <c r="I358" s="172"/>
      <c r="J358" s="172"/>
      <c r="K358" s="172"/>
      <c r="L358" s="172"/>
      <c r="M358" s="172"/>
      <c r="N358" s="172"/>
      <c r="O358" s="172"/>
      <c r="P358" s="172"/>
      <c r="Q358" s="172"/>
      <c r="R358" s="172"/>
      <c r="S358" s="172"/>
      <c r="T358" s="172"/>
      <c r="U358" s="172"/>
      <c r="V358" s="172"/>
      <c r="W358" s="172"/>
      <c r="X358" s="172"/>
      <c r="Y358" s="172"/>
      <c r="Z358" s="172"/>
    </row>
    <row r="359" spans="1:26" ht="18.75">
      <c r="A359" s="405"/>
      <c r="B359" s="405"/>
      <c r="C359" s="405"/>
      <c r="D359" s="405"/>
      <c r="E359" s="405"/>
      <c r="F359" s="405"/>
      <c r="G359" s="405"/>
      <c r="H359" s="405"/>
      <c r="I359" s="172"/>
      <c r="J359" s="172"/>
      <c r="K359" s="172"/>
      <c r="L359" s="172"/>
      <c r="M359" s="172"/>
      <c r="N359" s="172"/>
      <c r="O359" s="172"/>
      <c r="P359" s="172"/>
      <c r="Q359" s="172"/>
      <c r="R359" s="172"/>
      <c r="S359" s="172"/>
      <c r="T359" s="172"/>
      <c r="U359" s="172"/>
      <c r="V359" s="172"/>
      <c r="W359" s="172"/>
      <c r="X359" s="172"/>
      <c r="Y359" s="172"/>
      <c r="Z359" s="172"/>
    </row>
    <row r="360" spans="1:26" ht="18.75">
      <c r="A360" s="405"/>
      <c r="B360" s="405"/>
      <c r="C360" s="405"/>
      <c r="D360" s="405"/>
      <c r="E360" s="405"/>
      <c r="F360" s="405"/>
      <c r="G360" s="405"/>
      <c r="H360" s="405"/>
      <c r="I360" s="172"/>
      <c r="J360" s="172"/>
      <c r="K360" s="172"/>
      <c r="L360" s="172"/>
      <c r="M360" s="172"/>
      <c r="N360" s="172"/>
      <c r="O360" s="172"/>
      <c r="P360" s="172"/>
      <c r="Q360" s="172"/>
      <c r="R360" s="172"/>
      <c r="S360" s="172"/>
      <c r="T360" s="172"/>
      <c r="U360" s="172"/>
      <c r="V360" s="172"/>
      <c r="W360" s="172"/>
      <c r="X360" s="172"/>
      <c r="Y360" s="172"/>
      <c r="Z360" s="172"/>
    </row>
    <row r="361" spans="1:26" ht="18.75">
      <c r="A361" s="405"/>
      <c r="B361" s="405"/>
      <c r="C361" s="405"/>
      <c r="D361" s="405"/>
      <c r="E361" s="405"/>
      <c r="F361" s="405"/>
      <c r="G361" s="405"/>
      <c r="H361" s="405"/>
      <c r="I361" s="172"/>
      <c r="J361" s="172"/>
      <c r="K361" s="172"/>
      <c r="L361" s="172"/>
      <c r="M361" s="172"/>
      <c r="N361" s="172"/>
      <c r="O361" s="172"/>
      <c r="P361" s="172"/>
      <c r="Q361" s="172"/>
      <c r="R361" s="172"/>
      <c r="S361" s="172"/>
      <c r="T361" s="172"/>
      <c r="U361" s="172"/>
      <c r="V361" s="172"/>
      <c r="W361" s="172"/>
      <c r="X361" s="172"/>
      <c r="Y361" s="172"/>
      <c r="Z361" s="172"/>
    </row>
    <row r="362" spans="1:26" ht="18.75">
      <c r="A362" s="172" t="s">
        <v>48</v>
      </c>
      <c r="B362" s="172">
        <v>9</v>
      </c>
      <c r="C362" s="172"/>
      <c r="D362" s="172"/>
      <c r="E362" s="172"/>
      <c r="F362" s="172"/>
      <c r="G362" s="172"/>
      <c r="H362" s="172"/>
      <c r="I362" s="172"/>
      <c r="J362" s="172"/>
      <c r="K362" s="172"/>
      <c r="L362" s="172"/>
      <c r="M362" s="172"/>
      <c r="N362" s="172"/>
      <c r="O362" s="172"/>
      <c r="P362" s="172"/>
      <c r="Q362" s="172"/>
      <c r="R362" s="172"/>
      <c r="S362" s="172"/>
      <c r="T362" s="172"/>
      <c r="U362" s="172"/>
      <c r="V362" s="172"/>
      <c r="W362" s="172"/>
      <c r="X362" s="172"/>
      <c r="Y362" s="172"/>
      <c r="Z362" s="172"/>
    </row>
    <row r="363" spans="1:26" ht="18.75">
      <c r="A363" s="172" t="s">
        <v>938</v>
      </c>
      <c r="B363" s="172">
        <v>2000</v>
      </c>
      <c r="C363" s="172"/>
      <c r="D363" s="172"/>
      <c r="E363" s="172"/>
      <c r="F363" s="172"/>
      <c r="G363" s="172"/>
      <c r="H363" s="172"/>
      <c r="I363" s="172"/>
      <c r="J363" s="172"/>
      <c r="K363" s="172"/>
      <c r="L363" s="172"/>
      <c r="M363" s="172"/>
      <c r="N363" s="172"/>
      <c r="O363" s="172"/>
      <c r="P363" s="172"/>
      <c r="Q363" s="172"/>
      <c r="R363" s="172"/>
      <c r="S363" s="172"/>
      <c r="T363" s="172"/>
      <c r="U363" s="172"/>
      <c r="V363" s="172"/>
      <c r="W363" s="172"/>
      <c r="X363" s="172"/>
      <c r="Y363" s="172"/>
      <c r="Z363" s="172"/>
    </row>
    <row r="364" spans="1:26" ht="18.75">
      <c r="A364" s="172" t="s">
        <v>919</v>
      </c>
      <c r="B364" s="173">
        <v>0.09</v>
      </c>
      <c r="C364" s="172"/>
      <c r="D364" s="172"/>
      <c r="E364" s="172"/>
      <c r="F364" s="172"/>
      <c r="G364" s="172"/>
      <c r="H364" s="172"/>
      <c r="I364" s="172"/>
      <c r="J364" s="172"/>
      <c r="K364" s="172"/>
      <c r="L364" s="172"/>
      <c r="M364" s="172"/>
      <c r="N364" s="172"/>
      <c r="O364" s="172"/>
      <c r="P364" s="172"/>
      <c r="Q364" s="172"/>
      <c r="R364" s="172"/>
      <c r="S364" s="172"/>
      <c r="T364" s="172"/>
      <c r="U364" s="172"/>
      <c r="V364" s="172"/>
      <c r="W364" s="172"/>
      <c r="X364" s="172"/>
      <c r="Y364" s="172"/>
      <c r="Z364" s="172"/>
    </row>
    <row r="365" spans="1:26" ht="18.75">
      <c r="A365" s="172" t="s">
        <v>790</v>
      </c>
      <c r="B365" s="172">
        <f>B363*1.1</f>
        <v>2200</v>
      </c>
      <c r="C365" s="172"/>
      <c r="D365" s="172"/>
      <c r="E365" s="172"/>
      <c r="F365" s="172"/>
      <c r="G365" s="172"/>
      <c r="H365" s="172"/>
      <c r="I365" s="172"/>
      <c r="J365" s="172"/>
      <c r="K365" s="172"/>
      <c r="L365" s="172"/>
      <c r="M365" s="172"/>
      <c r="N365" s="172"/>
      <c r="O365" s="172"/>
      <c r="P365" s="172"/>
      <c r="Q365" s="172"/>
      <c r="R365" s="172"/>
      <c r="S365" s="172"/>
      <c r="T365" s="172"/>
      <c r="U365" s="172"/>
      <c r="V365" s="172"/>
      <c r="W365" s="172"/>
      <c r="X365" s="172"/>
      <c r="Y365" s="172"/>
      <c r="Z365" s="172"/>
    </row>
    <row r="366" spans="1:26" ht="18.75">
      <c r="A366" s="172" t="s">
        <v>983</v>
      </c>
      <c r="B366" s="172">
        <f>B365/$B363</f>
        <v>1.1000000000000001</v>
      </c>
      <c r="C366" s="172"/>
      <c r="D366" s="172"/>
      <c r="E366" s="172"/>
      <c r="F366" s="172"/>
      <c r="G366" s="172"/>
      <c r="H366" s="172"/>
      <c r="I366" s="172"/>
      <c r="J366" s="172"/>
      <c r="K366" s="172"/>
      <c r="L366" s="172"/>
      <c r="M366" s="172"/>
      <c r="N366" s="172"/>
      <c r="O366" s="172"/>
      <c r="P366" s="172"/>
      <c r="Q366" s="172"/>
      <c r="R366" s="172"/>
      <c r="S366" s="172"/>
      <c r="T366" s="172"/>
      <c r="U366" s="172"/>
      <c r="V366" s="172"/>
      <c r="W366" s="172"/>
      <c r="X366" s="172"/>
      <c r="Y366" s="172"/>
      <c r="Z366" s="172"/>
    </row>
    <row r="367" spans="1:26" ht="18.75">
      <c r="A367" s="172" t="s">
        <v>920</v>
      </c>
      <c r="B367" s="178">
        <f>2*($B364*$B362+1-B366)/(B366-1+$B362*(1+B366))</f>
        <v>7.4736842105263143E-2</v>
      </c>
      <c r="C367" s="172"/>
      <c r="D367" s="172"/>
      <c r="E367" s="172"/>
      <c r="F367" s="172"/>
      <c r="G367" s="172"/>
      <c r="H367" s="172"/>
      <c r="I367" s="172"/>
      <c r="J367" s="172"/>
      <c r="K367" s="172"/>
      <c r="L367" s="172"/>
      <c r="M367" s="172"/>
      <c r="N367" s="172"/>
      <c r="O367" s="172"/>
      <c r="P367" s="172"/>
      <c r="Q367" s="172"/>
      <c r="R367" s="172"/>
      <c r="S367" s="172"/>
      <c r="T367" s="172"/>
      <c r="U367" s="172"/>
      <c r="V367" s="172"/>
      <c r="W367" s="172"/>
      <c r="X367" s="172"/>
      <c r="Y367" s="172"/>
      <c r="Z367" s="172"/>
    </row>
    <row r="368" spans="1:26" ht="18.75">
      <c r="A368" s="172"/>
      <c r="B368" s="172"/>
      <c r="C368" s="172"/>
      <c r="D368" s="172"/>
      <c r="E368" s="172"/>
      <c r="F368" s="172"/>
      <c r="G368" s="172"/>
      <c r="H368" s="172"/>
      <c r="I368" s="172"/>
      <c r="J368" s="172"/>
      <c r="K368" s="172"/>
      <c r="L368" s="172"/>
      <c r="M368" s="172"/>
      <c r="N368" s="172"/>
      <c r="O368" s="172"/>
      <c r="P368" s="172"/>
      <c r="Q368" s="172"/>
      <c r="R368" s="172"/>
      <c r="S368" s="172"/>
      <c r="T368" s="172"/>
      <c r="U368" s="172"/>
      <c r="V368" s="172"/>
      <c r="W368" s="172"/>
      <c r="X368" s="172"/>
      <c r="Y368" s="172"/>
      <c r="Z368" s="172"/>
    </row>
    <row r="369" spans="1:26" ht="18.75">
      <c r="A369" s="430" t="s">
        <v>1008</v>
      </c>
      <c r="B369" s="405"/>
      <c r="C369" s="405"/>
      <c r="D369" s="405"/>
      <c r="E369" s="405"/>
      <c r="F369" s="405"/>
      <c r="G369" s="405"/>
      <c r="H369" s="405"/>
      <c r="I369" s="172"/>
      <c r="J369" s="172"/>
      <c r="K369" s="172"/>
      <c r="L369" s="172"/>
      <c r="M369" s="172"/>
      <c r="N369" s="172"/>
      <c r="O369" s="172"/>
      <c r="P369" s="172"/>
      <c r="Q369" s="172"/>
      <c r="R369" s="172"/>
      <c r="S369" s="172"/>
      <c r="T369" s="172"/>
      <c r="U369" s="172"/>
      <c r="V369" s="172"/>
      <c r="W369" s="172"/>
      <c r="X369" s="172"/>
      <c r="Y369" s="172"/>
      <c r="Z369" s="172"/>
    </row>
    <row r="370" spans="1:26" ht="18.75">
      <c r="A370" s="405"/>
      <c r="B370" s="405"/>
      <c r="C370" s="405"/>
      <c r="D370" s="405"/>
      <c r="E370" s="405"/>
      <c r="F370" s="405"/>
      <c r="G370" s="405"/>
      <c r="H370" s="405"/>
      <c r="I370" s="172"/>
      <c r="J370" s="172"/>
      <c r="K370" s="172"/>
      <c r="L370" s="172"/>
      <c r="M370" s="172"/>
      <c r="N370" s="172"/>
      <c r="O370" s="172"/>
      <c r="P370" s="172"/>
      <c r="Q370" s="172"/>
      <c r="R370" s="172"/>
      <c r="S370" s="172"/>
      <c r="T370" s="172"/>
      <c r="U370" s="172"/>
      <c r="V370" s="172"/>
      <c r="W370" s="172"/>
      <c r="X370" s="172"/>
      <c r="Y370" s="172"/>
      <c r="Z370" s="172"/>
    </row>
    <row r="371" spans="1:26" ht="18.75">
      <c r="A371" s="405"/>
      <c r="B371" s="405"/>
      <c r="C371" s="405"/>
      <c r="D371" s="405"/>
      <c r="E371" s="405"/>
      <c r="F371" s="405"/>
      <c r="G371" s="405"/>
      <c r="H371" s="405"/>
      <c r="I371" s="172"/>
      <c r="J371" s="172"/>
      <c r="K371" s="172"/>
      <c r="L371" s="172"/>
      <c r="M371" s="172"/>
      <c r="N371" s="172"/>
      <c r="O371" s="172"/>
      <c r="P371" s="172"/>
      <c r="Q371" s="172"/>
      <c r="R371" s="172"/>
      <c r="S371" s="172"/>
      <c r="T371" s="172"/>
      <c r="U371" s="172"/>
      <c r="V371" s="172"/>
      <c r="W371" s="172"/>
      <c r="X371" s="172"/>
      <c r="Y371" s="172"/>
      <c r="Z371" s="172"/>
    </row>
    <row r="372" spans="1:26" ht="18.75">
      <c r="A372" s="405"/>
      <c r="B372" s="405"/>
      <c r="C372" s="405"/>
      <c r="D372" s="405"/>
      <c r="E372" s="405"/>
      <c r="F372" s="405"/>
      <c r="G372" s="405"/>
      <c r="H372" s="405"/>
      <c r="I372" s="172"/>
      <c r="J372" s="172"/>
      <c r="K372" s="172"/>
      <c r="L372" s="172"/>
      <c r="M372" s="172"/>
      <c r="N372" s="172"/>
      <c r="O372" s="172"/>
      <c r="P372" s="172"/>
      <c r="Q372" s="172"/>
      <c r="R372" s="172"/>
      <c r="S372" s="172"/>
      <c r="T372" s="172"/>
      <c r="U372" s="172"/>
      <c r="V372" s="172"/>
      <c r="W372" s="172"/>
      <c r="X372" s="172"/>
      <c r="Y372" s="172"/>
      <c r="Z372" s="172"/>
    </row>
    <row r="373" spans="1:26" ht="18.75">
      <c r="A373" s="405"/>
      <c r="B373" s="405"/>
      <c r="C373" s="405"/>
      <c r="D373" s="405"/>
      <c r="E373" s="405"/>
      <c r="F373" s="405"/>
      <c r="G373" s="405"/>
      <c r="H373" s="405"/>
      <c r="I373" s="172"/>
      <c r="J373" s="172"/>
      <c r="K373" s="172"/>
      <c r="L373" s="172"/>
      <c r="M373" s="172"/>
      <c r="N373" s="172"/>
      <c r="O373" s="172"/>
      <c r="P373" s="172"/>
      <c r="Q373" s="172"/>
      <c r="R373" s="172"/>
      <c r="S373" s="172"/>
      <c r="T373" s="172"/>
      <c r="U373" s="172"/>
      <c r="V373" s="172"/>
      <c r="W373" s="172"/>
      <c r="X373" s="172"/>
      <c r="Y373" s="172"/>
      <c r="Z373" s="172"/>
    </row>
    <row r="374" spans="1:26" ht="18.75">
      <c r="A374" s="172" t="s">
        <v>48</v>
      </c>
      <c r="B374" s="172">
        <v>8</v>
      </c>
      <c r="C374" s="172"/>
      <c r="D374" s="172"/>
      <c r="E374" s="172"/>
      <c r="F374" s="172"/>
      <c r="G374" s="172"/>
      <c r="H374" s="172"/>
      <c r="I374" s="172"/>
      <c r="J374" s="172"/>
      <c r="K374" s="172"/>
      <c r="L374" s="172"/>
      <c r="M374" s="172"/>
      <c r="N374" s="172"/>
      <c r="O374" s="172"/>
      <c r="P374" s="172"/>
      <c r="Q374" s="172"/>
      <c r="R374" s="172"/>
      <c r="S374" s="172"/>
      <c r="T374" s="172"/>
      <c r="U374" s="172"/>
      <c r="V374" s="172"/>
      <c r="W374" s="172"/>
      <c r="X374" s="172"/>
      <c r="Y374" s="172"/>
      <c r="Z374" s="172"/>
    </row>
    <row r="375" spans="1:26" ht="18.75">
      <c r="A375" s="172" t="s">
        <v>938</v>
      </c>
      <c r="B375" s="172">
        <v>2000</v>
      </c>
      <c r="C375" s="172"/>
      <c r="D375" s="172"/>
      <c r="E375" s="172"/>
      <c r="F375" s="172"/>
      <c r="G375" s="172"/>
      <c r="H375" s="172"/>
      <c r="I375" s="172"/>
      <c r="J375" s="172"/>
      <c r="K375" s="172"/>
      <c r="L375" s="172"/>
      <c r="M375" s="172"/>
      <c r="N375" s="172"/>
      <c r="O375" s="172"/>
      <c r="P375" s="172"/>
      <c r="Q375" s="172"/>
      <c r="R375" s="172"/>
      <c r="S375" s="172"/>
      <c r="T375" s="172"/>
      <c r="U375" s="172"/>
      <c r="V375" s="172"/>
      <c r="W375" s="172"/>
      <c r="X375" s="172"/>
      <c r="Y375" s="172"/>
      <c r="Z375" s="172"/>
    </row>
    <row r="376" spans="1:26" ht="18.75">
      <c r="A376" s="172" t="s">
        <v>919</v>
      </c>
      <c r="B376" s="173">
        <v>0.08</v>
      </c>
      <c r="C376" s="172"/>
      <c r="D376" s="172"/>
      <c r="E376" s="172"/>
      <c r="F376" s="172"/>
      <c r="G376" s="172"/>
      <c r="H376" s="172"/>
      <c r="I376" s="172"/>
      <c r="J376" s="172"/>
      <c r="K376" s="172"/>
      <c r="L376" s="172"/>
      <c r="M376" s="172"/>
      <c r="N376" s="172"/>
      <c r="O376" s="172"/>
      <c r="P376" s="172"/>
      <c r="Q376" s="172"/>
      <c r="R376" s="172"/>
      <c r="S376" s="172"/>
      <c r="T376" s="172"/>
      <c r="U376" s="172"/>
      <c r="V376" s="172"/>
      <c r="W376" s="172"/>
      <c r="X376" s="172"/>
      <c r="Y376" s="172"/>
      <c r="Z376" s="172"/>
    </row>
    <row r="377" spans="1:26" ht="18.75">
      <c r="A377" s="172" t="s">
        <v>790</v>
      </c>
      <c r="B377" s="172">
        <f>B375*0.93</f>
        <v>1860</v>
      </c>
      <c r="C377" s="172"/>
      <c r="D377" s="172"/>
      <c r="E377" s="172"/>
      <c r="F377" s="172"/>
      <c r="G377" s="172"/>
      <c r="H377" s="172"/>
      <c r="I377" s="172"/>
      <c r="J377" s="172"/>
      <c r="K377" s="172"/>
      <c r="L377" s="172"/>
      <c r="M377" s="172"/>
      <c r="N377" s="172"/>
      <c r="O377" s="172"/>
      <c r="P377" s="172"/>
      <c r="Q377" s="172"/>
      <c r="R377" s="172"/>
      <c r="S377" s="172"/>
      <c r="T377" s="172"/>
      <c r="U377" s="172"/>
      <c r="V377" s="172"/>
      <c r="W377" s="172"/>
      <c r="X377" s="172"/>
      <c r="Y377" s="172"/>
      <c r="Z377" s="172"/>
    </row>
    <row r="378" spans="1:26" ht="18.75">
      <c r="A378" s="172" t="s">
        <v>983</v>
      </c>
      <c r="B378" s="172">
        <f>0.93</f>
        <v>0.93</v>
      </c>
      <c r="C378" s="172"/>
      <c r="D378" s="172"/>
      <c r="E378" s="172"/>
      <c r="F378" s="172"/>
      <c r="G378" s="172"/>
      <c r="H378" s="172"/>
      <c r="I378" s="172"/>
      <c r="J378" s="172"/>
      <c r="K378" s="172"/>
      <c r="L378" s="172"/>
      <c r="M378" s="172"/>
      <c r="N378" s="172"/>
      <c r="O378" s="172"/>
      <c r="P378" s="172"/>
      <c r="Q378" s="172"/>
      <c r="R378" s="172"/>
      <c r="S378" s="172"/>
      <c r="T378" s="172"/>
      <c r="U378" s="172"/>
      <c r="V378" s="172"/>
      <c r="W378" s="172"/>
      <c r="X378" s="172"/>
      <c r="Y378" s="172"/>
      <c r="Z378" s="172"/>
    </row>
    <row r="379" spans="1:26" ht="18.75">
      <c r="A379" s="172" t="s">
        <v>920</v>
      </c>
      <c r="B379" s="178">
        <f>2*($B376*$B374+1-B378)/(B378-1+$B374*(1+B378))</f>
        <v>9.2387768379960961E-2</v>
      </c>
      <c r="C379" s="172"/>
      <c r="D379" s="172"/>
      <c r="E379" s="172"/>
      <c r="F379" s="172"/>
      <c r="G379" s="172"/>
      <c r="H379" s="172"/>
      <c r="I379" s="172"/>
      <c r="J379" s="172"/>
      <c r="K379" s="172"/>
      <c r="L379" s="172"/>
      <c r="M379" s="172"/>
      <c r="N379" s="172"/>
      <c r="O379" s="172"/>
      <c r="P379" s="172"/>
      <c r="Q379" s="172"/>
      <c r="R379" s="172"/>
      <c r="S379" s="172"/>
      <c r="T379" s="172"/>
      <c r="U379" s="172"/>
      <c r="V379" s="172"/>
      <c r="W379" s="172"/>
      <c r="X379" s="172"/>
      <c r="Y379" s="172"/>
      <c r="Z379" s="172"/>
    </row>
    <row r="380" spans="1:26" ht="18.75">
      <c r="A380" s="172"/>
      <c r="B380" s="172"/>
      <c r="C380" s="172"/>
      <c r="D380" s="172"/>
      <c r="E380" s="172"/>
      <c r="F380" s="172"/>
      <c r="G380" s="172"/>
      <c r="H380" s="172"/>
      <c r="I380" s="172"/>
      <c r="J380" s="172"/>
      <c r="K380" s="172"/>
      <c r="L380" s="172"/>
      <c r="M380" s="172"/>
      <c r="N380" s="172"/>
      <c r="O380" s="172"/>
      <c r="P380" s="172"/>
      <c r="Q380" s="172"/>
      <c r="R380" s="172"/>
      <c r="S380" s="172"/>
      <c r="T380" s="172"/>
      <c r="U380" s="172"/>
      <c r="V380" s="172"/>
      <c r="W380" s="172"/>
      <c r="X380" s="172"/>
      <c r="Y380" s="172"/>
      <c r="Z380" s="172"/>
    </row>
    <row r="381" spans="1:26" ht="18.75">
      <c r="A381" s="430" t="s">
        <v>1009</v>
      </c>
      <c r="B381" s="405"/>
      <c r="C381" s="405"/>
      <c r="D381" s="405"/>
      <c r="E381" s="405"/>
      <c r="F381" s="405"/>
      <c r="G381" s="405"/>
      <c r="H381" s="405"/>
      <c r="I381" s="172"/>
      <c r="J381" s="172"/>
      <c r="K381" s="172"/>
      <c r="L381" s="172"/>
      <c r="M381" s="172"/>
      <c r="N381" s="172"/>
      <c r="O381" s="172"/>
      <c r="P381" s="172"/>
      <c r="Q381" s="172"/>
      <c r="R381" s="172"/>
      <c r="S381" s="172"/>
      <c r="T381" s="172"/>
      <c r="U381" s="172"/>
      <c r="V381" s="172"/>
      <c r="W381" s="172"/>
      <c r="X381" s="172"/>
      <c r="Y381" s="172"/>
      <c r="Z381" s="172"/>
    </row>
    <row r="382" spans="1:26" ht="18.75">
      <c r="A382" s="405"/>
      <c r="B382" s="405"/>
      <c r="C382" s="405"/>
      <c r="D382" s="405"/>
      <c r="E382" s="405"/>
      <c r="F382" s="405"/>
      <c r="G382" s="405"/>
      <c r="H382" s="405"/>
      <c r="I382" s="172"/>
      <c r="J382" s="172"/>
      <c r="K382" s="172"/>
      <c r="L382" s="172"/>
      <c r="M382" s="172"/>
      <c r="N382" s="172"/>
      <c r="O382" s="172"/>
      <c r="P382" s="172"/>
      <c r="Q382" s="172"/>
      <c r="R382" s="172"/>
      <c r="S382" s="172"/>
      <c r="T382" s="172"/>
      <c r="U382" s="172"/>
      <c r="V382" s="172"/>
      <c r="W382" s="172"/>
      <c r="X382" s="172"/>
      <c r="Y382" s="172"/>
      <c r="Z382" s="172"/>
    </row>
    <row r="383" spans="1:26" ht="18.75">
      <c r="A383" s="405"/>
      <c r="B383" s="405"/>
      <c r="C383" s="405"/>
      <c r="D383" s="405"/>
      <c r="E383" s="405"/>
      <c r="F383" s="405"/>
      <c r="G383" s="405"/>
      <c r="H383" s="405"/>
      <c r="I383" s="172"/>
      <c r="J383" s="172"/>
      <c r="K383" s="172"/>
      <c r="L383" s="172"/>
      <c r="M383" s="172"/>
      <c r="N383" s="172"/>
      <c r="O383" s="172"/>
      <c r="P383" s="172"/>
      <c r="Q383" s="172"/>
      <c r="R383" s="172"/>
      <c r="S383" s="172"/>
      <c r="T383" s="172"/>
      <c r="U383" s="172"/>
      <c r="V383" s="172"/>
      <c r="W383" s="172"/>
      <c r="X383" s="172"/>
      <c r="Y383" s="172"/>
      <c r="Z383" s="172"/>
    </row>
    <row r="384" spans="1:26" ht="18.75">
      <c r="A384" s="405"/>
      <c r="B384" s="405"/>
      <c r="C384" s="405"/>
      <c r="D384" s="405"/>
      <c r="E384" s="405"/>
      <c r="F384" s="405"/>
      <c r="G384" s="405"/>
      <c r="H384" s="405"/>
      <c r="I384" s="172"/>
      <c r="J384" s="172"/>
      <c r="K384" s="172"/>
      <c r="L384" s="172"/>
      <c r="M384" s="172"/>
      <c r="N384" s="172"/>
      <c r="O384" s="172"/>
      <c r="P384" s="172"/>
      <c r="Q384" s="172"/>
      <c r="R384" s="172"/>
      <c r="S384" s="172"/>
      <c r="T384" s="172"/>
      <c r="U384" s="172"/>
      <c r="V384" s="172"/>
      <c r="W384" s="172"/>
      <c r="X384" s="172"/>
      <c r="Y384" s="172"/>
      <c r="Z384" s="172"/>
    </row>
    <row r="385" spans="1:26" ht="18.75">
      <c r="A385" s="172" t="s">
        <v>48</v>
      </c>
      <c r="B385" s="172">
        <v>10</v>
      </c>
      <c r="C385" s="172"/>
      <c r="D385" s="172"/>
      <c r="E385" s="172"/>
      <c r="F385" s="172"/>
      <c r="G385" s="172"/>
      <c r="H385" s="172"/>
      <c r="I385" s="172"/>
      <c r="J385" s="172"/>
      <c r="K385" s="172"/>
      <c r="L385" s="172"/>
      <c r="M385" s="172"/>
      <c r="N385" s="172"/>
      <c r="O385" s="172"/>
      <c r="P385" s="172"/>
      <c r="Q385" s="172"/>
      <c r="R385" s="172"/>
      <c r="S385" s="172"/>
      <c r="T385" s="172"/>
      <c r="U385" s="172"/>
      <c r="V385" s="172"/>
      <c r="W385" s="172"/>
      <c r="X385" s="172"/>
      <c r="Y385" s="172"/>
      <c r="Z385" s="172"/>
    </row>
    <row r="386" spans="1:26" ht="18.75">
      <c r="A386" s="172" t="s">
        <v>938</v>
      </c>
      <c r="B386" s="172">
        <v>2000</v>
      </c>
      <c r="C386" s="172"/>
      <c r="D386" s="172"/>
      <c r="E386" s="172"/>
      <c r="F386" s="172"/>
      <c r="G386" s="172"/>
      <c r="H386" s="172"/>
      <c r="I386" s="172"/>
      <c r="J386" s="172"/>
      <c r="K386" s="172"/>
      <c r="L386" s="172"/>
      <c r="M386" s="172"/>
      <c r="N386" s="172"/>
      <c r="O386" s="172"/>
      <c r="P386" s="172"/>
      <c r="Q386" s="172"/>
      <c r="R386" s="172"/>
      <c r="S386" s="172"/>
      <c r="T386" s="172"/>
      <c r="U386" s="172"/>
      <c r="V386" s="172"/>
      <c r="W386" s="172"/>
      <c r="X386" s="172"/>
      <c r="Y386" s="172"/>
      <c r="Z386" s="172"/>
    </row>
    <row r="387" spans="1:26" ht="18.75">
      <c r="A387" s="172" t="s">
        <v>919</v>
      </c>
      <c r="B387" s="173">
        <f>B388/B386</f>
        <v>0.04</v>
      </c>
      <c r="C387" s="172"/>
      <c r="D387" s="172"/>
      <c r="E387" s="172"/>
      <c r="F387" s="172"/>
      <c r="G387" s="172"/>
      <c r="H387" s="172"/>
      <c r="I387" s="172"/>
      <c r="J387" s="172"/>
      <c r="K387" s="172"/>
      <c r="L387" s="172"/>
      <c r="M387" s="172"/>
      <c r="N387" s="172"/>
      <c r="O387" s="172"/>
      <c r="P387" s="172"/>
      <c r="Q387" s="172"/>
      <c r="R387" s="172"/>
      <c r="S387" s="172"/>
      <c r="T387" s="172"/>
      <c r="U387" s="172"/>
      <c r="V387" s="172"/>
      <c r="W387" s="172"/>
      <c r="X387" s="172"/>
      <c r="Y387" s="172"/>
      <c r="Z387" s="172"/>
    </row>
    <row r="388" spans="1:26" ht="18.75">
      <c r="A388" s="172" t="s">
        <v>1001</v>
      </c>
      <c r="B388" s="172">
        <v>80</v>
      </c>
      <c r="C388" s="172"/>
      <c r="D388" s="172"/>
      <c r="E388" s="172"/>
      <c r="F388" s="172"/>
      <c r="G388" s="172"/>
      <c r="H388" s="172"/>
      <c r="I388" s="172"/>
      <c r="J388" s="172"/>
      <c r="K388" s="172"/>
      <c r="L388" s="172"/>
      <c r="M388" s="172"/>
      <c r="N388" s="172"/>
      <c r="O388" s="172"/>
      <c r="P388" s="172"/>
      <c r="Q388" s="172"/>
      <c r="R388" s="172"/>
      <c r="S388" s="172"/>
      <c r="T388" s="172"/>
      <c r="U388" s="172"/>
      <c r="V388" s="172"/>
      <c r="W388" s="172"/>
      <c r="X388" s="172"/>
      <c r="Y388" s="172"/>
      <c r="Z388" s="172"/>
    </row>
    <row r="389" spans="1:26" ht="18.75">
      <c r="A389" s="172" t="s">
        <v>790</v>
      </c>
      <c r="B389" s="172">
        <v>1900</v>
      </c>
      <c r="C389" s="172"/>
      <c r="D389" s="172"/>
      <c r="E389" s="172"/>
      <c r="F389" s="172"/>
      <c r="G389" s="172"/>
      <c r="H389" s="172"/>
      <c r="I389" s="172"/>
      <c r="J389" s="172"/>
      <c r="K389" s="172"/>
      <c r="L389" s="172"/>
      <c r="M389" s="172"/>
      <c r="N389" s="172"/>
      <c r="O389" s="172"/>
      <c r="P389" s="172"/>
      <c r="Q389" s="172"/>
      <c r="R389" s="172"/>
      <c r="S389" s="172"/>
      <c r="T389" s="172"/>
      <c r="U389" s="172"/>
      <c r="V389" s="172"/>
      <c r="W389" s="172"/>
      <c r="X389" s="172"/>
      <c r="Y389" s="172"/>
      <c r="Z389" s="172"/>
    </row>
    <row r="390" spans="1:26" ht="18.75">
      <c r="A390" s="172" t="s">
        <v>983</v>
      </c>
      <c r="B390" s="172">
        <f>B389/B386</f>
        <v>0.95</v>
      </c>
      <c r="C390" s="172"/>
      <c r="D390" s="172"/>
      <c r="E390" s="172"/>
      <c r="F390" s="172"/>
      <c r="G390" s="172"/>
      <c r="H390" s="172"/>
      <c r="I390" s="172"/>
      <c r="J390" s="172"/>
      <c r="K390" s="172"/>
      <c r="L390" s="172"/>
      <c r="M390" s="172"/>
      <c r="N390" s="172"/>
      <c r="O390" s="172"/>
      <c r="P390" s="172"/>
      <c r="Q390" s="172"/>
      <c r="R390" s="172"/>
      <c r="S390" s="172"/>
      <c r="T390" s="172"/>
      <c r="U390" s="172"/>
      <c r="V390" s="172"/>
      <c r="W390" s="172"/>
      <c r="X390" s="172"/>
      <c r="Y390" s="172"/>
      <c r="Z390" s="172"/>
    </row>
    <row r="391" spans="1:26" ht="18.75">
      <c r="A391" s="172" t="s">
        <v>920</v>
      </c>
      <c r="B391" s="178">
        <f>2*($B387*$B385+1-B390)/(B390-1+$B385*(1+B390))</f>
        <v>4.6272493573264781E-2</v>
      </c>
      <c r="C391" s="172"/>
      <c r="D391" s="172"/>
      <c r="E391" s="172"/>
      <c r="F391" s="172"/>
      <c r="G391" s="172"/>
      <c r="H391" s="172"/>
      <c r="I391" s="172"/>
      <c r="J391" s="172"/>
      <c r="K391" s="172"/>
      <c r="L391" s="172"/>
      <c r="M391" s="172"/>
      <c r="N391" s="172"/>
      <c r="O391" s="172"/>
      <c r="P391" s="172"/>
      <c r="Q391" s="172"/>
      <c r="R391" s="172"/>
      <c r="S391" s="172"/>
      <c r="T391" s="172"/>
      <c r="U391" s="172"/>
      <c r="V391" s="172"/>
      <c r="W391" s="172"/>
      <c r="X391" s="172"/>
      <c r="Y391" s="172"/>
      <c r="Z391" s="172"/>
    </row>
    <row r="392" spans="1:26" ht="18.75">
      <c r="A392" s="172"/>
      <c r="B392" s="172"/>
      <c r="C392" s="172"/>
      <c r="D392" s="172"/>
      <c r="E392" s="172"/>
      <c r="F392" s="172"/>
      <c r="G392" s="172"/>
      <c r="H392" s="172"/>
      <c r="I392" s="172"/>
      <c r="J392" s="172"/>
      <c r="K392" s="172"/>
      <c r="L392" s="172"/>
      <c r="M392" s="172"/>
      <c r="N392" s="172"/>
      <c r="O392" s="172"/>
      <c r="P392" s="172"/>
      <c r="Q392" s="172"/>
      <c r="R392" s="172"/>
      <c r="S392" s="172"/>
      <c r="T392" s="172"/>
      <c r="U392" s="172"/>
      <c r="V392" s="172"/>
      <c r="W392" s="172"/>
      <c r="X392" s="172"/>
      <c r="Y392" s="172"/>
      <c r="Z392" s="172"/>
    </row>
    <row r="393" spans="1:26" ht="18.75">
      <c r="A393" s="430" t="s">
        <v>1010</v>
      </c>
      <c r="B393" s="405"/>
      <c r="C393" s="405"/>
      <c r="D393" s="405"/>
      <c r="E393" s="405"/>
      <c r="F393" s="405"/>
      <c r="G393" s="405"/>
      <c r="H393" s="405"/>
      <c r="I393" s="172"/>
      <c r="J393" s="172"/>
      <c r="K393" s="172"/>
      <c r="L393" s="172"/>
      <c r="M393" s="172"/>
      <c r="N393" s="172"/>
      <c r="O393" s="172"/>
      <c r="P393" s="172"/>
      <c r="Q393" s="172"/>
      <c r="R393" s="172"/>
      <c r="S393" s="172"/>
      <c r="T393" s="172"/>
      <c r="U393" s="172"/>
      <c r="V393" s="172"/>
      <c r="W393" s="172"/>
      <c r="X393" s="172"/>
      <c r="Y393" s="172"/>
      <c r="Z393" s="172"/>
    </row>
    <row r="394" spans="1:26" ht="18.75">
      <c r="A394" s="405"/>
      <c r="B394" s="405"/>
      <c r="C394" s="405"/>
      <c r="D394" s="405"/>
      <c r="E394" s="405"/>
      <c r="F394" s="405"/>
      <c r="G394" s="405"/>
      <c r="H394" s="405"/>
      <c r="I394" s="172"/>
      <c r="J394" s="172"/>
      <c r="K394" s="172"/>
      <c r="L394" s="172"/>
      <c r="M394" s="172"/>
      <c r="N394" s="172"/>
      <c r="O394" s="172"/>
      <c r="P394" s="172"/>
      <c r="Q394" s="172"/>
      <c r="R394" s="172"/>
      <c r="S394" s="172"/>
      <c r="T394" s="172"/>
      <c r="U394" s="172"/>
      <c r="V394" s="172"/>
      <c r="W394" s="172"/>
      <c r="X394" s="172"/>
      <c r="Y394" s="172"/>
      <c r="Z394" s="172"/>
    </row>
    <row r="395" spans="1:26" ht="18.75">
      <c r="A395" s="405"/>
      <c r="B395" s="405"/>
      <c r="C395" s="405"/>
      <c r="D395" s="405"/>
      <c r="E395" s="405"/>
      <c r="F395" s="405"/>
      <c r="G395" s="405"/>
      <c r="H395" s="405"/>
      <c r="I395" s="172"/>
      <c r="J395" s="172"/>
      <c r="K395" s="172"/>
      <c r="L395" s="172"/>
      <c r="M395" s="172"/>
      <c r="N395" s="172"/>
      <c r="O395" s="172"/>
      <c r="P395" s="172"/>
      <c r="Q395" s="172"/>
      <c r="R395" s="172"/>
      <c r="S395" s="172"/>
      <c r="T395" s="172"/>
      <c r="U395" s="172"/>
      <c r="V395" s="172"/>
      <c r="W395" s="172"/>
      <c r="X395" s="172"/>
      <c r="Y395" s="172"/>
      <c r="Z395" s="172"/>
    </row>
    <row r="396" spans="1:26" ht="18.75">
      <c r="A396" s="405"/>
      <c r="B396" s="405"/>
      <c r="C396" s="405"/>
      <c r="D396" s="405"/>
      <c r="E396" s="405"/>
      <c r="F396" s="405"/>
      <c r="G396" s="405"/>
      <c r="H396" s="405"/>
      <c r="I396" s="172"/>
      <c r="J396" s="172"/>
      <c r="K396" s="172"/>
      <c r="L396" s="172"/>
      <c r="M396" s="172"/>
      <c r="N396" s="172"/>
      <c r="O396" s="172"/>
      <c r="P396" s="172"/>
      <c r="Q396" s="172"/>
      <c r="R396" s="172"/>
      <c r="S396" s="172"/>
      <c r="T396" s="172"/>
      <c r="U396" s="172"/>
      <c r="V396" s="172"/>
      <c r="W396" s="172"/>
      <c r="X396" s="172"/>
      <c r="Y396" s="172"/>
      <c r="Z396" s="172"/>
    </row>
    <row r="397" spans="1:26" ht="18.75">
      <c r="A397" s="172" t="s">
        <v>938</v>
      </c>
      <c r="B397" s="172">
        <v>2500</v>
      </c>
      <c r="C397" s="172"/>
      <c r="D397" s="172"/>
      <c r="E397" s="172"/>
      <c r="F397" s="172"/>
      <c r="G397" s="172"/>
      <c r="H397" s="172"/>
      <c r="I397" s="172"/>
      <c r="J397" s="172"/>
      <c r="K397" s="172"/>
      <c r="L397" s="172"/>
      <c r="M397" s="172"/>
      <c r="N397" s="172"/>
      <c r="O397" s="172"/>
      <c r="P397" s="172"/>
      <c r="Q397" s="172"/>
      <c r="R397" s="172"/>
      <c r="S397" s="172"/>
      <c r="T397" s="172"/>
      <c r="U397" s="172"/>
      <c r="V397" s="172"/>
      <c r="W397" s="172"/>
      <c r="X397" s="172"/>
      <c r="Y397" s="172"/>
      <c r="Z397" s="172"/>
    </row>
    <row r="398" spans="1:26" ht="18.75">
      <c r="A398" s="172" t="s">
        <v>790</v>
      </c>
      <c r="B398" s="172">
        <v>4000</v>
      </c>
      <c r="C398" s="172"/>
      <c r="D398" s="172"/>
      <c r="E398" s="172"/>
      <c r="F398" s="172"/>
      <c r="G398" s="172"/>
      <c r="H398" s="172"/>
      <c r="I398" s="172"/>
      <c r="J398" s="172"/>
      <c r="K398" s="172"/>
      <c r="L398" s="172"/>
      <c r="M398" s="172"/>
      <c r="N398" s="172"/>
      <c r="O398" s="172"/>
      <c r="P398" s="172"/>
      <c r="Q398" s="172"/>
      <c r="R398" s="172"/>
      <c r="S398" s="172"/>
      <c r="T398" s="172"/>
      <c r="U398" s="172"/>
      <c r="V398" s="172"/>
      <c r="W398" s="172"/>
      <c r="X398" s="172"/>
      <c r="Y398" s="172"/>
      <c r="Z398" s="172"/>
    </row>
    <row r="399" spans="1:26" ht="18.75">
      <c r="A399" s="172" t="s">
        <v>919</v>
      </c>
      <c r="B399" s="173">
        <f>B401/B397</f>
        <v>0.24</v>
      </c>
      <c r="C399" s="172"/>
      <c r="D399" s="172"/>
      <c r="E399" s="172"/>
      <c r="F399" s="172"/>
      <c r="G399" s="172"/>
      <c r="H399" s="172"/>
      <c r="I399" s="172"/>
      <c r="J399" s="172"/>
      <c r="K399" s="172"/>
      <c r="L399" s="172"/>
      <c r="M399" s="172"/>
      <c r="N399" s="172"/>
      <c r="O399" s="172"/>
      <c r="P399" s="172"/>
      <c r="Q399" s="172"/>
      <c r="R399" s="172"/>
      <c r="S399" s="172"/>
      <c r="T399" s="172"/>
      <c r="U399" s="172"/>
      <c r="V399" s="172"/>
      <c r="W399" s="172"/>
      <c r="X399" s="172"/>
      <c r="Y399" s="172"/>
      <c r="Z399" s="172"/>
    </row>
    <row r="400" spans="1:26" ht="18.75">
      <c r="A400" s="172" t="s">
        <v>48</v>
      </c>
      <c r="B400" s="172">
        <v>5</v>
      </c>
      <c r="C400" s="172"/>
      <c r="D400" s="172"/>
      <c r="E400" s="172"/>
      <c r="F400" s="172"/>
      <c r="G400" s="172"/>
      <c r="H400" s="172"/>
      <c r="I400" s="172"/>
      <c r="J400" s="172"/>
      <c r="K400" s="172"/>
      <c r="L400" s="172"/>
      <c r="M400" s="172"/>
      <c r="N400" s="172"/>
      <c r="O400" s="172"/>
      <c r="P400" s="172"/>
      <c r="Q400" s="172"/>
      <c r="R400" s="172"/>
      <c r="S400" s="172"/>
      <c r="T400" s="172"/>
      <c r="U400" s="172"/>
      <c r="V400" s="172"/>
      <c r="W400" s="172"/>
      <c r="X400" s="172"/>
      <c r="Y400" s="172"/>
      <c r="Z400" s="172"/>
    </row>
    <row r="401" spans="1:26" ht="18.75">
      <c r="A401" s="172" t="s">
        <v>1001</v>
      </c>
      <c r="B401" s="172">
        <v>600</v>
      </c>
      <c r="C401" s="172"/>
      <c r="D401" s="172"/>
      <c r="E401" s="172"/>
      <c r="F401" s="172"/>
      <c r="G401" s="172"/>
      <c r="H401" s="172"/>
      <c r="I401" s="172"/>
      <c r="J401" s="172"/>
      <c r="K401" s="172"/>
      <c r="L401" s="172"/>
      <c r="M401" s="172"/>
      <c r="N401" s="172"/>
      <c r="O401" s="172"/>
      <c r="P401" s="172"/>
      <c r="Q401" s="172"/>
      <c r="R401" s="172"/>
      <c r="S401" s="172"/>
      <c r="T401" s="172"/>
      <c r="U401" s="172"/>
      <c r="V401" s="172"/>
      <c r="W401" s="172"/>
      <c r="X401" s="172"/>
      <c r="Y401" s="172"/>
      <c r="Z401" s="172"/>
    </row>
    <row r="402" spans="1:26" ht="18.75">
      <c r="A402" s="172" t="s">
        <v>564</v>
      </c>
      <c r="B402" s="173">
        <v>0.1</v>
      </c>
      <c r="C402" s="172"/>
      <c r="D402" s="172"/>
      <c r="E402" s="172"/>
      <c r="F402" s="172"/>
      <c r="G402" s="172"/>
      <c r="H402" s="172"/>
      <c r="I402" s="172"/>
      <c r="J402" s="172"/>
      <c r="K402" s="172"/>
      <c r="L402" s="172"/>
      <c r="M402" s="172"/>
      <c r="N402" s="172"/>
      <c r="O402" s="172"/>
      <c r="P402" s="172"/>
      <c r="Q402" s="172"/>
      <c r="R402" s="172"/>
      <c r="S402" s="172"/>
      <c r="T402" s="172"/>
      <c r="U402" s="172"/>
      <c r="V402" s="172"/>
      <c r="W402" s="172"/>
      <c r="X402" s="172"/>
      <c r="Y402" s="172"/>
      <c r="Z402" s="172"/>
    </row>
    <row r="403" spans="1:26" ht="18.75">
      <c r="A403" s="172" t="s">
        <v>75</v>
      </c>
      <c r="B403" s="174">
        <f>$B399*$B397*(1-(1+B402)^-$B400)/B402+$B397/(1+B402)^$B400</f>
        <v>3826.7753692929577</v>
      </c>
      <c r="C403" s="172"/>
      <c r="D403" s="172"/>
      <c r="E403" s="172"/>
      <c r="F403" s="172"/>
      <c r="G403" s="172"/>
      <c r="H403" s="172"/>
      <c r="I403" s="172"/>
      <c r="J403" s="172"/>
      <c r="K403" s="172"/>
      <c r="L403" s="172"/>
      <c r="M403" s="172"/>
      <c r="N403" s="172"/>
      <c r="O403" s="172"/>
      <c r="P403" s="172"/>
      <c r="Q403" s="172"/>
      <c r="R403" s="172"/>
      <c r="S403" s="172"/>
      <c r="T403" s="172"/>
      <c r="U403" s="172"/>
      <c r="V403" s="172"/>
      <c r="W403" s="172"/>
      <c r="X403" s="172"/>
      <c r="Y403" s="172"/>
      <c r="Z403" s="172"/>
    </row>
    <row r="404" spans="1:26" ht="18.75">
      <c r="A404" s="172" t="s">
        <v>983</v>
      </c>
      <c r="B404" s="175">
        <f>B398/B397</f>
        <v>1.6</v>
      </c>
      <c r="C404" s="172"/>
      <c r="D404" s="172"/>
      <c r="E404" s="172"/>
      <c r="F404" s="172"/>
      <c r="G404" s="172"/>
      <c r="H404" s="172"/>
      <c r="I404" s="172"/>
      <c r="J404" s="172"/>
      <c r="K404" s="172"/>
      <c r="L404" s="172"/>
      <c r="M404" s="172"/>
      <c r="N404" s="172"/>
      <c r="O404" s="172"/>
      <c r="P404" s="172"/>
      <c r="Q404" s="172"/>
      <c r="R404" s="172"/>
      <c r="S404" s="172"/>
      <c r="T404" s="172"/>
      <c r="U404" s="172"/>
      <c r="V404" s="172"/>
      <c r="W404" s="172"/>
      <c r="X404" s="172"/>
      <c r="Y404" s="172"/>
      <c r="Z404" s="172"/>
    </row>
    <row r="405" spans="1:26" ht="18.75">
      <c r="A405" s="172"/>
      <c r="B405" s="172"/>
      <c r="C405" s="172"/>
      <c r="D405" s="172"/>
      <c r="E405" s="172"/>
      <c r="F405" s="172"/>
      <c r="G405" s="172"/>
      <c r="H405" s="172"/>
      <c r="I405" s="172"/>
      <c r="J405" s="172"/>
      <c r="K405" s="172"/>
      <c r="L405" s="172"/>
      <c r="M405" s="172"/>
      <c r="N405" s="172"/>
      <c r="O405" s="172"/>
      <c r="P405" s="172"/>
      <c r="Q405" s="172"/>
      <c r="R405" s="172"/>
      <c r="S405" s="172"/>
      <c r="T405" s="172"/>
      <c r="U405" s="172"/>
      <c r="V405" s="172"/>
      <c r="W405" s="172"/>
      <c r="X405" s="172"/>
      <c r="Y405" s="172"/>
      <c r="Z405" s="172"/>
    </row>
    <row r="406" spans="1:26" ht="18.75">
      <c r="A406" s="430" t="s">
        <v>1011</v>
      </c>
      <c r="B406" s="405"/>
      <c r="C406" s="405"/>
      <c r="D406" s="405"/>
      <c r="E406" s="405"/>
      <c r="F406" s="405"/>
      <c r="G406" s="405"/>
      <c r="H406" s="405"/>
      <c r="I406" s="172"/>
      <c r="J406" s="172"/>
      <c r="K406" s="172"/>
      <c r="L406" s="172"/>
      <c r="M406" s="172"/>
      <c r="N406" s="172"/>
      <c r="O406" s="172"/>
      <c r="P406" s="172"/>
      <c r="Q406" s="172"/>
      <c r="R406" s="172"/>
      <c r="S406" s="172"/>
      <c r="T406" s="172"/>
      <c r="U406" s="172"/>
      <c r="V406" s="172"/>
      <c r="W406" s="172"/>
      <c r="X406" s="172"/>
      <c r="Y406" s="172"/>
      <c r="Z406" s="172"/>
    </row>
    <row r="407" spans="1:26" ht="18.75">
      <c r="A407" s="405"/>
      <c r="B407" s="405"/>
      <c r="C407" s="405"/>
      <c r="D407" s="405"/>
      <c r="E407" s="405"/>
      <c r="F407" s="405"/>
      <c r="G407" s="405"/>
      <c r="H407" s="405"/>
      <c r="I407" s="172"/>
      <c r="J407" s="172"/>
      <c r="K407" s="172"/>
      <c r="L407" s="172"/>
      <c r="M407" s="172"/>
      <c r="N407" s="172"/>
      <c r="O407" s="172"/>
      <c r="P407" s="172"/>
      <c r="Q407" s="172"/>
      <c r="R407" s="172"/>
      <c r="S407" s="172"/>
      <c r="T407" s="172"/>
      <c r="U407" s="172"/>
      <c r="V407" s="172"/>
      <c r="W407" s="172"/>
      <c r="X407" s="172"/>
      <c r="Y407" s="172"/>
      <c r="Z407" s="172"/>
    </row>
    <row r="408" spans="1:26" ht="18.75">
      <c r="A408" s="405"/>
      <c r="B408" s="405"/>
      <c r="C408" s="405"/>
      <c r="D408" s="405"/>
      <c r="E408" s="405"/>
      <c r="F408" s="405"/>
      <c r="G408" s="405"/>
      <c r="H408" s="405"/>
      <c r="I408" s="172"/>
      <c r="J408" s="172"/>
      <c r="K408" s="172"/>
      <c r="L408" s="172"/>
      <c r="M408" s="172"/>
      <c r="N408" s="172"/>
      <c r="O408" s="172"/>
      <c r="P408" s="172"/>
      <c r="Q408" s="172"/>
      <c r="R408" s="172"/>
      <c r="S408" s="172"/>
      <c r="T408" s="172"/>
      <c r="U408" s="172"/>
      <c r="V408" s="172"/>
      <c r="W408" s="172"/>
      <c r="X408" s="172"/>
      <c r="Y408" s="172"/>
      <c r="Z408" s="172"/>
    </row>
    <row r="409" spans="1:26" ht="18.75">
      <c r="A409" s="405"/>
      <c r="B409" s="405"/>
      <c r="C409" s="405"/>
      <c r="D409" s="405"/>
      <c r="E409" s="405"/>
      <c r="F409" s="405"/>
      <c r="G409" s="405"/>
      <c r="H409" s="405"/>
      <c r="I409" s="172"/>
      <c r="J409" s="172"/>
      <c r="K409" s="172"/>
      <c r="L409" s="172"/>
      <c r="M409" s="172"/>
      <c r="N409" s="172"/>
      <c r="O409" s="172"/>
      <c r="P409" s="172"/>
      <c r="Q409" s="172"/>
      <c r="R409" s="172"/>
      <c r="S409" s="172"/>
      <c r="T409" s="172"/>
      <c r="U409" s="172"/>
      <c r="V409" s="172"/>
      <c r="W409" s="172"/>
      <c r="X409" s="172"/>
      <c r="Y409" s="172"/>
      <c r="Z409" s="172"/>
    </row>
    <row r="410" spans="1:26" ht="18.75">
      <c r="A410" s="405"/>
      <c r="B410" s="405"/>
      <c r="C410" s="405"/>
      <c r="D410" s="405"/>
      <c r="E410" s="405"/>
      <c r="F410" s="405"/>
      <c r="G410" s="405"/>
      <c r="H410" s="405"/>
      <c r="I410" s="172"/>
      <c r="J410" s="172"/>
      <c r="K410" s="172"/>
      <c r="L410" s="172"/>
      <c r="M410" s="172"/>
      <c r="N410" s="172"/>
      <c r="O410" s="172"/>
      <c r="P410" s="172"/>
      <c r="Q410" s="172"/>
      <c r="R410" s="172"/>
      <c r="S410" s="172"/>
      <c r="T410" s="172"/>
      <c r="U410" s="172"/>
      <c r="V410" s="172"/>
      <c r="W410" s="172"/>
      <c r="X410" s="172"/>
      <c r="Y410" s="172"/>
      <c r="Z410" s="172"/>
    </row>
    <row r="411" spans="1:26" ht="18.75">
      <c r="A411" s="172" t="s">
        <v>48</v>
      </c>
      <c r="B411" s="172">
        <v>10</v>
      </c>
      <c r="C411" s="172"/>
      <c r="D411" s="172"/>
      <c r="E411" s="172"/>
      <c r="F411" s="172"/>
      <c r="G411" s="172"/>
      <c r="H411" s="172"/>
      <c r="I411" s="172"/>
      <c r="J411" s="172"/>
      <c r="K411" s="172"/>
      <c r="L411" s="172"/>
      <c r="M411" s="172"/>
      <c r="N411" s="172"/>
      <c r="O411" s="172"/>
      <c r="P411" s="172"/>
      <c r="Q411" s="172"/>
      <c r="R411" s="172"/>
      <c r="S411" s="172"/>
      <c r="T411" s="172"/>
      <c r="U411" s="172"/>
      <c r="V411" s="172"/>
      <c r="W411" s="172"/>
      <c r="X411" s="172"/>
      <c r="Y411" s="172"/>
      <c r="Z411" s="172"/>
    </row>
    <row r="412" spans="1:26" ht="18.75">
      <c r="A412" s="172" t="s">
        <v>919</v>
      </c>
      <c r="B412" s="173">
        <v>0.12</v>
      </c>
      <c r="C412" s="172"/>
      <c r="D412" s="172"/>
      <c r="E412" s="172"/>
      <c r="F412" s="172"/>
      <c r="G412" s="172"/>
      <c r="H412" s="172"/>
      <c r="I412" s="172"/>
      <c r="J412" s="172"/>
      <c r="K412" s="172"/>
      <c r="L412" s="172"/>
      <c r="M412" s="172"/>
      <c r="N412" s="172"/>
      <c r="O412" s="172"/>
      <c r="P412" s="172"/>
      <c r="Q412" s="172"/>
      <c r="R412" s="172"/>
      <c r="S412" s="172"/>
      <c r="T412" s="172"/>
      <c r="U412" s="172"/>
      <c r="V412" s="172"/>
      <c r="W412" s="172"/>
      <c r="X412" s="172"/>
      <c r="Y412" s="172"/>
      <c r="Z412" s="172"/>
    </row>
    <row r="413" spans="1:26" ht="18.75">
      <c r="A413" s="172" t="s">
        <v>1012</v>
      </c>
      <c r="B413" s="172"/>
      <c r="C413" s="172"/>
      <c r="D413" s="172"/>
      <c r="E413" s="172"/>
      <c r="F413" s="172"/>
      <c r="G413" s="172"/>
      <c r="H413" s="172"/>
      <c r="I413" s="172"/>
      <c r="J413" s="172"/>
      <c r="K413" s="172"/>
      <c r="L413" s="172"/>
      <c r="M413" s="172"/>
      <c r="N413" s="172"/>
      <c r="O413" s="172"/>
      <c r="P413" s="172"/>
      <c r="Q413" s="172"/>
      <c r="R413" s="172"/>
      <c r="S413" s="172"/>
      <c r="T413" s="172"/>
      <c r="U413" s="172"/>
      <c r="V413" s="172"/>
      <c r="W413" s="172"/>
      <c r="X413" s="172"/>
      <c r="Y413" s="172"/>
      <c r="Z413" s="172"/>
    </row>
    <row r="414" spans="1:26" ht="18.75">
      <c r="A414" s="172" t="s">
        <v>370</v>
      </c>
      <c r="B414" s="174">
        <f>(1+B412)/B412*(1-(1+B412)^-B411)</f>
        <v>6.3282497918201708</v>
      </c>
      <c r="C414" s="172"/>
      <c r="D414" s="172"/>
      <c r="E414" s="172"/>
      <c r="F414" s="172"/>
      <c r="G414" s="172"/>
      <c r="H414" s="172"/>
      <c r="I414" s="172"/>
      <c r="J414" s="172"/>
      <c r="K414" s="172"/>
      <c r="L414" s="172"/>
      <c r="M414" s="172"/>
      <c r="N414" s="172"/>
      <c r="O414" s="172"/>
      <c r="P414" s="172"/>
      <c r="Q414" s="172"/>
      <c r="R414" s="172"/>
      <c r="S414" s="172"/>
      <c r="T414" s="172"/>
      <c r="U414" s="172"/>
      <c r="V414" s="172"/>
      <c r="W414" s="172"/>
      <c r="X414" s="172"/>
      <c r="Y414" s="172"/>
      <c r="Z414" s="172"/>
    </row>
    <row r="415" spans="1:26" ht="18.75">
      <c r="A415" s="172"/>
      <c r="B415" s="172"/>
      <c r="C415" s="172"/>
      <c r="D415" s="172"/>
      <c r="E415" s="172"/>
      <c r="F415" s="172"/>
      <c r="G415" s="172"/>
      <c r="H415" s="172"/>
      <c r="I415" s="172"/>
      <c r="J415" s="172"/>
      <c r="K415" s="172"/>
      <c r="L415" s="172"/>
      <c r="M415" s="172"/>
      <c r="N415" s="172"/>
      <c r="O415" s="172"/>
      <c r="P415" s="172"/>
      <c r="Q415" s="172"/>
      <c r="R415" s="172"/>
      <c r="S415" s="172"/>
      <c r="T415" s="172"/>
      <c r="U415" s="172"/>
      <c r="V415" s="172"/>
      <c r="W415" s="172"/>
      <c r="X415" s="172"/>
      <c r="Y415" s="172"/>
      <c r="Z415" s="172"/>
    </row>
    <row r="416" spans="1:26" ht="18.75">
      <c r="A416" s="430" t="s">
        <v>1013</v>
      </c>
      <c r="B416" s="405"/>
      <c r="C416" s="405"/>
      <c r="D416" s="405"/>
      <c r="E416" s="405"/>
      <c r="F416" s="405"/>
      <c r="G416" s="405"/>
      <c r="H416" s="405"/>
      <c r="I416" s="172"/>
      <c r="J416" s="172"/>
      <c r="K416" s="172"/>
      <c r="L416" s="172"/>
      <c r="M416" s="172"/>
      <c r="N416" s="172"/>
      <c r="O416" s="172"/>
      <c r="P416" s="172"/>
      <c r="Q416" s="172"/>
      <c r="R416" s="172"/>
      <c r="S416" s="172"/>
      <c r="T416" s="172"/>
      <c r="U416" s="172"/>
      <c r="V416" s="172"/>
      <c r="W416" s="172"/>
      <c r="X416" s="172"/>
      <c r="Y416" s="172"/>
      <c r="Z416" s="172"/>
    </row>
    <row r="417" spans="1:26" ht="18.75">
      <c r="A417" s="405"/>
      <c r="B417" s="405"/>
      <c r="C417" s="405"/>
      <c r="D417" s="405"/>
      <c r="E417" s="405"/>
      <c r="F417" s="405"/>
      <c r="G417" s="405"/>
      <c r="H417" s="405"/>
      <c r="I417" s="172"/>
      <c r="J417" s="172"/>
      <c r="K417" s="172"/>
      <c r="L417" s="172"/>
      <c r="M417" s="172"/>
      <c r="N417" s="172"/>
      <c r="O417" s="172"/>
      <c r="P417" s="172"/>
      <c r="Q417" s="172"/>
      <c r="R417" s="172"/>
      <c r="S417" s="172"/>
      <c r="T417" s="172"/>
      <c r="U417" s="172"/>
      <c r="V417" s="172"/>
      <c r="W417" s="172"/>
      <c r="X417" s="172"/>
      <c r="Y417" s="172"/>
      <c r="Z417" s="172"/>
    </row>
    <row r="418" spans="1:26" ht="18.75">
      <c r="A418" s="405"/>
      <c r="B418" s="405"/>
      <c r="C418" s="405"/>
      <c r="D418" s="405"/>
      <c r="E418" s="405"/>
      <c r="F418" s="405"/>
      <c r="G418" s="405"/>
      <c r="H418" s="405"/>
      <c r="I418" s="172"/>
      <c r="J418" s="172"/>
      <c r="K418" s="172"/>
      <c r="L418" s="172"/>
      <c r="M418" s="172"/>
      <c r="N418" s="172"/>
      <c r="O418" s="172"/>
      <c r="P418" s="172"/>
      <c r="Q418" s="172"/>
      <c r="R418" s="172"/>
      <c r="S418" s="172"/>
      <c r="T418" s="172"/>
      <c r="U418" s="172"/>
      <c r="V418" s="172"/>
      <c r="W418" s="172"/>
      <c r="X418" s="172"/>
      <c r="Y418" s="172"/>
      <c r="Z418" s="172"/>
    </row>
    <row r="419" spans="1:26" ht="18.75">
      <c r="A419" s="405"/>
      <c r="B419" s="405"/>
      <c r="C419" s="405"/>
      <c r="D419" s="405"/>
      <c r="E419" s="405"/>
      <c r="F419" s="405"/>
      <c r="G419" s="405"/>
      <c r="H419" s="405"/>
      <c r="I419" s="172"/>
      <c r="J419" s="172"/>
      <c r="K419" s="172"/>
      <c r="L419" s="172"/>
      <c r="M419" s="172"/>
      <c r="N419" s="172"/>
      <c r="O419" s="172"/>
      <c r="P419" s="172"/>
      <c r="Q419" s="172"/>
      <c r="R419" s="172"/>
      <c r="S419" s="172"/>
      <c r="T419" s="172"/>
      <c r="U419" s="172"/>
      <c r="V419" s="172"/>
      <c r="W419" s="172"/>
      <c r="X419" s="172"/>
      <c r="Y419" s="172"/>
      <c r="Z419" s="172"/>
    </row>
    <row r="420" spans="1:26" ht="18.75">
      <c r="A420" s="172" t="s">
        <v>48</v>
      </c>
      <c r="B420" s="172">
        <v>10</v>
      </c>
      <c r="C420" s="172"/>
      <c r="D420" s="172"/>
      <c r="E420" s="172"/>
      <c r="F420" s="172"/>
      <c r="G420" s="172"/>
      <c r="H420" s="172"/>
      <c r="I420" s="172"/>
      <c r="J420" s="172"/>
      <c r="K420" s="172"/>
      <c r="L420" s="172"/>
      <c r="M420" s="172"/>
      <c r="N420" s="172"/>
      <c r="O420" s="172"/>
      <c r="P420" s="172"/>
      <c r="Q420" s="172"/>
      <c r="R420" s="172"/>
      <c r="S420" s="172"/>
      <c r="T420" s="172"/>
      <c r="U420" s="172"/>
      <c r="V420" s="172"/>
      <c r="W420" s="172"/>
      <c r="X420" s="172"/>
      <c r="Y420" s="172"/>
      <c r="Z420" s="172"/>
    </row>
    <row r="421" spans="1:26" ht="18.75">
      <c r="A421" s="172" t="s">
        <v>919</v>
      </c>
      <c r="B421" s="173">
        <v>0.1</v>
      </c>
      <c r="C421" s="172"/>
      <c r="D421" s="172"/>
      <c r="E421" s="172"/>
      <c r="F421" s="172"/>
      <c r="G421" s="172"/>
      <c r="H421" s="172"/>
      <c r="I421" s="172"/>
      <c r="J421" s="172"/>
      <c r="K421" s="172"/>
      <c r="L421" s="172"/>
      <c r="M421" s="172"/>
      <c r="N421" s="172"/>
      <c r="O421" s="172"/>
      <c r="P421" s="172"/>
      <c r="Q421" s="172"/>
      <c r="R421" s="172"/>
      <c r="S421" s="172"/>
      <c r="T421" s="172"/>
      <c r="U421" s="172"/>
      <c r="V421" s="172"/>
      <c r="W421" s="172"/>
      <c r="X421" s="172"/>
      <c r="Y421" s="172"/>
      <c r="Z421" s="172"/>
    </row>
    <row r="422" spans="1:26" ht="18.75">
      <c r="A422" s="172" t="s">
        <v>920</v>
      </c>
      <c r="B422" s="173">
        <v>0.08</v>
      </c>
      <c r="C422" s="172"/>
      <c r="D422" s="172"/>
      <c r="E422" s="172"/>
      <c r="F422" s="172"/>
      <c r="G422" s="172"/>
      <c r="H422" s="172"/>
      <c r="I422" s="172"/>
      <c r="J422" s="172"/>
      <c r="K422" s="172"/>
      <c r="L422" s="172"/>
      <c r="M422" s="172"/>
      <c r="N422" s="172"/>
      <c r="O422" s="172"/>
      <c r="P422" s="172"/>
      <c r="Q422" s="172"/>
      <c r="R422" s="172"/>
      <c r="S422" s="172"/>
      <c r="T422" s="172"/>
      <c r="U422" s="172"/>
      <c r="V422" s="172"/>
      <c r="W422" s="172"/>
      <c r="X422" s="172"/>
      <c r="Y422" s="172"/>
      <c r="Z422" s="172"/>
    </row>
    <row r="423" spans="1:26" ht="18.75">
      <c r="A423" s="172" t="s">
        <v>370</v>
      </c>
      <c r="B423" s="179">
        <f>(1+B422)/B422-(B420*(B421-B422)+1+B422)/(B421*((1+B422)^B420-1)+B422)</f>
        <v>6.9658039394973574</v>
      </c>
      <c r="C423" s="172"/>
      <c r="D423" s="172"/>
      <c r="E423" s="172"/>
      <c r="F423" s="172"/>
      <c r="G423" s="172"/>
      <c r="H423" s="172"/>
      <c r="I423" s="172"/>
      <c r="J423" s="172"/>
      <c r="K423" s="172"/>
      <c r="L423" s="172"/>
      <c r="M423" s="172"/>
      <c r="N423" s="172"/>
      <c r="O423" s="172"/>
      <c r="P423" s="172"/>
      <c r="Q423" s="172"/>
      <c r="R423" s="172"/>
      <c r="S423" s="172"/>
      <c r="T423" s="172"/>
      <c r="U423" s="172"/>
      <c r="V423" s="172"/>
      <c r="W423" s="172"/>
      <c r="X423" s="172"/>
      <c r="Y423" s="172"/>
      <c r="Z423" s="172"/>
    </row>
    <row r="424" spans="1:26" ht="18.75">
      <c r="A424" s="172"/>
      <c r="B424" s="172"/>
      <c r="C424" s="172"/>
      <c r="D424" s="172"/>
      <c r="E424" s="172"/>
      <c r="F424" s="172"/>
      <c r="G424" s="172"/>
      <c r="H424" s="172"/>
      <c r="I424" s="172"/>
      <c r="J424" s="172"/>
      <c r="K424" s="172"/>
      <c r="L424" s="172"/>
      <c r="M424" s="172"/>
      <c r="N424" s="172"/>
      <c r="O424" s="172"/>
      <c r="P424" s="172"/>
      <c r="Q424" s="172"/>
      <c r="R424" s="172"/>
      <c r="S424" s="172"/>
      <c r="T424" s="172"/>
      <c r="U424" s="172"/>
      <c r="V424" s="172"/>
      <c r="W424" s="172"/>
      <c r="X424" s="172"/>
      <c r="Y424" s="172"/>
      <c r="Z424" s="172"/>
    </row>
    <row r="425" spans="1:26" ht="18.75">
      <c r="A425" s="430" t="s">
        <v>1014</v>
      </c>
      <c r="B425" s="405"/>
      <c r="C425" s="405"/>
      <c r="D425" s="405"/>
      <c r="E425" s="405"/>
      <c r="F425" s="405"/>
      <c r="G425" s="405"/>
      <c r="H425" s="405"/>
      <c r="I425" s="172"/>
      <c r="J425" s="172"/>
      <c r="K425" s="172"/>
      <c r="L425" s="172"/>
      <c r="M425" s="172"/>
      <c r="N425" s="172"/>
      <c r="O425" s="172"/>
      <c r="P425" s="172"/>
      <c r="Q425" s="172"/>
      <c r="R425" s="172"/>
      <c r="S425" s="172"/>
      <c r="T425" s="172"/>
      <c r="U425" s="172"/>
      <c r="V425" s="172"/>
      <c r="W425" s="172"/>
      <c r="X425" s="172"/>
      <c r="Y425" s="172"/>
      <c r="Z425" s="172"/>
    </row>
    <row r="426" spans="1:26" ht="18.75">
      <c r="A426" s="405"/>
      <c r="B426" s="405"/>
      <c r="C426" s="405"/>
      <c r="D426" s="405"/>
      <c r="E426" s="405"/>
      <c r="F426" s="405"/>
      <c r="G426" s="405"/>
      <c r="H426" s="405"/>
      <c r="I426" s="172"/>
      <c r="J426" s="172"/>
      <c r="K426" s="172"/>
      <c r="L426" s="172"/>
      <c r="M426" s="172"/>
      <c r="N426" s="172"/>
      <c r="O426" s="172"/>
      <c r="P426" s="172"/>
      <c r="Q426" s="172"/>
      <c r="R426" s="172"/>
      <c r="S426" s="172"/>
      <c r="T426" s="172"/>
      <c r="U426" s="172"/>
      <c r="V426" s="172"/>
      <c r="W426" s="172"/>
      <c r="X426" s="172"/>
      <c r="Y426" s="172"/>
      <c r="Z426" s="172"/>
    </row>
    <row r="427" spans="1:26" ht="18.75">
      <c r="A427" s="405"/>
      <c r="B427" s="405"/>
      <c r="C427" s="405"/>
      <c r="D427" s="405"/>
      <c r="E427" s="405"/>
      <c r="F427" s="405"/>
      <c r="G427" s="405"/>
      <c r="H427" s="405"/>
      <c r="I427" s="172"/>
      <c r="J427" s="172"/>
      <c r="K427" s="172"/>
      <c r="L427" s="172"/>
      <c r="M427" s="172"/>
      <c r="N427" s="172"/>
      <c r="O427" s="172"/>
      <c r="P427" s="172"/>
      <c r="Q427" s="172"/>
      <c r="R427" s="172"/>
      <c r="S427" s="172"/>
      <c r="T427" s="172"/>
      <c r="U427" s="172"/>
      <c r="V427" s="172"/>
      <c r="W427" s="172"/>
      <c r="X427" s="172"/>
      <c r="Y427" s="172"/>
      <c r="Z427" s="172"/>
    </row>
    <row r="428" spans="1:26" ht="18.75">
      <c r="A428" s="405"/>
      <c r="B428" s="405"/>
      <c r="C428" s="405"/>
      <c r="D428" s="405"/>
      <c r="E428" s="405"/>
      <c r="F428" s="405"/>
      <c r="G428" s="405"/>
      <c r="H428" s="405"/>
      <c r="I428" s="172"/>
      <c r="J428" s="172"/>
      <c r="K428" s="172"/>
      <c r="L428" s="172"/>
      <c r="M428" s="172"/>
      <c r="N428" s="172"/>
      <c r="O428" s="172"/>
      <c r="P428" s="172"/>
      <c r="Q428" s="172"/>
      <c r="R428" s="172"/>
      <c r="S428" s="172"/>
      <c r="T428" s="172"/>
      <c r="U428" s="172"/>
      <c r="V428" s="172"/>
      <c r="W428" s="172"/>
      <c r="X428" s="172"/>
      <c r="Y428" s="172"/>
      <c r="Z428" s="172"/>
    </row>
    <row r="429" spans="1:26" ht="18.75">
      <c r="A429" s="172" t="s">
        <v>370</v>
      </c>
      <c r="B429" s="172">
        <v>8</v>
      </c>
      <c r="C429" s="172"/>
      <c r="D429" s="172"/>
      <c r="E429" s="172"/>
      <c r="F429" s="172"/>
      <c r="G429" s="172"/>
      <c r="H429" s="172"/>
      <c r="I429" s="172"/>
      <c r="J429" s="172"/>
      <c r="K429" s="172"/>
      <c r="L429" s="172"/>
      <c r="M429" s="172"/>
      <c r="N429" s="172"/>
      <c r="O429" s="172"/>
      <c r="P429" s="172"/>
      <c r="Q429" s="172"/>
      <c r="R429" s="172"/>
      <c r="S429" s="172"/>
      <c r="T429" s="172"/>
      <c r="U429" s="172"/>
      <c r="V429" s="172"/>
      <c r="W429" s="172"/>
      <c r="X429" s="172"/>
      <c r="Y429" s="172"/>
      <c r="Z429" s="172"/>
    </row>
    <row r="430" spans="1:26" ht="18.75">
      <c r="A430" s="172" t="s">
        <v>922</v>
      </c>
      <c r="B430" s="173">
        <v>0.12</v>
      </c>
      <c r="C430" s="172"/>
      <c r="D430" s="172"/>
      <c r="E430" s="172"/>
      <c r="F430" s="172"/>
      <c r="G430" s="172"/>
      <c r="H430" s="172"/>
      <c r="I430" s="172"/>
      <c r="J430" s="172"/>
      <c r="K430" s="172"/>
      <c r="L430" s="172"/>
      <c r="M430" s="172"/>
      <c r="N430" s="172"/>
      <c r="O430" s="172"/>
      <c r="P430" s="172"/>
      <c r="Q430" s="172"/>
      <c r="R430" s="172"/>
      <c r="S430" s="172"/>
      <c r="T430" s="172"/>
      <c r="U430" s="172"/>
      <c r="V430" s="172"/>
      <c r="W430" s="172"/>
      <c r="X430" s="172"/>
      <c r="Y430" s="172"/>
      <c r="Z430" s="172"/>
    </row>
    <row r="431" spans="1:26" ht="18.75">
      <c r="A431" s="172" t="s">
        <v>923</v>
      </c>
      <c r="B431" s="177">
        <v>0.125</v>
      </c>
      <c r="C431" s="172"/>
      <c r="D431" s="172"/>
      <c r="E431" s="172"/>
      <c r="F431" s="172"/>
      <c r="G431" s="172"/>
      <c r="H431" s="172"/>
      <c r="I431" s="172"/>
      <c r="J431" s="172"/>
      <c r="K431" s="172"/>
      <c r="L431" s="172"/>
      <c r="M431" s="172"/>
      <c r="N431" s="172"/>
      <c r="O431" s="172"/>
      <c r="P431" s="172"/>
      <c r="Q431" s="172"/>
      <c r="R431" s="172"/>
      <c r="S431" s="172"/>
      <c r="T431" s="172"/>
      <c r="U431" s="172"/>
      <c r="V431" s="172"/>
      <c r="W431" s="172"/>
      <c r="X431" s="172"/>
      <c r="Y431" s="172"/>
      <c r="Z431" s="172"/>
    </row>
    <row r="432" spans="1:26" ht="18.75">
      <c r="A432" s="172" t="s">
        <v>924</v>
      </c>
      <c r="B432" s="178">
        <f>-B429/(1+B430)*(B431-B430)</f>
        <v>-3.571428571428574E-2</v>
      </c>
      <c r="C432" s="172"/>
      <c r="D432" s="172"/>
      <c r="E432" s="172"/>
      <c r="F432" s="172"/>
      <c r="G432" s="172"/>
      <c r="H432" s="172"/>
      <c r="I432" s="172"/>
      <c r="J432" s="172"/>
      <c r="K432" s="172"/>
      <c r="L432" s="172"/>
      <c r="M432" s="172"/>
      <c r="N432" s="172"/>
      <c r="O432" s="172"/>
      <c r="P432" s="172"/>
      <c r="Q432" s="172"/>
      <c r="R432" s="172"/>
      <c r="S432" s="172"/>
      <c r="T432" s="172"/>
      <c r="U432" s="172"/>
      <c r="V432" s="172"/>
      <c r="W432" s="172"/>
      <c r="X432" s="172"/>
      <c r="Y432" s="172"/>
      <c r="Z432" s="172"/>
    </row>
    <row r="433" spans="1:26" ht="18.75">
      <c r="A433" s="172"/>
      <c r="B433" s="172"/>
      <c r="C433" s="172"/>
      <c r="D433" s="172"/>
      <c r="E433" s="172"/>
      <c r="F433" s="172"/>
      <c r="G433" s="172"/>
      <c r="H433" s="172"/>
      <c r="I433" s="172"/>
      <c r="J433" s="172"/>
      <c r="K433" s="172"/>
      <c r="L433" s="172"/>
      <c r="M433" s="172"/>
      <c r="N433" s="172"/>
      <c r="O433" s="172"/>
      <c r="P433" s="172"/>
      <c r="Q433" s="172"/>
      <c r="R433" s="172"/>
      <c r="S433" s="172"/>
      <c r="T433" s="172"/>
      <c r="U433" s="172"/>
      <c r="V433" s="172"/>
      <c r="W433" s="172"/>
      <c r="X433" s="172"/>
      <c r="Y433" s="172"/>
      <c r="Z433" s="172"/>
    </row>
    <row r="434" spans="1:26" ht="18.75">
      <c r="A434" s="430" t="s">
        <v>1015</v>
      </c>
      <c r="B434" s="405"/>
      <c r="C434" s="405"/>
      <c r="D434" s="405"/>
      <c r="E434" s="405"/>
      <c r="F434" s="405"/>
      <c r="G434" s="405"/>
      <c r="H434" s="405"/>
      <c r="I434" s="172"/>
      <c r="J434" s="172"/>
      <c r="K434" s="172"/>
      <c r="L434" s="172"/>
      <c r="M434" s="172"/>
      <c r="N434" s="172"/>
      <c r="O434" s="172"/>
      <c r="P434" s="172"/>
      <c r="Q434" s="172"/>
      <c r="R434" s="172"/>
      <c r="S434" s="172"/>
      <c r="T434" s="172"/>
      <c r="U434" s="172"/>
      <c r="V434" s="172"/>
      <c r="W434" s="172"/>
      <c r="X434" s="172"/>
      <c r="Y434" s="172"/>
      <c r="Z434" s="172"/>
    </row>
    <row r="435" spans="1:26" ht="18.75">
      <c r="A435" s="405"/>
      <c r="B435" s="405"/>
      <c r="C435" s="405"/>
      <c r="D435" s="405"/>
      <c r="E435" s="405"/>
      <c r="F435" s="405"/>
      <c r="G435" s="405"/>
      <c r="H435" s="405"/>
      <c r="I435" s="172"/>
      <c r="J435" s="172"/>
      <c r="K435" s="172"/>
      <c r="L435" s="172"/>
      <c r="M435" s="172"/>
      <c r="N435" s="172"/>
      <c r="O435" s="172"/>
      <c r="P435" s="172"/>
      <c r="Q435" s="172"/>
      <c r="R435" s="172"/>
      <c r="S435" s="172"/>
      <c r="T435" s="172"/>
      <c r="U435" s="172"/>
      <c r="V435" s="172"/>
      <c r="W435" s="172"/>
      <c r="X435" s="172"/>
      <c r="Y435" s="172"/>
      <c r="Z435" s="172"/>
    </row>
    <row r="436" spans="1:26" ht="18.75">
      <c r="A436" s="405"/>
      <c r="B436" s="405"/>
      <c r="C436" s="405"/>
      <c r="D436" s="405"/>
      <c r="E436" s="405"/>
      <c r="F436" s="405"/>
      <c r="G436" s="405"/>
      <c r="H436" s="405"/>
      <c r="I436" s="172"/>
      <c r="J436" s="172"/>
      <c r="K436" s="172"/>
      <c r="L436" s="172"/>
      <c r="M436" s="172"/>
      <c r="N436" s="172"/>
      <c r="O436" s="172"/>
      <c r="P436" s="172"/>
      <c r="Q436" s="172"/>
      <c r="R436" s="172"/>
      <c r="S436" s="172"/>
      <c r="T436" s="172"/>
      <c r="U436" s="172"/>
      <c r="V436" s="172"/>
      <c r="W436" s="172"/>
      <c r="X436" s="172"/>
      <c r="Y436" s="172"/>
      <c r="Z436" s="172"/>
    </row>
    <row r="437" spans="1:26" ht="18.75">
      <c r="A437" s="405"/>
      <c r="B437" s="405"/>
      <c r="C437" s="405"/>
      <c r="D437" s="405"/>
      <c r="E437" s="405"/>
      <c r="F437" s="405"/>
      <c r="G437" s="405"/>
      <c r="H437" s="405"/>
      <c r="I437" s="172"/>
      <c r="J437" s="172"/>
      <c r="K437" s="172"/>
      <c r="L437" s="172"/>
      <c r="M437" s="172"/>
      <c r="N437" s="172"/>
      <c r="O437" s="172"/>
      <c r="P437" s="172"/>
      <c r="Q437" s="172"/>
      <c r="R437" s="172"/>
      <c r="S437" s="172"/>
      <c r="T437" s="172"/>
      <c r="U437" s="172"/>
      <c r="V437" s="172"/>
      <c r="W437" s="172"/>
      <c r="X437" s="172"/>
      <c r="Y437" s="172"/>
      <c r="Z437" s="172"/>
    </row>
    <row r="438" spans="1:26" ht="18.75">
      <c r="A438" s="172" t="s">
        <v>370</v>
      </c>
      <c r="B438" s="172">
        <v>5</v>
      </c>
      <c r="C438" s="172"/>
      <c r="D438" s="172"/>
      <c r="E438" s="172"/>
      <c r="F438" s="172"/>
      <c r="G438" s="172"/>
      <c r="H438" s="172"/>
      <c r="I438" s="172"/>
      <c r="J438" s="172"/>
      <c r="K438" s="172"/>
      <c r="L438" s="172"/>
      <c r="M438" s="172"/>
      <c r="N438" s="172"/>
      <c r="O438" s="172"/>
      <c r="P438" s="172"/>
      <c r="Q438" s="172"/>
      <c r="R438" s="172"/>
      <c r="S438" s="172"/>
      <c r="T438" s="172"/>
      <c r="U438" s="172"/>
      <c r="V438" s="172"/>
      <c r="W438" s="172"/>
      <c r="X438" s="172"/>
      <c r="Y438" s="172"/>
      <c r="Z438" s="172"/>
    </row>
    <row r="439" spans="1:26" ht="18.75">
      <c r="A439" s="172" t="s">
        <v>922</v>
      </c>
      <c r="B439" s="173">
        <v>7.0000000000000007E-2</v>
      </c>
      <c r="C439" s="172"/>
      <c r="D439" s="172"/>
      <c r="E439" s="172"/>
      <c r="F439" s="172"/>
      <c r="G439" s="172"/>
      <c r="H439" s="172"/>
      <c r="I439" s="172"/>
      <c r="J439" s="172"/>
      <c r="K439" s="172"/>
      <c r="L439" s="172"/>
      <c r="M439" s="172"/>
      <c r="N439" s="172"/>
      <c r="O439" s="172"/>
      <c r="P439" s="172"/>
      <c r="Q439" s="172"/>
      <c r="R439" s="172"/>
      <c r="S439" s="172"/>
      <c r="T439" s="172"/>
      <c r="U439" s="172"/>
      <c r="V439" s="172"/>
      <c r="W439" s="172"/>
      <c r="X439" s="172"/>
      <c r="Y439" s="172"/>
      <c r="Z439" s="172"/>
    </row>
    <row r="440" spans="1:26" ht="18.75">
      <c r="A440" s="172" t="s">
        <v>923</v>
      </c>
      <c r="B440" s="177">
        <v>0.08</v>
      </c>
      <c r="C440" s="172"/>
      <c r="D440" s="172"/>
      <c r="E440" s="172"/>
      <c r="F440" s="172"/>
      <c r="G440" s="172"/>
      <c r="H440" s="172"/>
      <c r="I440" s="172"/>
      <c r="J440" s="172"/>
      <c r="K440" s="172"/>
      <c r="L440" s="172"/>
      <c r="M440" s="172"/>
      <c r="N440" s="172"/>
      <c r="O440" s="172"/>
      <c r="P440" s="172"/>
      <c r="Q440" s="172"/>
      <c r="R440" s="172"/>
      <c r="S440" s="172"/>
      <c r="T440" s="172"/>
      <c r="U440" s="172"/>
      <c r="V440" s="172"/>
      <c r="W440" s="172"/>
      <c r="X440" s="172"/>
      <c r="Y440" s="172"/>
      <c r="Z440" s="172"/>
    </row>
    <row r="441" spans="1:26" ht="18.75">
      <c r="A441" s="172" t="s">
        <v>924</v>
      </c>
      <c r="B441" s="178">
        <f>-B438/(1+B439)*(B440-B439)</f>
        <v>-4.67289719626168E-2</v>
      </c>
      <c r="C441" s="172"/>
      <c r="D441" s="172"/>
      <c r="E441" s="172"/>
      <c r="F441" s="172"/>
      <c r="G441" s="172"/>
      <c r="H441" s="172"/>
      <c r="I441" s="172"/>
      <c r="J441" s="172"/>
      <c r="K441" s="172"/>
      <c r="L441" s="172"/>
      <c r="M441" s="172"/>
      <c r="N441" s="172"/>
      <c r="O441" s="172"/>
      <c r="P441" s="172"/>
      <c r="Q441" s="172"/>
      <c r="R441" s="172"/>
      <c r="S441" s="172"/>
      <c r="T441" s="172"/>
      <c r="U441" s="172"/>
      <c r="V441" s="172"/>
      <c r="W441" s="172"/>
      <c r="X441" s="172"/>
      <c r="Y441" s="172"/>
      <c r="Z441" s="172"/>
    </row>
    <row r="442" spans="1:26" ht="18.75">
      <c r="A442" s="172"/>
      <c r="B442" s="172"/>
      <c r="C442" s="172"/>
      <c r="D442" s="172"/>
      <c r="E442" s="172"/>
      <c r="F442" s="172"/>
      <c r="G442" s="172"/>
      <c r="H442" s="172"/>
      <c r="I442" s="172"/>
      <c r="J442" s="172"/>
      <c r="K442" s="172"/>
      <c r="L442" s="172"/>
      <c r="M442" s="172"/>
      <c r="N442" s="172"/>
      <c r="O442" s="172"/>
      <c r="P442" s="172"/>
      <c r="Q442" s="172"/>
      <c r="R442" s="172"/>
      <c r="S442" s="172"/>
      <c r="T442" s="172"/>
      <c r="U442" s="172"/>
      <c r="V442" s="172"/>
      <c r="W442" s="172"/>
      <c r="X442" s="172"/>
      <c r="Y442" s="172"/>
      <c r="Z442" s="172"/>
    </row>
    <row r="443" spans="1:26" ht="18.75">
      <c r="A443" s="430" t="s">
        <v>1016</v>
      </c>
      <c r="B443" s="405"/>
      <c r="C443" s="405"/>
      <c r="D443" s="405"/>
      <c r="E443" s="405"/>
      <c r="F443" s="405"/>
      <c r="G443" s="405"/>
      <c r="H443" s="405"/>
      <c r="I443" s="172"/>
      <c r="J443" s="172"/>
      <c r="K443" s="172"/>
      <c r="L443" s="172"/>
      <c r="M443" s="172"/>
      <c r="N443" s="172"/>
      <c r="O443" s="172"/>
      <c r="P443" s="172"/>
      <c r="Q443" s="172"/>
      <c r="R443" s="172"/>
      <c r="S443" s="172"/>
      <c r="T443" s="172"/>
      <c r="U443" s="172"/>
      <c r="V443" s="172"/>
      <c r="W443" s="172"/>
      <c r="X443" s="172"/>
      <c r="Y443" s="172"/>
      <c r="Z443" s="172"/>
    </row>
    <row r="444" spans="1:26" ht="18.75">
      <c r="A444" s="405"/>
      <c r="B444" s="405"/>
      <c r="C444" s="405"/>
      <c r="D444" s="405"/>
      <c r="E444" s="405"/>
      <c r="F444" s="405"/>
      <c r="G444" s="405"/>
      <c r="H444" s="405"/>
      <c r="I444" s="172"/>
      <c r="J444" s="172"/>
      <c r="K444" s="172"/>
      <c r="L444" s="172"/>
      <c r="M444" s="172"/>
      <c r="N444" s="172"/>
      <c r="O444" s="172"/>
      <c r="P444" s="172"/>
      <c r="Q444" s="172"/>
      <c r="R444" s="172"/>
      <c r="S444" s="172"/>
      <c r="T444" s="172"/>
      <c r="U444" s="172"/>
      <c r="V444" s="172"/>
      <c r="W444" s="172"/>
      <c r="X444" s="172"/>
      <c r="Y444" s="172"/>
      <c r="Z444" s="172"/>
    </row>
    <row r="445" spans="1:26" ht="18.75">
      <c r="A445" s="405"/>
      <c r="B445" s="405"/>
      <c r="C445" s="405"/>
      <c r="D445" s="405"/>
      <c r="E445" s="405"/>
      <c r="F445" s="405"/>
      <c r="G445" s="405"/>
      <c r="H445" s="405"/>
      <c r="I445" s="172"/>
      <c r="J445" s="172"/>
      <c r="K445" s="172"/>
      <c r="L445" s="172"/>
      <c r="M445" s="172"/>
      <c r="N445" s="172"/>
      <c r="O445" s="172"/>
      <c r="P445" s="172"/>
      <c r="Q445" s="172"/>
      <c r="R445" s="172"/>
      <c r="S445" s="172"/>
      <c r="T445" s="172"/>
      <c r="U445" s="172"/>
      <c r="V445" s="172"/>
      <c r="W445" s="172"/>
      <c r="X445" s="172"/>
      <c r="Y445" s="172"/>
      <c r="Z445" s="172"/>
    </row>
    <row r="446" spans="1:26" ht="18.75">
      <c r="A446" s="405"/>
      <c r="B446" s="405"/>
      <c r="C446" s="405"/>
      <c r="D446" s="405"/>
      <c r="E446" s="405"/>
      <c r="F446" s="405"/>
      <c r="G446" s="405"/>
      <c r="H446" s="405"/>
      <c r="I446" s="172"/>
      <c r="J446" s="172"/>
      <c r="K446" s="172"/>
      <c r="L446" s="172"/>
      <c r="M446" s="172"/>
      <c r="N446" s="172"/>
      <c r="O446" s="172"/>
      <c r="P446" s="172"/>
      <c r="Q446" s="172"/>
      <c r="R446" s="172"/>
      <c r="S446" s="172"/>
      <c r="T446" s="172"/>
      <c r="U446" s="172"/>
      <c r="V446" s="172"/>
      <c r="W446" s="172"/>
      <c r="X446" s="172"/>
      <c r="Y446" s="172"/>
      <c r="Z446" s="172"/>
    </row>
    <row r="447" spans="1:26" ht="18.75">
      <c r="A447" s="405"/>
      <c r="B447" s="405"/>
      <c r="C447" s="405"/>
      <c r="D447" s="405"/>
      <c r="E447" s="405"/>
      <c r="F447" s="405"/>
      <c r="G447" s="405"/>
      <c r="H447" s="405"/>
      <c r="I447" s="172"/>
      <c r="J447" s="172"/>
      <c r="K447" s="172"/>
      <c r="L447" s="172"/>
      <c r="M447" s="172"/>
      <c r="N447" s="172"/>
      <c r="O447" s="172"/>
      <c r="P447" s="172"/>
      <c r="Q447" s="172"/>
      <c r="R447" s="172"/>
      <c r="S447" s="172"/>
      <c r="T447" s="172"/>
      <c r="U447" s="172"/>
      <c r="V447" s="172"/>
      <c r="W447" s="172"/>
      <c r="X447" s="172"/>
      <c r="Y447" s="172"/>
      <c r="Z447" s="172"/>
    </row>
    <row r="448" spans="1:26" ht="18.75">
      <c r="A448" s="172" t="s">
        <v>48</v>
      </c>
      <c r="B448" s="172">
        <v>6</v>
      </c>
      <c r="C448" s="172"/>
      <c r="D448" s="172"/>
      <c r="E448" s="172"/>
      <c r="F448" s="172"/>
      <c r="G448" s="172"/>
      <c r="H448" s="172"/>
      <c r="I448" s="172"/>
      <c r="J448" s="172"/>
      <c r="K448" s="172"/>
      <c r="L448" s="172"/>
      <c r="M448" s="172"/>
      <c r="N448" s="172"/>
      <c r="O448" s="172"/>
      <c r="P448" s="172"/>
      <c r="Q448" s="172"/>
      <c r="R448" s="172"/>
      <c r="S448" s="172"/>
      <c r="T448" s="172"/>
      <c r="U448" s="172"/>
      <c r="V448" s="172"/>
      <c r="W448" s="172"/>
      <c r="X448" s="172"/>
      <c r="Y448" s="172"/>
      <c r="Z448" s="172"/>
    </row>
    <row r="449" spans="1:26" ht="18.75">
      <c r="A449" s="172" t="s">
        <v>938</v>
      </c>
      <c r="B449" s="172">
        <v>1000</v>
      </c>
      <c r="C449" s="172"/>
      <c r="D449" s="172"/>
      <c r="E449" s="172"/>
      <c r="F449" s="172"/>
      <c r="G449" s="172"/>
      <c r="H449" s="172"/>
      <c r="I449" s="172"/>
      <c r="J449" s="172"/>
      <c r="K449" s="172"/>
      <c r="L449" s="172"/>
      <c r="M449" s="172"/>
      <c r="N449" s="172"/>
      <c r="O449" s="172"/>
      <c r="P449" s="172"/>
      <c r="Q449" s="172"/>
      <c r="R449" s="172"/>
      <c r="S449" s="172"/>
      <c r="T449" s="172"/>
      <c r="U449" s="172"/>
      <c r="V449" s="172"/>
      <c r="W449" s="172"/>
      <c r="X449" s="172"/>
      <c r="Y449" s="172"/>
      <c r="Z449" s="172"/>
    </row>
    <row r="450" spans="1:26" ht="18.75">
      <c r="A450" s="172" t="s">
        <v>919</v>
      </c>
      <c r="B450" s="173">
        <v>0.11</v>
      </c>
      <c r="C450" s="172"/>
      <c r="D450" s="172"/>
      <c r="E450" s="172"/>
      <c r="F450" s="172"/>
      <c r="G450" s="172"/>
      <c r="H450" s="172"/>
      <c r="I450" s="172"/>
      <c r="J450" s="172"/>
      <c r="K450" s="172"/>
      <c r="L450" s="172"/>
      <c r="M450" s="172"/>
      <c r="N450" s="172"/>
      <c r="O450" s="172"/>
      <c r="P450" s="172"/>
      <c r="Q450" s="172"/>
      <c r="R450" s="172"/>
      <c r="S450" s="172"/>
      <c r="T450" s="172"/>
      <c r="U450" s="172"/>
      <c r="V450" s="172"/>
      <c r="W450" s="172"/>
      <c r="X450" s="172"/>
      <c r="Y450" s="172"/>
      <c r="Z450" s="172"/>
    </row>
    <row r="451" spans="1:26" ht="18.75">
      <c r="A451" s="172" t="s">
        <v>790</v>
      </c>
      <c r="B451" s="172">
        <v>800</v>
      </c>
      <c r="C451" s="172"/>
      <c r="D451" s="172"/>
      <c r="E451" s="172"/>
      <c r="F451" s="172"/>
      <c r="G451" s="172"/>
      <c r="H451" s="172"/>
      <c r="I451" s="172"/>
      <c r="J451" s="172"/>
      <c r="K451" s="172"/>
      <c r="L451" s="172"/>
      <c r="M451" s="172"/>
      <c r="N451" s="172"/>
      <c r="O451" s="172"/>
      <c r="P451" s="172"/>
      <c r="Q451" s="172"/>
      <c r="R451" s="172"/>
      <c r="S451" s="172"/>
      <c r="T451" s="172"/>
      <c r="U451" s="172"/>
      <c r="V451" s="172"/>
      <c r="W451" s="172"/>
      <c r="X451" s="172"/>
      <c r="Y451" s="172"/>
      <c r="Z451" s="172"/>
    </row>
    <row r="452" spans="1:26" ht="18.75">
      <c r="A452" s="172" t="s">
        <v>983</v>
      </c>
      <c r="B452" s="172">
        <f>B451/B449</f>
        <v>0.8</v>
      </c>
      <c r="C452" s="172"/>
      <c r="D452" s="172"/>
      <c r="E452" s="172"/>
      <c r="F452" s="172"/>
      <c r="G452" s="172"/>
      <c r="H452" s="172"/>
      <c r="I452" s="172"/>
      <c r="J452" s="172"/>
      <c r="K452" s="172"/>
      <c r="L452" s="172"/>
      <c r="M452" s="172"/>
      <c r="N452" s="172"/>
      <c r="O452" s="172"/>
      <c r="P452" s="172"/>
      <c r="Q452" s="172"/>
      <c r="R452" s="172"/>
      <c r="S452" s="172"/>
      <c r="T452" s="172"/>
      <c r="U452" s="172"/>
      <c r="V452" s="172"/>
      <c r="W452" s="172"/>
      <c r="X452" s="172"/>
      <c r="Y452" s="172"/>
      <c r="Z452" s="172"/>
    </row>
    <row r="453" spans="1:26" ht="18.75">
      <c r="A453" s="172" t="s">
        <v>920</v>
      </c>
      <c r="B453" s="178">
        <f>2*($B450*$B448+1-B452)/(B452-1+$B448*(1+B452))</f>
        <v>0.16226415094339622</v>
      </c>
      <c r="C453" s="172"/>
      <c r="D453" s="172"/>
      <c r="E453" s="172"/>
      <c r="F453" s="172"/>
      <c r="G453" s="172"/>
      <c r="H453" s="172"/>
      <c r="I453" s="172"/>
      <c r="J453" s="172"/>
      <c r="K453" s="172"/>
      <c r="L453" s="172"/>
      <c r="M453" s="172"/>
      <c r="N453" s="172"/>
      <c r="O453" s="172"/>
      <c r="P453" s="172"/>
      <c r="Q453" s="172"/>
      <c r="R453" s="172"/>
      <c r="S453" s="172"/>
      <c r="T453" s="172"/>
      <c r="U453" s="172"/>
      <c r="V453" s="172"/>
      <c r="W453" s="172"/>
      <c r="X453" s="172"/>
      <c r="Y453" s="172"/>
      <c r="Z453" s="172"/>
    </row>
    <row r="454" spans="1:26" ht="18.75">
      <c r="A454" s="172"/>
      <c r="B454" s="172"/>
      <c r="C454" s="172"/>
      <c r="D454" s="172"/>
      <c r="E454" s="172"/>
      <c r="F454" s="172"/>
      <c r="G454" s="172"/>
      <c r="H454" s="172"/>
      <c r="I454" s="172"/>
      <c r="J454" s="172"/>
      <c r="K454" s="172"/>
      <c r="L454" s="172"/>
      <c r="M454" s="172"/>
      <c r="N454" s="172"/>
      <c r="O454" s="172"/>
      <c r="P454" s="172"/>
      <c r="Q454" s="172"/>
      <c r="R454" s="172"/>
      <c r="S454" s="172"/>
      <c r="T454" s="172"/>
      <c r="U454" s="172"/>
      <c r="V454" s="172"/>
      <c r="W454" s="172"/>
      <c r="X454" s="172"/>
      <c r="Y454" s="172"/>
      <c r="Z454" s="172"/>
    </row>
    <row r="455" spans="1:26" ht="18.75">
      <c r="A455" s="430" t="s">
        <v>1017</v>
      </c>
      <c r="B455" s="405"/>
      <c r="C455" s="405"/>
      <c r="D455" s="405"/>
      <c r="E455" s="405"/>
      <c r="F455" s="405"/>
      <c r="G455" s="405"/>
      <c r="H455" s="405"/>
      <c r="I455" s="172"/>
      <c r="J455" s="172"/>
      <c r="K455" s="172"/>
      <c r="L455" s="172"/>
      <c r="M455" s="172"/>
      <c r="N455" s="172"/>
      <c r="O455" s="172"/>
      <c r="P455" s="172"/>
      <c r="Q455" s="172"/>
      <c r="R455" s="172"/>
      <c r="S455" s="172"/>
      <c r="T455" s="172"/>
      <c r="U455" s="172"/>
      <c r="V455" s="172"/>
      <c r="W455" s="172"/>
      <c r="X455" s="172"/>
      <c r="Y455" s="172"/>
      <c r="Z455" s="172"/>
    </row>
    <row r="456" spans="1:26" ht="18.75">
      <c r="A456" s="405"/>
      <c r="B456" s="405"/>
      <c r="C456" s="405"/>
      <c r="D456" s="405"/>
      <c r="E456" s="405"/>
      <c r="F456" s="405"/>
      <c r="G456" s="405"/>
      <c r="H456" s="405"/>
      <c r="I456" s="172"/>
      <c r="J456" s="172"/>
      <c r="K456" s="172"/>
      <c r="L456" s="172"/>
      <c r="M456" s="172"/>
      <c r="N456" s="172"/>
      <c r="O456" s="172"/>
      <c r="P456" s="172"/>
      <c r="Q456" s="172"/>
      <c r="R456" s="172"/>
      <c r="S456" s="172"/>
      <c r="T456" s="172"/>
      <c r="U456" s="172"/>
      <c r="V456" s="172"/>
      <c r="W456" s="172"/>
      <c r="X456" s="172"/>
      <c r="Y456" s="172"/>
      <c r="Z456" s="172"/>
    </row>
    <row r="457" spans="1:26" ht="18.75">
      <c r="A457" s="405"/>
      <c r="B457" s="405"/>
      <c r="C457" s="405"/>
      <c r="D457" s="405"/>
      <c r="E457" s="405"/>
      <c r="F457" s="405"/>
      <c r="G457" s="405"/>
      <c r="H457" s="405"/>
      <c r="I457" s="172"/>
      <c r="J457" s="172"/>
      <c r="K457" s="172"/>
      <c r="L457" s="172"/>
      <c r="M457" s="172"/>
      <c r="N457" s="172"/>
      <c r="O457" s="172"/>
      <c r="P457" s="172"/>
      <c r="Q457" s="172"/>
      <c r="R457" s="172"/>
      <c r="S457" s="172"/>
      <c r="T457" s="172"/>
      <c r="U457" s="172"/>
      <c r="V457" s="172"/>
      <c r="W457" s="172"/>
      <c r="X457" s="172"/>
      <c r="Y457" s="172"/>
      <c r="Z457" s="172"/>
    </row>
    <row r="458" spans="1:26" ht="18.75">
      <c r="A458" s="405"/>
      <c r="B458" s="405"/>
      <c r="C458" s="405"/>
      <c r="D458" s="405"/>
      <c r="E458" s="405"/>
      <c r="F458" s="405"/>
      <c r="G458" s="405"/>
      <c r="H458" s="405"/>
      <c r="I458" s="172"/>
      <c r="J458" s="172"/>
      <c r="K458" s="172"/>
      <c r="L458" s="172"/>
      <c r="M458" s="172"/>
      <c r="N458" s="172"/>
      <c r="O458" s="172"/>
      <c r="P458" s="172"/>
      <c r="Q458" s="172"/>
      <c r="R458" s="172"/>
      <c r="S458" s="172"/>
      <c r="T458" s="172"/>
      <c r="U458" s="172"/>
      <c r="V458" s="172"/>
      <c r="W458" s="172"/>
      <c r="X458" s="172"/>
      <c r="Y458" s="172"/>
      <c r="Z458" s="172"/>
    </row>
    <row r="459" spans="1:26" ht="18.75">
      <c r="A459" s="172" t="s">
        <v>48</v>
      </c>
      <c r="B459" s="172">
        <v>5</v>
      </c>
      <c r="C459" s="172"/>
      <c r="D459" s="172"/>
      <c r="E459" s="172"/>
      <c r="F459" s="172"/>
      <c r="G459" s="172"/>
      <c r="H459" s="172"/>
      <c r="I459" s="172"/>
      <c r="J459" s="172"/>
      <c r="K459" s="172"/>
      <c r="L459" s="172"/>
      <c r="M459" s="172"/>
      <c r="N459" s="172"/>
      <c r="O459" s="172"/>
      <c r="P459" s="172"/>
      <c r="Q459" s="172"/>
      <c r="R459" s="172"/>
      <c r="S459" s="172"/>
      <c r="T459" s="172"/>
      <c r="U459" s="172"/>
      <c r="V459" s="172"/>
      <c r="W459" s="172"/>
      <c r="X459" s="172"/>
      <c r="Y459" s="172"/>
      <c r="Z459" s="172"/>
    </row>
    <row r="460" spans="1:26" ht="18.75">
      <c r="A460" s="172" t="s">
        <v>938</v>
      </c>
      <c r="B460" s="172">
        <v>2000</v>
      </c>
      <c r="C460" s="172"/>
      <c r="D460" s="172"/>
      <c r="E460" s="172"/>
      <c r="F460" s="172"/>
      <c r="G460" s="172"/>
      <c r="H460" s="172"/>
      <c r="I460" s="172"/>
      <c r="J460" s="172"/>
      <c r="K460" s="172"/>
      <c r="L460" s="172"/>
      <c r="M460" s="172"/>
      <c r="N460" s="172"/>
      <c r="O460" s="172"/>
      <c r="P460" s="172"/>
      <c r="Q460" s="172"/>
      <c r="R460" s="172"/>
      <c r="S460" s="172"/>
      <c r="T460" s="172"/>
      <c r="U460" s="172"/>
      <c r="V460" s="172"/>
      <c r="W460" s="172"/>
      <c r="X460" s="172"/>
      <c r="Y460" s="172"/>
      <c r="Z460" s="172"/>
    </row>
    <row r="461" spans="1:26" ht="18.75">
      <c r="A461" s="172" t="s">
        <v>919</v>
      </c>
      <c r="B461" s="173">
        <v>0.1</v>
      </c>
      <c r="C461" s="172"/>
      <c r="D461" s="172"/>
      <c r="E461" s="172"/>
      <c r="F461" s="172"/>
      <c r="G461" s="172"/>
      <c r="H461" s="172"/>
      <c r="I461" s="172"/>
      <c r="J461" s="172"/>
      <c r="K461" s="172"/>
      <c r="L461" s="172"/>
      <c r="M461" s="172"/>
      <c r="N461" s="172"/>
      <c r="O461" s="172"/>
      <c r="P461" s="172"/>
      <c r="Q461" s="172"/>
      <c r="R461" s="172"/>
      <c r="S461" s="172"/>
      <c r="T461" s="172"/>
      <c r="U461" s="172"/>
      <c r="V461" s="172"/>
      <c r="W461" s="172"/>
      <c r="X461" s="172"/>
      <c r="Y461" s="172"/>
      <c r="Z461" s="172"/>
    </row>
    <row r="462" spans="1:26" ht="18.75">
      <c r="A462" s="172" t="s">
        <v>790</v>
      </c>
      <c r="B462" s="172">
        <v>1900</v>
      </c>
      <c r="C462" s="172"/>
      <c r="D462" s="172"/>
      <c r="E462" s="172"/>
      <c r="F462" s="172"/>
      <c r="G462" s="172"/>
      <c r="H462" s="172"/>
      <c r="I462" s="172"/>
      <c r="J462" s="172"/>
      <c r="K462" s="172"/>
      <c r="L462" s="172"/>
      <c r="M462" s="172"/>
      <c r="N462" s="172"/>
      <c r="O462" s="172"/>
      <c r="P462" s="172"/>
      <c r="Q462" s="172"/>
      <c r="R462" s="172"/>
      <c r="S462" s="172"/>
      <c r="T462" s="172"/>
      <c r="U462" s="172"/>
      <c r="V462" s="172"/>
      <c r="W462" s="172"/>
      <c r="X462" s="172"/>
      <c r="Y462" s="172"/>
      <c r="Z462" s="172"/>
    </row>
    <row r="463" spans="1:26" ht="18.75">
      <c r="A463" s="172" t="s">
        <v>983</v>
      </c>
      <c r="B463" s="172">
        <f>B462/B460</f>
        <v>0.95</v>
      </c>
      <c r="C463" s="172"/>
      <c r="D463" s="172"/>
      <c r="E463" s="172"/>
      <c r="F463" s="172"/>
      <c r="G463" s="172"/>
      <c r="H463" s="172"/>
      <c r="I463" s="172"/>
      <c r="J463" s="172"/>
      <c r="K463" s="172"/>
      <c r="L463" s="172"/>
      <c r="M463" s="172"/>
      <c r="N463" s="172"/>
      <c r="O463" s="172"/>
      <c r="P463" s="172"/>
      <c r="Q463" s="172"/>
      <c r="R463" s="172"/>
      <c r="S463" s="172"/>
      <c r="T463" s="172"/>
      <c r="U463" s="172"/>
      <c r="V463" s="172"/>
      <c r="W463" s="172"/>
      <c r="X463" s="172"/>
      <c r="Y463" s="172"/>
      <c r="Z463" s="172"/>
    </row>
    <row r="464" spans="1:26" ht="18.75">
      <c r="A464" s="172" t="s">
        <v>920</v>
      </c>
      <c r="B464" s="178">
        <f>2*($B461*$B459+1-B463)/(B463-1+$B459*(1+B463))</f>
        <v>0.11340206185567012</v>
      </c>
      <c r="C464" s="172"/>
      <c r="D464" s="172"/>
      <c r="E464" s="172"/>
      <c r="F464" s="172"/>
      <c r="G464" s="172"/>
      <c r="H464" s="172"/>
      <c r="I464" s="172"/>
      <c r="J464" s="172"/>
      <c r="K464" s="172"/>
      <c r="L464" s="172"/>
      <c r="M464" s="172"/>
      <c r="N464" s="172"/>
      <c r="O464" s="172"/>
      <c r="P464" s="172"/>
      <c r="Q464" s="172"/>
      <c r="R464" s="172"/>
      <c r="S464" s="172"/>
      <c r="T464" s="172"/>
      <c r="U464" s="172"/>
      <c r="V464" s="172"/>
      <c r="W464" s="172"/>
      <c r="X464" s="172"/>
      <c r="Y464" s="172"/>
      <c r="Z464" s="172"/>
    </row>
    <row r="465" spans="1:26" ht="18.75">
      <c r="A465" s="172"/>
      <c r="B465" s="172"/>
      <c r="C465" s="172"/>
      <c r="D465" s="172"/>
      <c r="E465" s="172"/>
      <c r="F465" s="172"/>
      <c r="G465" s="172"/>
      <c r="H465" s="172"/>
      <c r="I465" s="172"/>
      <c r="J465" s="172"/>
      <c r="K465" s="172"/>
      <c r="L465" s="172"/>
      <c r="M465" s="172"/>
      <c r="N465" s="172"/>
      <c r="O465" s="172"/>
      <c r="P465" s="172"/>
      <c r="Q465" s="172"/>
      <c r="R465" s="172"/>
      <c r="S465" s="172"/>
      <c r="T465" s="172"/>
      <c r="U465" s="172"/>
      <c r="V465" s="172"/>
      <c r="W465" s="172"/>
      <c r="X465" s="172"/>
      <c r="Y465" s="172"/>
      <c r="Z465" s="172"/>
    </row>
    <row r="466" spans="1:26" ht="18.75">
      <c r="A466" s="430" t="s">
        <v>1018</v>
      </c>
      <c r="B466" s="405"/>
      <c r="C466" s="405"/>
      <c r="D466" s="405"/>
      <c r="E466" s="405"/>
      <c r="F466" s="405"/>
      <c r="G466" s="405"/>
      <c r="H466" s="405"/>
      <c r="I466" s="172"/>
      <c r="J466" s="172"/>
      <c r="K466" s="172"/>
      <c r="L466" s="172"/>
      <c r="M466" s="172"/>
      <c r="N466" s="172"/>
      <c r="O466" s="172"/>
      <c r="P466" s="172"/>
      <c r="Q466" s="172"/>
      <c r="R466" s="172"/>
      <c r="S466" s="172"/>
      <c r="T466" s="172"/>
      <c r="U466" s="172"/>
      <c r="V466" s="172"/>
      <c r="W466" s="172"/>
      <c r="X466" s="172"/>
      <c r="Y466" s="172"/>
      <c r="Z466" s="172"/>
    </row>
    <row r="467" spans="1:26" ht="18.75">
      <c r="A467" s="405"/>
      <c r="B467" s="405"/>
      <c r="C467" s="405"/>
      <c r="D467" s="405"/>
      <c r="E467" s="405"/>
      <c r="F467" s="405"/>
      <c r="G467" s="405"/>
      <c r="H467" s="405"/>
      <c r="I467" s="172"/>
      <c r="J467" s="172"/>
      <c r="K467" s="172"/>
      <c r="L467" s="172"/>
      <c r="M467" s="172"/>
      <c r="N467" s="172"/>
      <c r="O467" s="172"/>
      <c r="P467" s="172"/>
      <c r="Q467" s="172"/>
      <c r="R467" s="172"/>
      <c r="S467" s="172"/>
      <c r="T467" s="172"/>
      <c r="U467" s="172"/>
      <c r="V467" s="172"/>
      <c r="W467" s="172"/>
      <c r="X467" s="172"/>
      <c r="Y467" s="172"/>
      <c r="Z467" s="172"/>
    </row>
    <row r="468" spans="1:26" ht="18.75">
      <c r="A468" s="405"/>
      <c r="B468" s="405"/>
      <c r="C468" s="405"/>
      <c r="D468" s="405"/>
      <c r="E468" s="405"/>
      <c r="F468" s="405"/>
      <c r="G468" s="405"/>
      <c r="H468" s="405"/>
      <c r="I468" s="172"/>
      <c r="J468" s="172"/>
      <c r="K468" s="172"/>
      <c r="L468" s="172"/>
      <c r="M468" s="172"/>
      <c r="N468" s="172"/>
      <c r="O468" s="172"/>
      <c r="P468" s="172"/>
      <c r="Q468" s="172"/>
      <c r="R468" s="172"/>
      <c r="S468" s="172"/>
      <c r="T468" s="172"/>
      <c r="U468" s="172"/>
      <c r="V468" s="172"/>
      <c r="W468" s="172"/>
      <c r="X468" s="172"/>
      <c r="Y468" s="172"/>
      <c r="Z468" s="172"/>
    </row>
    <row r="469" spans="1:26" ht="18.75">
      <c r="A469" s="405"/>
      <c r="B469" s="405"/>
      <c r="C469" s="405"/>
      <c r="D469" s="405"/>
      <c r="E469" s="405"/>
      <c r="F469" s="405"/>
      <c r="G469" s="405"/>
      <c r="H469" s="405"/>
      <c r="I469" s="172"/>
      <c r="J469" s="172"/>
      <c r="K469" s="172"/>
      <c r="L469" s="172"/>
      <c r="M469" s="172"/>
      <c r="N469" s="172"/>
      <c r="O469" s="172"/>
      <c r="P469" s="172"/>
      <c r="Q469" s="172"/>
      <c r="R469" s="172"/>
      <c r="S469" s="172"/>
      <c r="T469" s="172"/>
      <c r="U469" s="172"/>
      <c r="V469" s="172"/>
      <c r="W469" s="172"/>
      <c r="X469" s="172"/>
      <c r="Y469" s="172"/>
      <c r="Z469" s="172"/>
    </row>
    <row r="470" spans="1:26" ht="18.75">
      <c r="A470" s="405"/>
      <c r="B470" s="405"/>
      <c r="C470" s="405"/>
      <c r="D470" s="405"/>
      <c r="E470" s="405"/>
      <c r="F470" s="405"/>
      <c r="G470" s="405"/>
      <c r="H470" s="405"/>
      <c r="I470" s="172"/>
      <c r="J470" s="172"/>
      <c r="K470" s="172"/>
      <c r="L470" s="172"/>
      <c r="M470" s="172"/>
      <c r="N470" s="172"/>
      <c r="O470" s="172"/>
      <c r="P470" s="172"/>
      <c r="Q470" s="172"/>
      <c r="R470" s="172"/>
      <c r="S470" s="172"/>
      <c r="T470" s="172"/>
      <c r="U470" s="172"/>
      <c r="V470" s="172"/>
      <c r="W470" s="172"/>
      <c r="X470" s="172"/>
      <c r="Y470" s="172"/>
      <c r="Z470" s="172"/>
    </row>
    <row r="471" spans="1:26" ht="18.75">
      <c r="A471" s="172" t="s">
        <v>370</v>
      </c>
      <c r="B471" s="172">
        <v>8</v>
      </c>
      <c r="C471" s="172"/>
      <c r="D471" s="172"/>
      <c r="E471" s="172"/>
      <c r="F471" s="172"/>
      <c r="G471" s="172"/>
      <c r="H471" s="172"/>
      <c r="I471" s="172"/>
      <c r="J471" s="172"/>
      <c r="K471" s="172"/>
      <c r="L471" s="172"/>
      <c r="M471" s="172"/>
      <c r="N471" s="172"/>
      <c r="O471" s="172"/>
      <c r="P471" s="172"/>
      <c r="Q471" s="172"/>
      <c r="R471" s="172"/>
      <c r="S471" s="172"/>
      <c r="T471" s="172"/>
      <c r="U471" s="172"/>
      <c r="V471" s="172"/>
      <c r="W471" s="172"/>
      <c r="X471" s="172"/>
      <c r="Y471" s="172"/>
      <c r="Z471" s="172"/>
    </row>
    <row r="472" spans="1:26" ht="18.75">
      <c r="A472" s="172" t="s">
        <v>922</v>
      </c>
      <c r="B472" s="173">
        <v>0.06</v>
      </c>
      <c r="C472" s="172"/>
      <c r="D472" s="172"/>
      <c r="E472" s="172"/>
      <c r="F472" s="172"/>
      <c r="G472" s="172"/>
      <c r="H472" s="172"/>
      <c r="I472" s="172"/>
      <c r="J472" s="172"/>
      <c r="K472" s="172"/>
      <c r="L472" s="172"/>
      <c r="M472" s="172"/>
      <c r="N472" s="172"/>
      <c r="O472" s="172"/>
      <c r="P472" s="172"/>
      <c r="Q472" s="172"/>
      <c r="R472" s="172"/>
      <c r="S472" s="172"/>
      <c r="T472" s="172"/>
      <c r="U472" s="172"/>
      <c r="V472" s="172"/>
      <c r="W472" s="172"/>
      <c r="X472" s="172"/>
      <c r="Y472" s="172"/>
      <c r="Z472" s="172"/>
    </row>
    <row r="473" spans="1:26" ht="18.75">
      <c r="A473" s="172" t="s">
        <v>923</v>
      </c>
      <c r="B473" s="177">
        <v>7.0000000000000007E-2</v>
      </c>
      <c r="C473" s="172"/>
      <c r="D473" s="172"/>
      <c r="E473" s="172"/>
      <c r="F473" s="172"/>
      <c r="G473" s="172"/>
      <c r="H473" s="172"/>
      <c r="I473" s="172"/>
      <c r="J473" s="172"/>
      <c r="K473" s="172"/>
      <c r="L473" s="172"/>
      <c r="M473" s="172"/>
      <c r="N473" s="172"/>
      <c r="O473" s="172"/>
      <c r="P473" s="172"/>
      <c r="Q473" s="172"/>
      <c r="R473" s="172"/>
      <c r="S473" s="172"/>
      <c r="T473" s="172"/>
      <c r="U473" s="172"/>
      <c r="V473" s="172"/>
      <c r="W473" s="172"/>
      <c r="X473" s="172"/>
      <c r="Y473" s="172"/>
      <c r="Z473" s="172"/>
    </row>
    <row r="474" spans="1:26" ht="18.75">
      <c r="A474" s="172" t="s">
        <v>924</v>
      </c>
      <c r="B474" s="177">
        <f>-B471/(1+B472)*(B473-B472)</f>
        <v>-7.54716981132076E-2</v>
      </c>
      <c r="C474" s="172"/>
      <c r="D474" s="172"/>
      <c r="E474" s="172"/>
      <c r="F474" s="172"/>
      <c r="G474" s="172"/>
      <c r="H474" s="172"/>
      <c r="I474" s="172"/>
      <c r="J474" s="172"/>
      <c r="K474" s="172"/>
      <c r="L474" s="172"/>
      <c r="M474" s="172"/>
      <c r="N474" s="172"/>
      <c r="O474" s="172"/>
      <c r="P474" s="172"/>
      <c r="Q474" s="172"/>
      <c r="R474" s="172"/>
      <c r="S474" s="172"/>
      <c r="T474" s="172"/>
      <c r="U474" s="172"/>
      <c r="V474" s="172"/>
      <c r="W474" s="172"/>
      <c r="X474" s="172"/>
      <c r="Y474" s="172"/>
      <c r="Z474" s="172"/>
    </row>
    <row r="475" spans="1:26" ht="18.75">
      <c r="A475" s="172" t="s">
        <v>987</v>
      </c>
      <c r="B475" s="172">
        <v>2000</v>
      </c>
      <c r="C475" s="172"/>
      <c r="D475" s="172"/>
      <c r="E475" s="172"/>
      <c r="F475" s="172"/>
      <c r="G475" s="172"/>
      <c r="H475" s="172"/>
      <c r="I475" s="172"/>
      <c r="J475" s="172"/>
      <c r="K475" s="172"/>
      <c r="L475" s="172"/>
      <c r="M475" s="172"/>
      <c r="N475" s="172"/>
      <c r="O475" s="172"/>
      <c r="P475" s="172"/>
      <c r="Q475" s="172"/>
      <c r="R475" s="172"/>
      <c r="S475" s="172"/>
      <c r="T475" s="172"/>
      <c r="U475" s="172"/>
      <c r="V475" s="172"/>
      <c r="W475" s="172"/>
      <c r="X475" s="172"/>
      <c r="Y475" s="172"/>
      <c r="Z475" s="172"/>
    </row>
    <row r="476" spans="1:26" ht="18.75">
      <c r="A476" s="172" t="s">
        <v>988</v>
      </c>
      <c r="B476" s="174">
        <f>B475*(1+B474)</f>
        <v>1849.0566037735848</v>
      </c>
      <c r="C476" s="172"/>
      <c r="D476" s="172"/>
      <c r="E476" s="172"/>
      <c r="F476" s="172"/>
      <c r="G476" s="172"/>
      <c r="H476" s="172"/>
      <c r="I476" s="172"/>
      <c r="J476" s="172"/>
      <c r="K476" s="172"/>
      <c r="L476" s="172"/>
      <c r="M476" s="172"/>
      <c r="N476" s="172"/>
      <c r="O476" s="172"/>
      <c r="P476" s="172"/>
      <c r="Q476" s="172"/>
      <c r="R476" s="172"/>
      <c r="S476" s="172"/>
      <c r="T476" s="172"/>
      <c r="U476" s="172"/>
      <c r="V476" s="172"/>
      <c r="W476" s="172"/>
      <c r="X476" s="172"/>
      <c r="Y476" s="172"/>
      <c r="Z476" s="172"/>
    </row>
    <row r="477" spans="1:26" ht="18.75">
      <c r="A477" s="172"/>
      <c r="B477" s="172"/>
      <c r="C477" s="172"/>
      <c r="D477" s="172"/>
      <c r="E477" s="172"/>
      <c r="F477" s="172"/>
      <c r="G477" s="172"/>
      <c r="H477" s="172"/>
      <c r="I477" s="172"/>
      <c r="J477" s="172"/>
      <c r="K477" s="172"/>
      <c r="L477" s="172"/>
      <c r="M477" s="172"/>
      <c r="N477" s="172"/>
      <c r="O477" s="172"/>
      <c r="P477" s="172"/>
      <c r="Q477" s="172"/>
      <c r="R477" s="172"/>
      <c r="S477" s="172"/>
      <c r="T477" s="172"/>
      <c r="U477" s="172"/>
      <c r="V477" s="172"/>
      <c r="W477" s="172"/>
      <c r="X477" s="172"/>
      <c r="Y477" s="172"/>
      <c r="Z477" s="172"/>
    </row>
    <row r="478" spans="1:26" ht="18.75">
      <c r="A478" s="430" t="s">
        <v>1019</v>
      </c>
      <c r="B478" s="405"/>
      <c r="C478" s="405"/>
      <c r="D478" s="405"/>
      <c r="E478" s="405"/>
      <c r="F478" s="405"/>
      <c r="G478" s="405"/>
      <c r="H478" s="405"/>
      <c r="I478" s="172"/>
      <c r="J478" s="172"/>
      <c r="K478" s="172"/>
      <c r="L478" s="172"/>
      <c r="M478" s="172"/>
      <c r="N478" s="172"/>
      <c r="O478" s="172"/>
      <c r="P478" s="172"/>
      <c r="Q478" s="172"/>
      <c r="R478" s="172"/>
      <c r="S478" s="172"/>
      <c r="T478" s="172"/>
      <c r="U478" s="172"/>
      <c r="V478" s="172"/>
      <c r="W478" s="172"/>
      <c r="X478" s="172"/>
      <c r="Y478" s="172"/>
      <c r="Z478" s="172"/>
    </row>
    <row r="479" spans="1:26" ht="18.75">
      <c r="A479" s="405"/>
      <c r="B479" s="405"/>
      <c r="C479" s="405"/>
      <c r="D479" s="405"/>
      <c r="E479" s="405"/>
      <c r="F479" s="405"/>
      <c r="G479" s="405"/>
      <c r="H479" s="405"/>
      <c r="I479" s="172"/>
      <c r="J479" s="172"/>
      <c r="K479" s="172"/>
      <c r="L479" s="172"/>
      <c r="M479" s="172"/>
      <c r="N479" s="172"/>
      <c r="O479" s="172"/>
      <c r="P479" s="172"/>
      <c r="Q479" s="172"/>
      <c r="R479" s="172"/>
      <c r="S479" s="172"/>
      <c r="T479" s="172"/>
      <c r="U479" s="172"/>
      <c r="V479" s="172"/>
      <c r="W479" s="172"/>
      <c r="X479" s="172"/>
      <c r="Y479" s="172"/>
      <c r="Z479" s="172"/>
    </row>
    <row r="480" spans="1:26" ht="18.75">
      <c r="A480" s="405"/>
      <c r="B480" s="405"/>
      <c r="C480" s="405"/>
      <c r="D480" s="405"/>
      <c r="E480" s="405"/>
      <c r="F480" s="405"/>
      <c r="G480" s="405"/>
      <c r="H480" s="405"/>
      <c r="I480" s="172"/>
      <c r="J480" s="172"/>
      <c r="K480" s="172"/>
      <c r="L480" s="172"/>
      <c r="M480" s="172"/>
      <c r="N480" s="172"/>
      <c r="O480" s="172"/>
      <c r="P480" s="172"/>
      <c r="Q480" s="172"/>
      <c r="R480" s="172"/>
      <c r="S480" s="172"/>
      <c r="T480" s="172"/>
      <c r="U480" s="172"/>
      <c r="V480" s="172"/>
      <c r="W480" s="172"/>
      <c r="X480" s="172"/>
      <c r="Y480" s="172"/>
      <c r="Z480" s="172"/>
    </row>
    <row r="481" spans="1:26" ht="18.75">
      <c r="A481" s="405"/>
      <c r="B481" s="405"/>
      <c r="C481" s="405"/>
      <c r="D481" s="405"/>
      <c r="E481" s="405"/>
      <c r="F481" s="405"/>
      <c r="G481" s="405"/>
      <c r="H481" s="405"/>
      <c r="I481" s="172"/>
      <c r="J481" s="172"/>
      <c r="K481" s="172"/>
      <c r="L481" s="172"/>
      <c r="M481" s="172"/>
      <c r="N481" s="172"/>
      <c r="O481" s="172"/>
      <c r="P481" s="172"/>
      <c r="Q481" s="172"/>
      <c r="R481" s="172"/>
      <c r="S481" s="172"/>
      <c r="T481" s="172"/>
      <c r="U481" s="172"/>
      <c r="V481" s="172"/>
      <c r="W481" s="172"/>
      <c r="X481" s="172"/>
      <c r="Y481" s="172"/>
      <c r="Z481" s="172"/>
    </row>
    <row r="482" spans="1:26" ht="18.75">
      <c r="A482" s="405"/>
      <c r="B482" s="405"/>
      <c r="C482" s="405"/>
      <c r="D482" s="405"/>
      <c r="E482" s="405"/>
      <c r="F482" s="405"/>
      <c r="G482" s="405"/>
      <c r="H482" s="405"/>
      <c r="I482" s="172"/>
      <c r="J482" s="172"/>
      <c r="K482" s="172"/>
      <c r="L482" s="172"/>
      <c r="M482" s="172"/>
      <c r="N482" s="172"/>
      <c r="O482" s="172"/>
      <c r="P482" s="172"/>
      <c r="Q482" s="172"/>
      <c r="R482" s="172"/>
      <c r="S482" s="172"/>
      <c r="T482" s="172"/>
      <c r="U482" s="172"/>
      <c r="V482" s="172"/>
      <c r="W482" s="172"/>
      <c r="X482" s="172"/>
      <c r="Y482" s="172"/>
      <c r="Z482" s="172"/>
    </row>
    <row r="483" spans="1:26" ht="18.75">
      <c r="A483" s="172" t="s">
        <v>938</v>
      </c>
      <c r="B483" s="172">
        <v>1000</v>
      </c>
      <c r="C483" s="172"/>
      <c r="D483" s="172"/>
      <c r="E483" s="172">
        <v>0</v>
      </c>
      <c r="F483" s="172">
        <f t="shared" ref="F483:F491" si="4">$B$493/(1+$B$489)^E483</f>
        <v>65</v>
      </c>
      <c r="G483" s="172"/>
      <c r="H483" s="172"/>
      <c r="I483" s="172"/>
      <c r="J483" s="172"/>
      <c r="K483" s="172"/>
      <c r="L483" s="172"/>
      <c r="M483" s="172"/>
      <c r="N483" s="172"/>
      <c r="O483" s="172"/>
      <c r="P483" s="172"/>
      <c r="Q483" s="172"/>
      <c r="R483" s="172"/>
      <c r="S483" s="172"/>
      <c r="T483" s="172"/>
      <c r="U483" s="172"/>
      <c r="V483" s="172"/>
      <c r="W483" s="172"/>
      <c r="X483" s="172"/>
      <c r="Y483" s="172"/>
      <c r="Z483" s="172"/>
    </row>
    <row r="484" spans="1:26" ht="18.75">
      <c r="A484" s="172" t="s">
        <v>48</v>
      </c>
      <c r="B484" s="172">
        <v>6</v>
      </c>
      <c r="C484" s="172"/>
      <c r="D484" s="172"/>
      <c r="E484" s="172">
        <v>1</v>
      </c>
      <c r="F484" s="172">
        <f t="shared" si="4"/>
        <v>61.695269723912439</v>
      </c>
      <c r="G484" s="172"/>
      <c r="H484" s="172"/>
      <c r="I484" s="172"/>
      <c r="J484" s="172"/>
      <c r="K484" s="172"/>
      <c r="L484" s="172"/>
      <c r="M484" s="172"/>
      <c r="N484" s="172"/>
      <c r="O484" s="172"/>
      <c r="P484" s="172"/>
      <c r="Q484" s="172"/>
      <c r="R484" s="172"/>
      <c r="S484" s="172"/>
      <c r="T484" s="172"/>
      <c r="U484" s="172"/>
      <c r="V484" s="172"/>
      <c r="W484" s="172"/>
      <c r="X484" s="172"/>
      <c r="Y484" s="172"/>
      <c r="Z484" s="172"/>
    </row>
    <row r="485" spans="1:26" ht="18.75">
      <c r="A485" s="172" t="s">
        <v>919</v>
      </c>
      <c r="B485" s="173">
        <v>0.13</v>
      </c>
      <c r="C485" s="172"/>
      <c r="D485" s="172"/>
      <c r="E485" s="172">
        <v>2</v>
      </c>
      <c r="F485" s="172">
        <f t="shared" si="4"/>
        <v>58.558558558558566</v>
      </c>
      <c r="G485" s="172"/>
      <c r="H485" s="172"/>
      <c r="I485" s="172"/>
      <c r="J485" s="172"/>
      <c r="K485" s="172"/>
      <c r="L485" s="172"/>
      <c r="M485" s="172"/>
      <c r="N485" s="172"/>
      <c r="O485" s="172"/>
      <c r="P485" s="172"/>
      <c r="Q485" s="172"/>
      <c r="R485" s="172"/>
      <c r="S485" s="172"/>
      <c r="T485" s="172"/>
      <c r="U485" s="172"/>
      <c r="V485" s="172"/>
      <c r="W485" s="172"/>
      <c r="X485" s="172"/>
      <c r="Y485" s="172"/>
      <c r="Z485" s="172"/>
    </row>
    <row r="486" spans="1:26" ht="18.75">
      <c r="A486" s="172" t="s">
        <v>940</v>
      </c>
      <c r="B486" s="173">
        <v>0.11</v>
      </c>
      <c r="C486" s="172"/>
      <c r="D486" s="172"/>
      <c r="E486" s="172">
        <v>3</v>
      </c>
      <c r="F486" s="172">
        <f t="shared" si="4"/>
        <v>55.581324075596797</v>
      </c>
      <c r="G486" s="172"/>
      <c r="H486" s="172"/>
      <c r="I486" s="172"/>
      <c r="J486" s="172"/>
      <c r="K486" s="172"/>
      <c r="L486" s="172"/>
      <c r="M486" s="172"/>
      <c r="N486" s="172"/>
      <c r="O486" s="172"/>
      <c r="P486" s="172"/>
      <c r="Q486" s="172"/>
      <c r="R486" s="172"/>
      <c r="S486" s="172"/>
      <c r="T486" s="172"/>
      <c r="U486" s="172"/>
      <c r="V486" s="172"/>
      <c r="W486" s="172"/>
      <c r="X486" s="172"/>
      <c r="Y486" s="172"/>
      <c r="Z486" s="172"/>
    </row>
    <row r="487" spans="1:26" ht="18.75">
      <c r="A487" s="172" t="s">
        <v>521</v>
      </c>
      <c r="B487" s="172">
        <v>2</v>
      </c>
      <c r="C487" s="172"/>
      <c r="D487" s="172"/>
      <c r="E487" s="172">
        <v>4</v>
      </c>
      <c r="F487" s="172">
        <f t="shared" si="4"/>
        <v>52.755458160863576</v>
      </c>
      <c r="G487" s="172"/>
      <c r="H487" s="172"/>
      <c r="I487" s="172"/>
      <c r="J487" s="172"/>
      <c r="K487" s="172"/>
      <c r="L487" s="172"/>
      <c r="M487" s="172"/>
      <c r="N487" s="172"/>
      <c r="O487" s="172"/>
      <c r="P487" s="172"/>
      <c r="Q487" s="172"/>
      <c r="R487" s="172"/>
      <c r="S487" s="172"/>
      <c r="T487" s="172"/>
      <c r="U487" s="172"/>
      <c r="V487" s="172"/>
      <c r="W487" s="172"/>
      <c r="X487" s="172"/>
      <c r="Y487" s="172"/>
      <c r="Z487" s="172"/>
    </row>
    <row r="488" spans="1:26" ht="18.75">
      <c r="A488" s="172" t="s">
        <v>946</v>
      </c>
      <c r="B488" s="172">
        <v>1</v>
      </c>
      <c r="C488" s="172"/>
      <c r="D488" s="172"/>
      <c r="E488" s="172">
        <v>5</v>
      </c>
      <c r="F488" s="172">
        <f t="shared" si="4"/>
        <v>50.073264932970098</v>
      </c>
      <c r="G488" s="172"/>
      <c r="H488" s="172"/>
      <c r="I488" s="172"/>
      <c r="J488" s="172"/>
      <c r="K488" s="172"/>
      <c r="L488" s="172"/>
      <c r="M488" s="172"/>
      <c r="N488" s="172"/>
      <c r="O488" s="172"/>
      <c r="P488" s="172"/>
      <c r="Q488" s="172"/>
      <c r="R488" s="172"/>
      <c r="S488" s="172"/>
      <c r="T488" s="172"/>
      <c r="U488" s="172"/>
      <c r="V488" s="172"/>
      <c r="W488" s="172"/>
      <c r="X488" s="172"/>
      <c r="Y488" s="172"/>
      <c r="Z488" s="172"/>
    </row>
    <row r="489" spans="1:26" ht="18.75">
      <c r="A489" s="172" t="s">
        <v>958</v>
      </c>
      <c r="B489" s="177">
        <f>(1+B486/B488)^(B488/B487)-1</f>
        <v>5.3565375285273831E-2</v>
      </c>
      <c r="C489" s="172"/>
      <c r="D489" s="172"/>
      <c r="E489" s="172">
        <v>6</v>
      </c>
      <c r="F489" s="172">
        <f t="shared" si="4"/>
        <v>47.527439784561786</v>
      </c>
      <c r="G489" s="172"/>
      <c r="H489" s="172"/>
      <c r="I489" s="172"/>
      <c r="J489" s="172"/>
      <c r="K489" s="172"/>
      <c r="L489" s="172"/>
      <c r="M489" s="172"/>
      <c r="N489" s="172"/>
      <c r="O489" s="172"/>
      <c r="P489" s="172"/>
      <c r="Q489" s="172"/>
      <c r="R489" s="172"/>
      <c r="S489" s="172"/>
      <c r="T489" s="172"/>
      <c r="U489" s="172"/>
      <c r="V489" s="172"/>
      <c r="W489" s="172"/>
      <c r="X489" s="172"/>
      <c r="Y489" s="172"/>
      <c r="Z489" s="172"/>
    </row>
    <row r="490" spans="1:26" ht="18.75">
      <c r="A490" s="172" t="s">
        <v>1020</v>
      </c>
      <c r="B490" s="172">
        <f>B484-1.38</f>
        <v>4.62</v>
      </c>
      <c r="C490" s="172"/>
      <c r="D490" s="172"/>
      <c r="E490" s="172">
        <v>7</v>
      </c>
      <c r="F490" s="172">
        <f t="shared" si="4"/>
        <v>45.111049489162255</v>
      </c>
      <c r="G490" s="172"/>
      <c r="H490" s="172"/>
      <c r="I490" s="172"/>
      <c r="J490" s="172"/>
      <c r="K490" s="172"/>
      <c r="L490" s="172"/>
      <c r="M490" s="172"/>
      <c r="N490" s="172"/>
      <c r="O490" s="172"/>
      <c r="P490" s="172"/>
      <c r="Q490" s="172"/>
      <c r="R490" s="172"/>
      <c r="S490" s="172"/>
      <c r="T490" s="172"/>
      <c r="U490" s="172"/>
      <c r="V490" s="172"/>
      <c r="W490" s="172"/>
      <c r="X490" s="172"/>
      <c r="Y490" s="172"/>
      <c r="Z490" s="172"/>
    </row>
    <row r="491" spans="1:26" ht="18.75">
      <c r="A491" s="172" t="s">
        <v>42</v>
      </c>
      <c r="B491" s="172">
        <v>9</v>
      </c>
      <c r="C491" s="172"/>
      <c r="D491" s="172"/>
      <c r="E491" s="172">
        <v>8</v>
      </c>
      <c r="F491" s="172">
        <f t="shared" si="4"/>
        <v>42.817513319425039</v>
      </c>
      <c r="G491" s="172"/>
      <c r="H491" s="172"/>
      <c r="I491" s="172"/>
      <c r="J491" s="172"/>
      <c r="K491" s="172"/>
      <c r="L491" s="172"/>
      <c r="M491" s="172"/>
      <c r="N491" s="172"/>
      <c r="O491" s="172"/>
      <c r="P491" s="172"/>
      <c r="Q491" s="172"/>
      <c r="R491" s="172"/>
      <c r="S491" s="172"/>
      <c r="T491" s="172"/>
      <c r="U491" s="172"/>
      <c r="V491" s="172"/>
      <c r="W491" s="172"/>
      <c r="X491" s="172"/>
      <c r="Y491" s="172"/>
      <c r="Z491" s="172"/>
    </row>
    <row r="492" spans="1:26" ht="18.75">
      <c r="A492" s="172" t="s">
        <v>290</v>
      </c>
      <c r="B492" s="172">
        <v>0.24</v>
      </c>
      <c r="C492" s="172"/>
      <c r="D492" s="172"/>
      <c r="E492" s="172">
        <v>9</v>
      </c>
      <c r="F492" s="172">
        <f>($B$493+B483)/(1+$B$489)^E492</f>
        <v>665.88035628493139</v>
      </c>
      <c r="G492" s="172"/>
      <c r="H492" s="172"/>
      <c r="I492" s="172"/>
      <c r="J492" s="172"/>
      <c r="K492" s="172"/>
      <c r="L492" s="172"/>
      <c r="M492" s="172"/>
      <c r="N492" s="172"/>
      <c r="O492" s="172"/>
      <c r="P492" s="172"/>
      <c r="Q492" s="172"/>
      <c r="R492" s="172"/>
      <c r="S492" s="172"/>
      <c r="T492" s="172"/>
      <c r="U492" s="172"/>
      <c r="V492" s="172"/>
      <c r="W492" s="172"/>
      <c r="X492" s="172"/>
      <c r="Y492" s="172"/>
      <c r="Z492" s="172"/>
    </row>
    <row r="493" spans="1:26" ht="18.75">
      <c r="A493" s="172" t="s">
        <v>1021</v>
      </c>
      <c r="B493" s="172">
        <f>B485*B483/B487</f>
        <v>65</v>
      </c>
      <c r="C493" s="172"/>
      <c r="D493" s="172"/>
      <c r="E493" s="172"/>
      <c r="F493" s="172">
        <f>SUM(F483:F492)</f>
        <v>1145.000234329982</v>
      </c>
      <c r="G493" s="172"/>
      <c r="H493" s="172"/>
      <c r="I493" s="172"/>
      <c r="J493" s="172"/>
      <c r="K493" s="172"/>
      <c r="L493" s="172"/>
      <c r="M493" s="172"/>
      <c r="N493" s="172"/>
      <c r="O493" s="172"/>
      <c r="P493" s="172"/>
      <c r="Q493" s="172"/>
      <c r="R493" s="172"/>
      <c r="S493" s="172"/>
      <c r="T493" s="172"/>
      <c r="U493" s="172"/>
      <c r="V493" s="172"/>
      <c r="W493" s="172"/>
      <c r="X493" s="172"/>
      <c r="Y493" s="172"/>
      <c r="Z493" s="172"/>
    </row>
    <row r="494" spans="1:26" ht="18.75">
      <c r="A494" s="172"/>
      <c r="B494" s="172"/>
      <c r="C494" s="172"/>
      <c r="D494" s="172"/>
      <c r="E494" s="172"/>
      <c r="F494" s="172"/>
      <c r="G494" s="172"/>
      <c r="H494" s="172"/>
      <c r="I494" s="172"/>
      <c r="J494" s="172"/>
      <c r="K494" s="172"/>
      <c r="L494" s="172"/>
      <c r="M494" s="172"/>
      <c r="N494" s="172"/>
      <c r="O494" s="172"/>
      <c r="P494" s="172"/>
      <c r="Q494" s="172"/>
      <c r="R494" s="172"/>
      <c r="S494" s="172"/>
      <c r="T494" s="172"/>
      <c r="U494" s="172"/>
      <c r="V494" s="172"/>
      <c r="W494" s="172"/>
      <c r="X494" s="172"/>
      <c r="Y494" s="172"/>
      <c r="Z494" s="172"/>
    </row>
    <row r="495" spans="1:26" ht="18.75">
      <c r="A495" s="172" t="s">
        <v>1022</v>
      </c>
      <c r="B495" s="172">
        <f>(1/(1+B489)^B492)*F493</f>
        <v>1130.750577187486</v>
      </c>
      <c r="C495" s="172"/>
      <c r="D495" s="172"/>
      <c r="E495" s="172"/>
      <c r="F495" s="172"/>
      <c r="G495" s="172"/>
      <c r="H495" s="172"/>
      <c r="I495" s="172"/>
      <c r="J495" s="172"/>
      <c r="K495" s="172"/>
      <c r="L495" s="172"/>
      <c r="M495" s="172"/>
      <c r="N495" s="172"/>
      <c r="O495" s="172"/>
      <c r="P495" s="172"/>
      <c r="Q495" s="172"/>
      <c r="R495" s="172"/>
      <c r="S495" s="172"/>
      <c r="T495" s="172"/>
      <c r="U495" s="172"/>
      <c r="V495" s="172"/>
      <c r="W495" s="172"/>
      <c r="X495" s="172"/>
      <c r="Y495" s="172"/>
      <c r="Z495" s="172"/>
    </row>
    <row r="496" spans="1:26" ht="18.75">
      <c r="A496" s="172" t="s">
        <v>1023</v>
      </c>
      <c r="B496" s="172">
        <f>B493*(1-B492)</f>
        <v>49.4</v>
      </c>
      <c r="C496" s="172"/>
      <c r="D496" s="172"/>
      <c r="E496" s="172"/>
      <c r="F496" s="172"/>
      <c r="G496" s="172"/>
      <c r="H496" s="172"/>
      <c r="I496" s="172"/>
      <c r="J496" s="172"/>
      <c r="K496" s="172"/>
      <c r="L496" s="172"/>
      <c r="M496" s="172"/>
      <c r="N496" s="172"/>
      <c r="O496" s="172"/>
      <c r="P496" s="172"/>
      <c r="Q496" s="172"/>
      <c r="R496" s="172"/>
      <c r="S496" s="172"/>
      <c r="T496" s="172"/>
      <c r="U496" s="172"/>
      <c r="V496" s="172"/>
      <c r="W496" s="172"/>
      <c r="X496" s="172"/>
      <c r="Y496" s="172"/>
      <c r="Z496" s="172"/>
    </row>
    <row r="497" spans="1:26" ht="18.75">
      <c r="A497" s="172" t="s">
        <v>107</v>
      </c>
      <c r="B497" s="174">
        <f>B495-B496</f>
        <v>1081.3505771874859</v>
      </c>
      <c r="C497" s="172"/>
      <c r="D497" s="172"/>
      <c r="E497" s="172"/>
      <c r="F497" s="172"/>
      <c r="G497" s="172"/>
      <c r="H497" s="172"/>
      <c r="I497" s="172"/>
      <c r="J497" s="172"/>
      <c r="K497" s="172"/>
      <c r="L497" s="172"/>
      <c r="M497" s="172"/>
      <c r="N497" s="172"/>
      <c r="O497" s="172"/>
      <c r="P497" s="172"/>
      <c r="Q497" s="172"/>
      <c r="R497" s="172"/>
      <c r="S497" s="172"/>
      <c r="T497" s="172"/>
      <c r="U497" s="172"/>
      <c r="V497" s="172"/>
      <c r="W497" s="172"/>
      <c r="X497" s="172"/>
      <c r="Y497" s="172"/>
      <c r="Z497" s="172"/>
    </row>
    <row r="498" spans="1:26" ht="18.75">
      <c r="A498" s="172"/>
      <c r="B498" s="172"/>
      <c r="C498" s="172"/>
      <c r="D498" s="172"/>
      <c r="E498" s="172"/>
      <c r="F498" s="172"/>
      <c r="G498" s="172"/>
      <c r="H498" s="172"/>
      <c r="I498" s="172"/>
      <c r="J498" s="172"/>
      <c r="K498" s="172"/>
      <c r="L498" s="172"/>
      <c r="M498" s="172"/>
      <c r="N498" s="172"/>
      <c r="O498" s="172"/>
      <c r="P498" s="172"/>
      <c r="Q498" s="172"/>
      <c r="R498" s="172"/>
      <c r="S498" s="172"/>
      <c r="T498" s="172"/>
      <c r="U498" s="172"/>
      <c r="V498" s="172"/>
      <c r="W498" s="172"/>
      <c r="X498" s="172"/>
      <c r="Y498" s="172"/>
      <c r="Z498" s="172"/>
    </row>
    <row r="499" spans="1:26" ht="18.75">
      <c r="A499" s="172"/>
      <c r="B499" s="21" t="s">
        <v>73</v>
      </c>
      <c r="C499" s="172"/>
      <c r="D499" s="172"/>
      <c r="E499" s="172"/>
      <c r="F499" s="172"/>
      <c r="G499" s="172"/>
      <c r="H499" s="172"/>
      <c r="I499" s="172"/>
      <c r="J499" s="172"/>
      <c r="K499" s="172"/>
      <c r="L499" s="172"/>
      <c r="M499" s="172"/>
      <c r="N499" s="172"/>
      <c r="O499" s="172"/>
      <c r="P499" s="172"/>
      <c r="Q499" s="172"/>
      <c r="R499" s="172"/>
      <c r="S499" s="172"/>
      <c r="T499" s="172"/>
      <c r="U499" s="172"/>
      <c r="V499" s="172"/>
      <c r="W499" s="172"/>
      <c r="X499" s="172"/>
      <c r="Y499" s="172"/>
      <c r="Z499" s="172"/>
    </row>
    <row r="500" spans="1:26" ht="18.75">
      <c r="A500" s="78"/>
      <c r="B500" s="172"/>
      <c r="C500" s="172"/>
      <c r="D500" s="172"/>
      <c r="E500" s="172"/>
      <c r="F500" s="172"/>
      <c r="G500" s="172"/>
      <c r="H500" s="172"/>
      <c r="I500" s="172"/>
      <c r="J500" s="172"/>
      <c r="K500" s="172"/>
      <c r="L500" s="172"/>
      <c r="M500" s="172"/>
      <c r="N500" s="172"/>
      <c r="O500" s="172"/>
      <c r="P500" s="172"/>
      <c r="Q500" s="172"/>
      <c r="R500" s="172"/>
      <c r="S500" s="172"/>
      <c r="T500" s="172"/>
      <c r="U500" s="172"/>
      <c r="V500" s="172"/>
      <c r="W500" s="172"/>
      <c r="X500" s="172"/>
      <c r="Y500" s="172"/>
      <c r="Z500" s="172"/>
    </row>
    <row r="501" spans="1:26" ht="18.75">
      <c r="A501" s="407" t="s">
        <v>1449</v>
      </c>
      <c r="B501" s="407"/>
      <c r="C501" s="407"/>
      <c r="D501" s="407"/>
      <c r="E501" s="407"/>
      <c r="F501" s="407"/>
      <c r="G501" s="407"/>
      <c r="H501" s="407"/>
      <c r="I501" s="172"/>
      <c r="J501" s="172"/>
      <c r="K501" s="172"/>
      <c r="L501" s="172"/>
      <c r="M501" s="172"/>
      <c r="N501" s="172"/>
      <c r="O501" s="172"/>
      <c r="P501" s="172"/>
      <c r="Q501" s="172"/>
      <c r="R501" s="172"/>
      <c r="S501" s="172"/>
      <c r="T501" s="172"/>
      <c r="U501" s="172"/>
      <c r="V501" s="172"/>
      <c r="W501" s="172"/>
      <c r="X501" s="172"/>
      <c r="Y501" s="172"/>
      <c r="Z501" s="172"/>
    </row>
    <row r="502" spans="1:26" ht="18.75">
      <c r="A502" s="407"/>
      <c r="B502" s="407"/>
      <c r="C502" s="407"/>
      <c r="D502" s="407"/>
      <c r="E502" s="407"/>
      <c r="F502" s="407"/>
      <c r="G502" s="407"/>
      <c r="H502" s="407"/>
      <c r="I502" s="172"/>
      <c r="J502" s="172"/>
      <c r="K502" s="172"/>
      <c r="L502" s="172"/>
      <c r="M502" s="172"/>
      <c r="N502" s="172"/>
      <c r="O502" s="172"/>
      <c r="P502" s="172"/>
      <c r="Q502" s="172"/>
      <c r="R502" s="172"/>
      <c r="S502" s="172"/>
      <c r="T502" s="172"/>
      <c r="U502" s="172"/>
      <c r="V502" s="172"/>
      <c r="W502" s="172"/>
      <c r="X502" s="172"/>
      <c r="Y502" s="172"/>
      <c r="Z502" s="172"/>
    </row>
    <row r="503" spans="1:26" ht="18.75">
      <c r="A503" s="407"/>
      <c r="B503" s="407"/>
      <c r="C503" s="407"/>
      <c r="D503" s="407"/>
      <c r="E503" s="407"/>
      <c r="F503" s="407"/>
      <c r="G503" s="407"/>
      <c r="H503" s="407"/>
      <c r="I503" s="172"/>
      <c r="J503" s="172"/>
      <c r="K503" s="172"/>
      <c r="L503" s="172"/>
      <c r="M503" s="172"/>
      <c r="N503" s="172"/>
      <c r="O503" s="172"/>
      <c r="P503" s="172"/>
      <c r="Q503" s="172"/>
      <c r="R503" s="172"/>
      <c r="S503" s="172"/>
      <c r="T503" s="172"/>
      <c r="U503" s="172"/>
      <c r="V503" s="172"/>
      <c r="W503" s="172"/>
      <c r="X503" s="172"/>
      <c r="Y503" s="172"/>
      <c r="Z503" s="172"/>
    </row>
    <row r="504" spans="1:26" ht="18.75">
      <c r="A504" s="407"/>
      <c r="B504" s="407"/>
      <c r="C504" s="407"/>
      <c r="D504" s="407"/>
      <c r="E504" s="407"/>
      <c r="F504" s="407"/>
      <c r="G504" s="407"/>
      <c r="H504" s="407"/>
      <c r="I504" s="172"/>
      <c r="J504" s="172"/>
      <c r="K504" s="172"/>
      <c r="L504" s="172"/>
      <c r="M504" s="172"/>
      <c r="N504" s="172"/>
      <c r="O504" s="172"/>
      <c r="P504" s="172"/>
      <c r="Q504" s="172"/>
      <c r="R504" s="172"/>
      <c r="S504" s="172"/>
      <c r="T504" s="172"/>
      <c r="U504" s="172"/>
      <c r="V504" s="172"/>
      <c r="W504" s="172"/>
      <c r="X504" s="172"/>
      <c r="Y504" s="172"/>
      <c r="Z504" s="172"/>
    </row>
    <row r="505" spans="1:26" ht="18.75">
      <c r="A505" s="407"/>
      <c r="B505" s="407"/>
      <c r="C505" s="407"/>
      <c r="D505" s="407"/>
      <c r="E505" s="407"/>
      <c r="F505" s="407"/>
      <c r="G505" s="407"/>
      <c r="H505" s="407"/>
      <c r="I505" s="172"/>
      <c r="J505" s="172"/>
      <c r="K505" s="172"/>
      <c r="L505" s="172"/>
      <c r="M505" s="172"/>
      <c r="N505" s="172"/>
      <c r="O505" s="172"/>
      <c r="P505" s="172"/>
      <c r="Q505" s="172"/>
      <c r="R505" s="172"/>
      <c r="S505" s="172"/>
      <c r="T505" s="172"/>
      <c r="U505" s="172"/>
      <c r="V505" s="172"/>
      <c r="W505" s="172"/>
      <c r="X505" s="172"/>
      <c r="Y505" s="172"/>
      <c r="Z505" s="172"/>
    </row>
    <row r="506" spans="1:26" ht="18.75">
      <c r="A506" s="407"/>
      <c r="B506" s="407"/>
      <c r="C506" s="407"/>
      <c r="D506" s="407"/>
      <c r="E506" s="407"/>
      <c r="F506" s="407"/>
      <c r="G506" s="407"/>
      <c r="H506" s="407"/>
      <c r="I506" s="172"/>
      <c r="J506" s="172"/>
      <c r="K506" s="172"/>
      <c r="L506" s="172"/>
      <c r="M506" s="172"/>
      <c r="N506" s="172"/>
      <c r="O506" s="172"/>
      <c r="P506" s="172"/>
      <c r="Q506" s="172"/>
      <c r="R506" s="172"/>
      <c r="S506" s="172"/>
      <c r="T506" s="172"/>
      <c r="U506" s="172"/>
      <c r="V506" s="172"/>
      <c r="W506" s="172"/>
      <c r="X506" s="172"/>
      <c r="Y506" s="172"/>
      <c r="Z506" s="172"/>
    </row>
    <row r="507" spans="1:26" ht="18.75">
      <c r="A507" s="407"/>
      <c r="B507" s="407"/>
      <c r="C507" s="407"/>
      <c r="D507" s="407"/>
      <c r="E507" s="407"/>
      <c r="F507" s="407"/>
      <c r="G507" s="407"/>
      <c r="H507" s="407"/>
      <c r="I507" s="172"/>
      <c r="J507" s="172"/>
      <c r="K507" s="172"/>
      <c r="L507" s="172"/>
      <c r="M507" s="172"/>
      <c r="N507" s="172"/>
      <c r="O507" s="172"/>
      <c r="P507" s="172"/>
      <c r="Q507" s="172"/>
      <c r="R507" s="172"/>
      <c r="S507" s="172"/>
      <c r="T507" s="172"/>
      <c r="U507" s="172"/>
      <c r="V507" s="172"/>
      <c r="W507" s="172"/>
      <c r="X507" s="172"/>
      <c r="Y507" s="172"/>
      <c r="Z507" s="172"/>
    </row>
    <row r="508" spans="1:26" ht="18.75">
      <c r="A508" s="25"/>
      <c r="B508" s="172"/>
      <c r="C508" s="172"/>
      <c r="D508" s="172"/>
      <c r="E508" s="172"/>
      <c r="F508" s="172"/>
      <c r="G508" s="172"/>
      <c r="H508" s="172"/>
      <c r="I508" s="172"/>
      <c r="J508" s="172"/>
      <c r="K508" s="172"/>
      <c r="L508" s="172"/>
      <c r="M508" s="172"/>
      <c r="N508" s="172"/>
      <c r="O508" s="172"/>
      <c r="P508" s="172"/>
      <c r="Q508" s="172"/>
      <c r="R508" s="172"/>
      <c r="S508" s="172"/>
      <c r="T508" s="172"/>
      <c r="U508" s="172"/>
      <c r="V508" s="172"/>
      <c r="W508" s="172"/>
      <c r="X508" s="172"/>
      <c r="Y508" s="172"/>
      <c r="Z508" s="172"/>
    </row>
    <row r="509" spans="1:26" ht="18.75">
      <c r="A509" s="172" t="s">
        <v>938</v>
      </c>
      <c r="B509" s="172">
        <v>8000</v>
      </c>
      <c r="C509" s="172"/>
      <c r="D509" s="172" t="s">
        <v>558</v>
      </c>
      <c r="E509" s="172" t="s">
        <v>559</v>
      </c>
      <c r="F509" s="172" t="s">
        <v>903</v>
      </c>
      <c r="G509" s="172"/>
      <c r="H509" s="172"/>
      <c r="I509" s="172"/>
      <c r="J509" s="172"/>
      <c r="K509" s="172"/>
      <c r="L509" s="172"/>
      <c r="M509" s="172"/>
      <c r="N509" s="172"/>
      <c r="O509" s="172"/>
      <c r="P509" s="172"/>
      <c r="Q509" s="172"/>
      <c r="R509" s="172"/>
      <c r="S509" s="172"/>
      <c r="T509" s="172"/>
      <c r="U509" s="172"/>
      <c r="V509" s="172"/>
      <c r="W509" s="172"/>
      <c r="X509" s="172"/>
      <c r="Y509" s="172"/>
      <c r="Z509" s="172"/>
    </row>
    <row r="510" spans="1:26" ht="18.75">
      <c r="A510" s="172" t="s">
        <v>790</v>
      </c>
      <c r="B510" s="172">
        <v>7800</v>
      </c>
      <c r="C510" s="172"/>
      <c r="D510" s="173">
        <v>0.12</v>
      </c>
      <c r="E510" s="173">
        <v>0.15</v>
      </c>
      <c r="F510" s="173">
        <v>0.18</v>
      </c>
      <c r="G510" s="172"/>
      <c r="H510" s="172"/>
      <c r="I510" s="172"/>
      <c r="J510" s="172"/>
      <c r="K510" s="172"/>
      <c r="L510" s="172"/>
      <c r="M510" s="172"/>
      <c r="N510" s="172"/>
      <c r="O510" s="172"/>
      <c r="P510" s="172"/>
      <c r="Q510" s="172"/>
      <c r="R510" s="172"/>
      <c r="S510" s="172"/>
      <c r="T510" s="172"/>
      <c r="U510" s="172"/>
      <c r="V510" s="172"/>
      <c r="W510" s="172"/>
      <c r="X510" s="172"/>
      <c r="Y510" s="172"/>
      <c r="Z510" s="172"/>
    </row>
    <row r="511" spans="1:26" ht="18.75">
      <c r="A511" s="172" t="s">
        <v>919</v>
      </c>
      <c r="B511" s="173">
        <v>0.15</v>
      </c>
      <c r="C511" s="172"/>
      <c r="D511" s="172" t="s">
        <v>898</v>
      </c>
      <c r="E511" s="172" t="s">
        <v>935</v>
      </c>
      <c r="F511" s="172" t="s">
        <v>991</v>
      </c>
      <c r="G511" s="172" t="s">
        <v>983</v>
      </c>
      <c r="H511" s="172" t="s">
        <v>1450</v>
      </c>
      <c r="I511" s="172"/>
      <c r="J511" s="172"/>
      <c r="K511" s="172"/>
      <c r="L511" s="172"/>
      <c r="M511" s="172"/>
      <c r="N511" s="172"/>
      <c r="O511" s="172"/>
      <c r="P511" s="172"/>
      <c r="Q511" s="172"/>
      <c r="R511" s="172"/>
      <c r="S511" s="172"/>
      <c r="T511" s="172"/>
      <c r="U511" s="172"/>
      <c r="V511" s="172"/>
      <c r="W511" s="172"/>
      <c r="X511" s="172"/>
      <c r="Y511" s="172"/>
      <c r="Z511" s="172"/>
    </row>
    <row r="512" spans="1:26" ht="18.75">
      <c r="A512" s="172" t="s">
        <v>48</v>
      </c>
      <c r="B512" s="172">
        <v>3</v>
      </c>
      <c r="C512" s="172"/>
      <c r="D512" s="174">
        <f t="shared" ref="D512:F512" si="5">$B511*$B509*(1-(1+D510)^-$B512)/D510+$B509/(1+D510)^$B512</f>
        <v>8576.4395043731784</v>
      </c>
      <c r="E512" s="174">
        <f t="shared" si="5"/>
        <v>8000</v>
      </c>
      <c r="F512" s="174">
        <f t="shared" si="5"/>
        <v>7478.1744969057208</v>
      </c>
      <c r="G512" s="173">
        <f>B510/B509</f>
        <v>0.97499999999999998</v>
      </c>
      <c r="H512" s="172"/>
      <c r="I512" s="172"/>
      <c r="J512" s="172"/>
      <c r="K512" s="172"/>
      <c r="L512" s="172"/>
      <c r="M512" s="172"/>
      <c r="N512" s="172"/>
      <c r="O512" s="172"/>
      <c r="P512" s="172"/>
      <c r="Q512" s="172"/>
      <c r="R512" s="172"/>
      <c r="S512" s="172"/>
      <c r="T512" s="172"/>
      <c r="U512" s="172"/>
      <c r="V512" s="172"/>
      <c r="W512" s="172"/>
      <c r="X512" s="172"/>
      <c r="Y512" s="172"/>
      <c r="Z512" s="172"/>
    </row>
    <row r="513" spans="1:26" ht="18.75">
      <c r="A513" s="25"/>
      <c r="B513" s="172"/>
      <c r="C513" s="172"/>
      <c r="D513" s="172"/>
      <c r="E513" s="172"/>
      <c r="F513" s="172"/>
      <c r="G513" s="172"/>
      <c r="H513" s="172"/>
      <c r="I513" s="407"/>
      <c r="J513" s="407"/>
      <c r="K513" s="407"/>
      <c r="L513" s="407"/>
      <c r="M513" s="407"/>
      <c r="N513" s="172"/>
      <c r="O513" s="172"/>
      <c r="P513" s="172"/>
      <c r="Q513" s="172"/>
      <c r="R513" s="172"/>
      <c r="S513" s="172"/>
      <c r="T513" s="172"/>
      <c r="U513" s="172"/>
      <c r="V513" s="172"/>
      <c r="W513" s="172"/>
      <c r="X513" s="172"/>
      <c r="Y513" s="172"/>
      <c r="Z513" s="172"/>
    </row>
    <row r="514" spans="1:26" ht="18.75">
      <c r="A514" s="25"/>
      <c r="B514" s="172"/>
      <c r="C514" s="172"/>
      <c r="D514" s="172"/>
      <c r="E514" s="172"/>
      <c r="F514" s="172"/>
      <c r="G514" s="172"/>
      <c r="H514" s="172"/>
      <c r="I514" s="407"/>
      <c r="J514" s="407"/>
      <c r="K514" s="407"/>
      <c r="L514" s="407"/>
      <c r="M514" s="407"/>
      <c r="N514" s="172"/>
      <c r="O514" s="172"/>
      <c r="P514" s="172"/>
      <c r="Q514" s="172"/>
      <c r="R514" s="172"/>
      <c r="S514" s="172"/>
      <c r="T514" s="172"/>
      <c r="U514" s="172"/>
      <c r="V514" s="172"/>
      <c r="W514" s="172"/>
      <c r="X514" s="172"/>
      <c r="Y514" s="172"/>
      <c r="Z514" s="172"/>
    </row>
    <row r="515" spans="1:26" ht="18.75">
      <c r="A515" s="24"/>
      <c r="B515" s="172"/>
      <c r="C515" s="172"/>
      <c r="D515" s="172"/>
      <c r="E515" s="172"/>
      <c r="F515" s="172"/>
      <c r="G515" s="172"/>
      <c r="H515" s="172"/>
      <c r="I515" s="407"/>
      <c r="J515" s="407"/>
      <c r="K515" s="407"/>
      <c r="L515" s="407"/>
      <c r="M515" s="407"/>
      <c r="N515" s="172"/>
      <c r="O515" s="172"/>
      <c r="P515" s="172"/>
      <c r="Q515" s="172"/>
      <c r="R515" s="172"/>
      <c r="S515" s="172"/>
      <c r="T515" s="172"/>
      <c r="U515" s="172"/>
      <c r="V515" s="172"/>
      <c r="W515" s="172"/>
      <c r="X515" s="172"/>
      <c r="Y515" s="172"/>
      <c r="Z515" s="172"/>
    </row>
    <row r="516" spans="1:26" ht="18" customHeight="1">
      <c r="A516" s="408" t="s">
        <v>1024</v>
      </c>
      <c r="B516" s="408"/>
      <c r="C516" s="408"/>
      <c r="D516" s="408"/>
      <c r="E516" s="408"/>
      <c r="F516" s="408"/>
      <c r="G516" s="408"/>
      <c r="H516" s="172"/>
      <c r="I516" s="407"/>
      <c r="J516" s="407"/>
      <c r="K516" s="407"/>
      <c r="L516" s="407"/>
      <c r="M516" s="407"/>
      <c r="N516" s="172"/>
      <c r="O516" s="172"/>
      <c r="P516" s="172"/>
      <c r="Q516" s="172"/>
      <c r="R516" s="172"/>
      <c r="S516" s="172"/>
      <c r="T516" s="172"/>
      <c r="U516" s="172"/>
      <c r="V516" s="172"/>
      <c r="W516" s="172"/>
      <c r="X516" s="172"/>
      <c r="Y516" s="172"/>
      <c r="Z516" s="172"/>
    </row>
    <row r="517" spans="1:26" ht="18.75">
      <c r="A517" s="408"/>
      <c r="B517" s="408"/>
      <c r="C517" s="408"/>
      <c r="D517" s="408"/>
      <c r="E517" s="408"/>
      <c r="F517" s="408"/>
      <c r="G517" s="408"/>
      <c r="H517" s="172"/>
      <c r="I517" s="407"/>
      <c r="J517" s="407"/>
      <c r="K517" s="407"/>
      <c r="L517" s="407"/>
      <c r="M517" s="407"/>
      <c r="N517" s="172"/>
      <c r="O517" s="172"/>
      <c r="P517" s="172"/>
      <c r="Q517" s="172"/>
      <c r="R517" s="172"/>
      <c r="S517" s="172"/>
      <c r="T517" s="172"/>
      <c r="U517" s="172"/>
      <c r="V517" s="172"/>
      <c r="W517" s="172"/>
      <c r="X517" s="172"/>
      <c r="Y517" s="172"/>
      <c r="Z517" s="172"/>
    </row>
    <row r="518" spans="1:26" ht="18.75">
      <c r="A518" s="408"/>
      <c r="B518" s="408"/>
      <c r="C518" s="408"/>
      <c r="D518" s="408"/>
      <c r="E518" s="408"/>
      <c r="F518" s="408"/>
      <c r="G518" s="408"/>
      <c r="H518" s="172"/>
      <c r="I518" s="407"/>
      <c r="J518" s="407"/>
      <c r="K518" s="407"/>
      <c r="L518" s="407"/>
      <c r="M518" s="407"/>
      <c r="N518" s="172"/>
      <c r="O518" s="172"/>
      <c r="P518" s="172"/>
      <c r="Q518" s="172"/>
      <c r="R518" s="172"/>
      <c r="S518" s="172"/>
      <c r="T518" s="172"/>
      <c r="U518" s="172"/>
      <c r="V518" s="172"/>
      <c r="W518" s="172"/>
      <c r="X518" s="172"/>
      <c r="Y518" s="172"/>
      <c r="Z518" s="172"/>
    </row>
    <row r="519" spans="1:26" ht="18.75">
      <c r="A519" s="408"/>
      <c r="B519" s="408"/>
      <c r="C519" s="408"/>
      <c r="D519" s="408"/>
      <c r="E519" s="408"/>
      <c r="F519" s="408"/>
      <c r="G519" s="408"/>
      <c r="H519" s="172"/>
      <c r="I519" s="407"/>
      <c r="J519" s="407"/>
      <c r="K519" s="407"/>
      <c r="L519" s="407"/>
      <c r="M519" s="407"/>
      <c r="N519" s="172"/>
      <c r="O519" s="172"/>
      <c r="P519" s="172"/>
      <c r="Q519" s="172"/>
      <c r="R519" s="172"/>
      <c r="S519" s="172"/>
      <c r="T519" s="172"/>
      <c r="U519" s="172"/>
      <c r="V519" s="172"/>
      <c r="W519" s="172"/>
      <c r="X519" s="172"/>
      <c r="Y519" s="172"/>
      <c r="Z519" s="172"/>
    </row>
    <row r="520" spans="1:26" ht="18.75">
      <c r="A520" s="408"/>
      <c r="B520" s="408"/>
      <c r="C520" s="408"/>
      <c r="D520" s="408"/>
      <c r="E520" s="408"/>
      <c r="F520" s="408"/>
      <c r="G520" s="408"/>
      <c r="H520" s="172"/>
      <c r="I520" s="24"/>
      <c r="J520" s="172"/>
      <c r="K520" s="172"/>
      <c r="L520" s="172"/>
      <c r="M520" s="172"/>
      <c r="N520" s="172"/>
      <c r="O520" s="172"/>
      <c r="P520" s="172"/>
      <c r="Q520" s="172"/>
      <c r="R520" s="172"/>
      <c r="S520" s="172"/>
      <c r="T520" s="172"/>
      <c r="U520" s="172"/>
      <c r="V520" s="172"/>
      <c r="W520" s="172"/>
      <c r="X520" s="172"/>
      <c r="Y520" s="172"/>
      <c r="Z520" s="172"/>
    </row>
    <row r="521" spans="1:26" ht="18.75">
      <c r="A521" s="172" t="s">
        <v>938</v>
      </c>
      <c r="B521" s="172">
        <v>1850</v>
      </c>
      <c r="C521" s="172"/>
      <c r="D521" s="172"/>
      <c r="E521" s="172"/>
      <c r="F521" s="172"/>
      <c r="G521" s="172"/>
      <c r="H521" s="172"/>
      <c r="O521" s="172"/>
      <c r="P521" s="172"/>
      <c r="Q521" s="172"/>
      <c r="R521" s="172"/>
      <c r="S521" s="172"/>
      <c r="T521" s="172"/>
      <c r="U521" s="172"/>
      <c r="V521" s="172"/>
      <c r="W521" s="172"/>
      <c r="X521" s="172"/>
      <c r="Y521" s="172"/>
      <c r="Z521" s="172"/>
    </row>
    <row r="522" spans="1:26" ht="18.75">
      <c r="A522" s="172" t="s">
        <v>919</v>
      </c>
      <c r="B522" s="173">
        <v>0.125</v>
      </c>
      <c r="C522" s="172"/>
      <c r="D522" s="172"/>
      <c r="E522" s="172"/>
      <c r="F522" s="172"/>
      <c r="G522" s="172"/>
      <c r="H522" s="172"/>
      <c r="J522" s="3"/>
      <c r="O522" s="172"/>
      <c r="P522" s="172"/>
      <c r="Q522" s="172"/>
      <c r="R522" s="172"/>
      <c r="S522" s="172"/>
      <c r="T522" s="172"/>
      <c r="U522" s="172"/>
      <c r="V522" s="172"/>
      <c r="W522" s="172"/>
      <c r="X522" s="172"/>
      <c r="Y522" s="172"/>
      <c r="Z522" s="172"/>
    </row>
    <row r="523" spans="1:26" ht="18.75">
      <c r="A523" s="172" t="s">
        <v>48</v>
      </c>
      <c r="B523" s="172">
        <v>4</v>
      </c>
      <c r="C523" s="172"/>
      <c r="D523" s="172"/>
      <c r="E523" s="172"/>
      <c r="F523" s="172"/>
      <c r="G523" s="172"/>
      <c r="H523" s="172"/>
      <c r="O523" s="172"/>
      <c r="P523" s="172"/>
      <c r="Q523" s="172"/>
      <c r="R523" s="172"/>
      <c r="S523" s="172"/>
      <c r="T523" s="172"/>
      <c r="U523" s="172"/>
      <c r="V523" s="172"/>
      <c r="W523" s="172"/>
      <c r="X523" s="172"/>
      <c r="Y523" s="172"/>
      <c r="Z523" s="172"/>
    </row>
    <row r="524" spans="1:26" ht="18.75">
      <c r="A524" s="172" t="s">
        <v>940</v>
      </c>
      <c r="B524" s="173">
        <v>0.11</v>
      </c>
      <c r="C524" s="344">
        <v>0.14000000000000001</v>
      </c>
      <c r="D524" s="361">
        <v>0.125</v>
      </c>
      <c r="E524" s="172"/>
      <c r="F524" s="172"/>
      <c r="G524" s="172"/>
      <c r="H524" s="172"/>
      <c r="J524" s="3"/>
      <c r="O524" s="172"/>
      <c r="P524" s="172"/>
      <c r="Q524" s="172"/>
      <c r="R524" s="172"/>
      <c r="S524" s="172"/>
      <c r="T524" s="172"/>
      <c r="U524" s="172"/>
      <c r="V524" s="172"/>
      <c r="W524" s="172"/>
      <c r="X524" s="172"/>
      <c r="Y524" s="172"/>
      <c r="Z524" s="172"/>
    </row>
    <row r="525" spans="1:26" ht="18.75">
      <c r="A525" s="172" t="s">
        <v>980</v>
      </c>
      <c r="B525" s="174">
        <f>$B$522*$B$521*(1-(1+B524)^-$B$523)/B524+$B$521/(1+B524)^$B$523</f>
        <v>1936.0928678861476</v>
      </c>
      <c r="C525" s="174">
        <f t="shared" ref="C525:D525" si="6">$B$522*$B$521*(1-(1+C524)^-$B$523)/C524+$B$521/(1+C524)^$B$523</f>
        <v>1769.1444835501625</v>
      </c>
      <c r="D525" s="174">
        <f t="shared" si="6"/>
        <v>1850</v>
      </c>
      <c r="E525" s="172"/>
      <c r="F525" s="172"/>
      <c r="G525" s="172"/>
      <c r="H525" s="172"/>
      <c r="O525" s="172"/>
      <c r="P525" s="172"/>
      <c r="Q525" s="172"/>
      <c r="R525" s="172"/>
      <c r="S525" s="172"/>
      <c r="T525" s="172"/>
      <c r="U525" s="172"/>
      <c r="V525" s="172"/>
      <c r="W525" s="172"/>
      <c r="X525" s="172"/>
      <c r="Y525" s="172"/>
      <c r="Z525" s="172"/>
    </row>
    <row r="526" spans="1:26" ht="18.75">
      <c r="A526" s="26"/>
      <c r="B526" s="172"/>
      <c r="C526" s="172"/>
      <c r="D526" s="172"/>
      <c r="E526" s="172"/>
      <c r="F526" s="172"/>
      <c r="G526" s="172"/>
      <c r="H526" s="172"/>
      <c r="O526" s="172"/>
      <c r="P526" s="172"/>
      <c r="Q526" s="172"/>
      <c r="R526" s="172"/>
      <c r="S526" s="172"/>
      <c r="T526" s="172"/>
      <c r="U526" s="172"/>
      <c r="V526" s="172"/>
      <c r="W526" s="172"/>
      <c r="X526" s="172"/>
      <c r="Y526" s="172"/>
      <c r="Z526" s="172"/>
    </row>
    <row r="527" spans="1:26" ht="18" customHeight="1">
      <c r="A527" s="407" t="s">
        <v>1025</v>
      </c>
      <c r="B527" s="407"/>
      <c r="C527" s="407"/>
      <c r="D527" s="407"/>
      <c r="E527" s="407"/>
      <c r="F527" s="407"/>
      <c r="G527" s="407"/>
      <c r="H527" s="172"/>
      <c r="O527" s="172"/>
      <c r="P527" s="172"/>
      <c r="Q527" s="172"/>
      <c r="R527" s="172"/>
      <c r="S527" s="172"/>
      <c r="T527" s="172"/>
      <c r="U527" s="172"/>
      <c r="V527" s="172"/>
      <c r="W527" s="172"/>
      <c r="X527" s="172"/>
      <c r="Y527" s="172"/>
      <c r="Z527" s="172"/>
    </row>
    <row r="528" spans="1:26" ht="18.75">
      <c r="A528" s="407"/>
      <c r="B528" s="407"/>
      <c r="C528" s="407"/>
      <c r="D528" s="407"/>
      <c r="E528" s="407"/>
      <c r="F528" s="407"/>
      <c r="G528" s="407"/>
      <c r="H528" s="172"/>
      <c r="J528" s="3"/>
      <c r="O528" s="172"/>
      <c r="P528" s="172"/>
      <c r="Q528" s="172"/>
      <c r="R528" s="172"/>
      <c r="S528" s="172"/>
      <c r="T528" s="172"/>
      <c r="U528" s="172"/>
      <c r="V528" s="172"/>
      <c r="W528" s="172"/>
      <c r="X528" s="172"/>
      <c r="Y528" s="172"/>
      <c r="Z528" s="172"/>
    </row>
    <row r="529" spans="1:26" ht="18.75">
      <c r="A529" s="407"/>
      <c r="B529" s="407"/>
      <c r="C529" s="407"/>
      <c r="D529" s="407"/>
      <c r="E529" s="407"/>
      <c r="F529" s="407"/>
      <c r="G529" s="407"/>
      <c r="H529" s="172"/>
      <c r="O529" s="172"/>
      <c r="P529" s="172"/>
      <c r="Q529" s="172"/>
      <c r="R529" s="172"/>
      <c r="S529" s="172"/>
      <c r="T529" s="172"/>
      <c r="U529" s="172"/>
      <c r="V529" s="172"/>
      <c r="W529" s="172"/>
      <c r="X529" s="172"/>
      <c r="Y529" s="172"/>
      <c r="Z529" s="172"/>
    </row>
    <row r="530" spans="1:26" ht="18.75">
      <c r="A530" s="407"/>
      <c r="B530" s="407"/>
      <c r="C530" s="407"/>
      <c r="D530" s="407"/>
      <c r="E530" s="407"/>
      <c r="F530" s="407"/>
      <c r="G530" s="407"/>
      <c r="H530" s="172"/>
      <c r="O530" s="172"/>
      <c r="P530" s="172"/>
      <c r="Q530" s="172"/>
      <c r="R530" s="172"/>
      <c r="S530" s="172"/>
      <c r="T530" s="172"/>
      <c r="U530" s="172"/>
      <c r="V530" s="172"/>
      <c r="W530" s="172"/>
      <c r="X530" s="172"/>
      <c r="Y530" s="172"/>
      <c r="Z530" s="172"/>
    </row>
    <row r="531" spans="1:26" ht="18.75">
      <c r="A531" t="s">
        <v>938</v>
      </c>
      <c r="B531">
        <v>1000</v>
      </c>
      <c r="H531" s="172"/>
      <c r="O531" s="172"/>
      <c r="P531" s="172"/>
      <c r="Q531" s="172"/>
      <c r="R531" s="172"/>
      <c r="S531" s="172"/>
      <c r="T531" s="172"/>
      <c r="U531" s="172"/>
      <c r="V531" s="172"/>
      <c r="W531" s="172"/>
      <c r="X531" s="172"/>
      <c r="Y531" s="172"/>
      <c r="Z531" s="172"/>
    </row>
    <row r="532" spans="1:26" ht="18.75">
      <c r="A532" t="s">
        <v>919</v>
      </c>
      <c r="B532" s="2">
        <v>0.1</v>
      </c>
      <c r="H532" s="172"/>
      <c r="O532" s="172"/>
      <c r="P532" s="172"/>
      <c r="Q532" s="172"/>
      <c r="R532" s="172"/>
      <c r="S532" s="172"/>
      <c r="T532" s="172"/>
      <c r="U532" s="172"/>
      <c r="V532" s="172"/>
      <c r="W532" s="172"/>
      <c r="X532" s="172"/>
      <c r="Y532" s="172"/>
      <c r="Z532" s="172"/>
    </row>
    <row r="533" spans="1:26" ht="18.75">
      <c r="A533" t="s">
        <v>48</v>
      </c>
      <c r="B533">
        <v>1.3</v>
      </c>
      <c r="H533" s="172"/>
      <c r="O533" s="172"/>
      <c r="P533" s="172"/>
      <c r="Q533" s="172"/>
      <c r="R533" s="172"/>
      <c r="S533" s="172"/>
      <c r="T533" s="172"/>
      <c r="U533" s="172"/>
      <c r="V533" s="172"/>
      <c r="W533" s="172"/>
      <c r="X533" s="172"/>
      <c r="Y533" s="172"/>
      <c r="Z533" s="172"/>
    </row>
    <row r="534" spans="1:26" ht="18.75">
      <c r="A534" t="s">
        <v>940</v>
      </c>
      <c r="B534" s="2">
        <v>0.12</v>
      </c>
      <c r="H534" s="172"/>
      <c r="O534" s="172"/>
      <c r="P534" s="172"/>
      <c r="Q534" s="172"/>
      <c r="R534" s="172"/>
      <c r="S534" s="172"/>
      <c r="T534" s="172"/>
      <c r="U534" s="172"/>
      <c r="V534" s="172"/>
      <c r="W534" s="172"/>
      <c r="X534" s="172"/>
      <c r="Y534" s="172"/>
      <c r="Z534" s="172"/>
    </row>
    <row r="535" spans="1:26" ht="18.75">
      <c r="A535" t="s">
        <v>521</v>
      </c>
      <c r="B535">
        <v>2</v>
      </c>
      <c r="H535" s="172"/>
      <c r="O535" s="172"/>
      <c r="P535" s="172"/>
      <c r="Q535" s="172"/>
      <c r="R535" s="172"/>
      <c r="S535" s="172"/>
      <c r="T535" s="172"/>
      <c r="U535" s="172"/>
      <c r="V535" s="172"/>
      <c r="W535" s="172"/>
      <c r="X535" s="172"/>
      <c r="Y535" s="172"/>
      <c r="Z535" s="172"/>
    </row>
    <row r="536" spans="1:26" ht="18.75">
      <c r="A536" t="s">
        <v>946</v>
      </c>
      <c r="B536" s="376">
        <v>2</v>
      </c>
      <c r="H536" s="172"/>
      <c r="O536" s="172"/>
      <c r="P536" s="172"/>
      <c r="Q536" s="172"/>
      <c r="R536" s="172"/>
      <c r="S536" s="172"/>
      <c r="T536" s="172"/>
      <c r="U536" s="172"/>
      <c r="V536" s="172"/>
      <c r="W536" s="172"/>
      <c r="X536" s="172"/>
      <c r="Y536" s="172"/>
      <c r="Z536" s="172"/>
    </row>
    <row r="537" spans="1:26" ht="18.75">
      <c r="H537" s="172"/>
      <c r="O537" s="172"/>
      <c r="P537" s="172"/>
      <c r="Q537" s="172"/>
      <c r="R537" s="172"/>
      <c r="S537" s="172"/>
      <c r="T537" s="172"/>
      <c r="U537" s="172"/>
      <c r="V537" s="172"/>
      <c r="W537" s="172"/>
      <c r="X537" s="172"/>
      <c r="Y537" s="172"/>
      <c r="Z537" s="172"/>
    </row>
    <row r="538" spans="1:26" ht="18.75">
      <c r="A538" t="s">
        <v>1452</v>
      </c>
      <c r="B538">
        <f>B535*B533</f>
        <v>2.6</v>
      </c>
      <c r="H538" s="172"/>
      <c r="O538" s="172"/>
      <c r="P538" s="172"/>
      <c r="Q538" s="172"/>
      <c r="R538" s="172"/>
      <c r="S538" s="172"/>
      <c r="T538" s="172"/>
      <c r="U538" s="172"/>
      <c r="V538" s="172"/>
      <c r="W538" s="172"/>
      <c r="X538" s="172"/>
      <c r="Y538" s="172"/>
      <c r="Z538" s="172"/>
    </row>
    <row r="539" spans="1:26" ht="18.75">
      <c r="A539" t="s">
        <v>1453</v>
      </c>
      <c r="B539">
        <v>0.6</v>
      </c>
      <c r="C539" t="s">
        <v>1459</v>
      </c>
      <c r="H539" s="172"/>
      <c r="O539" s="172"/>
      <c r="P539" s="172"/>
      <c r="Q539" s="172"/>
      <c r="R539" s="172"/>
      <c r="S539" s="172"/>
      <c r="T539" s="172"/>
      <c r="U539" s="172"/>
      <c r="V539" s="172"/>
      <c r="W539" s="172"/>
      <c r="X539" s="172"/>
      <c r="Y539" s="172"/>
      <c r="Z539" s="172"/>
    </row>
    <row r="540" spans="1:26" ht="18.75">
      <c r="A540" t="s">
        <v>42</v>
      </c>
      <c r="B540">
        <f>1-B539</f>
        <v>0.4</v>
      </c>
      <c r="H540" s="172"/>
      <c r="O540" s="172"/>
      <c r="P540" s="172"/>
      <c r="Q540" s="172"/>
      <c r="R540" s="172"/>
      <c r="S540" s="172"/>
      <c r="T540" s="172"/>
      <c r="U540" s="172"/>
      <c r="V540" s="172"/>
      <c r="W540" s="172"/>
      <c r="X540" s="172"/>
      <c r="Y540" s="172"/>
      <c r="Z540" s="172"/>
    </row>
    <row r="541" spans="1:26" ht="18.75">
      <c r="H541" s="172"/>
      <c r="O541" s="172"/>
      <c r="P541" s="172"/>
      <c r="Q541" s="172"/>
      <c r="R541" s="172"/>
      <c r="S541" s="172"/>
      <c r="T541" s="172"/>
      <c r="U541" s="172"/>
      <c r="V541" s="172"/>
      <c r="W541" s="172"/>
      <c r="X541" s="172"/>
      <c r="Y541" s="172"/>
      <c r="Z541" s="172"/>
    </row>
    <row r="542" spans="1:26" ht="18.75">
      <c r="A542" t="s">
        <v>1454</v>
      </c>
      <c r="C542">
        <f>(1+B534/B536)^(B536/B535)-1</f>
        <v>6.0000000000000053E-2</v>
      </c>
      <c r="D542" t="s">
        <v>1455</v>
      </c>
      <c r="H542" s="172"/>
      <c r="O542" s="172"/>
      <c r="P542" s="172"/>
      <c r="Q542" s="172"/>
      <c r="R542" s="172"/>
      <c r="S542" s="172"/>
      <c r="T542" s="172"/>
      <c r="U542" s="172"/>
      <c r="V542" s="172"/>
      <c r="W542" s="172"/>
      <c r="X542" s="172"/>
      <c r="Y542" s="172"/>
      <c r="Z542" s="172"/>
    </row>
    <row r="543" spans="1:26" ht="18.75">
      <c r="A543" t="s">
        <v>943</v>
      </c>
      <c r="C543">
        <f>B532*B531/B535</f>
        <v>50</v>
      </c>
      <c r="H543" s="172"/>
      <c r="O543" s="172"/>
      <c r="P543" s="172"/>
      <c r="Q543" s="172"/>
      <c r="R543" s="172"/>
      <c r="S543" s="172"/>
      <c r="T543" s="172"/>
      <c r="U543" s="172"/>
      <c r="V543" s="172"/>
      <c r="W543" s="172"/>
      <c r="X543" s="172"/>
      <c r="Y543" s="172"/>
      <c r="Z543" s="172"/>
    </row>
    <row r="544" spans="1:26" ht="18.75">
      <c r="A544" t="s">
        <v>1456</v>
      </c>
      <c r="G544">
        <f>(1/(1+C542)^B539)*(C543+C543/(1+C542)+(C543+B531)/(1+C542)^2)</f>
        <v>996.2208564802047</v>
      </c>
      <c r="H544" s="172"/>
      <c r="O544" s="172"/>
      <c r="P544" s="172"/>
      <c r="Q544" s="172"/>
      <c r="R544" s="172"/>
      <c r="S544" s="172"/>
      <c r="T544" s="172"/>
      <c r="U544" s="172"/>
      <c r="V544" s="172"/>
      <c r="W544" s="172"/>
      <c r="X544" s="172"/>
      <c r="Y544" s="172"/>
      <c r="Z544" s="172"/>
    </row>
    <row r="545" spans="1:26" ht="18.75">
      <c r="A545" t="s">
        <v>1457</v>
      </c>
      <c r="C545">
        <f>C543*B540</f>
        <v>20</v>
      </c>
      <c r="H545" s="172"/>
      <c r="O545" s="172"/>
      <c r="P545" s="172"/>
      <c r="Q545" s="172"/>
      <c r="R545" s="172"/>
      <c r="S545" s="172"/>
      <c r="T545" s="172"/>
      <c r="U545" s="172"/>
      <c r="V545" s="172"/>
      <c r="W545" s="172"/>
      <c r="X545" s="172"/>
      <c r="Y545" s="172"/>
      <c r="Z545" s="172"/>
    </row>
    <row r="546" spans="1:26" ht="18.75">
      <c r="A546" t="s">
        <v>1458</v>
      </c>
      <c r="D546" s="4">
        <f>G544-C545</f>
        <v>976.2208564802047</v>
      </c>
      <c r="H546" s="172"/>
      <c r="O546" s="172"/>
      <c r="P546" s="172"/>
      <c r="Q546" s="172"/>
      <c r="R546" s="172"/>
      <c r="S546" s="172"/>
      <c r="T546" s="172"/>
      <c r="U546" s="172"/>
      <c r="V546" s="172"/>
      <c r="W546" s="172"/>
      <c r="X546" s="172"/>
      <c r="Y546" s="172"/>
      <c r="Z546" s="172"/>
    </row>
    <row r="547" spans="1:26" ht="18.75">
      <c r="A547" s="24"/>
      <c r="B547" s="172"/>
      <c r="C547" s="172"/>
      <c r="D547" s="172"/>
      <c r="E547" s="172"/>
      <c r="F547" s="172"/>
      <c r="G547" s="172"/>
      <c r="H547" s="172"/>
      <c r="O547" s="172"/>
      <c r="P547" s="172"/>
      <c r="Q547" s="172"/>
      <c r="R547" s="172"/>
      <c r="S547" s="172"/>
      <c r="T547" s="172"/>
      <c r="U547" s="172"/>
      <c r="V547" s="172"/>
      <c r="W547" s="172"/>
      <c r="X547" s="172"/>
      <c r="Y547" s="172"/>
      <c r="Z547" s="172"/>
    </row>
    <row r="548" spans="1:26" ht="18.75">
      <c r="A548" s="431" t="s">
        <v>1026</v>
      </c>
      <c r="B548" s="431"/>
      <c r="C548" s="431"/>
      <c r="D548" s="431"/>
      <c r="E548" s="431"/>
      <c r="F548" s="431"/>
      <c r="G548" s="172"/>
      <c r="H548" s="172"/>
      <c r="I548" s="172"/>
      <c r="J548" s="172"/>
      <c r="K548" s="172"/>
      <c r="L548" s="172"/>
      <c r="M548" s="172"/>
      <c r="N548" s="172"/>
      <c r="O548" s="172"/>
      <c r="P548" s="172"/>
      <c r="Q548" s="172"/>
      <c r="R548" s="172"/>
      <c r="S548" s="172"/>
      <c r="T548" s="172"/>
      <c r="U548" s="172"/>
      <c r="V548" s="172"/>
      <c r="W548" s="172"/>
      <c r="X548" s="172"/>
      <c r="Y548" s="172"/>
      <c r="Z548" s="172"/>
    </row>
    <row r="549" spans="1:26" ht="18.75">
      <c r="A549" s="431"/>
      <c r="B549" s="431"/>
      <c r="C549" s="431"/>
      <c r="D549" s="431"/>
      <c r="E549" s="431"/>
      <c r="F549" s="431"/>
      <c r="G549" s="172"/>
      <c r="H549" s="172"/>
      <c r="I549" s="172"/>
      <c r="J549" s="172"/>
      <c r="K549" s="172"/>
      <c r="L549" s="172"/>
      <c r="M549" s="172"/>
      <c r="N549" s="172"/>
      <c r="O549" s="172"/>
      <c r="P549" s="172"/>
      <c r="Q549" s="172"/>
      <c r="R549" s="172"/>
      <c r="S549" s="172"/>
      <c r="T549" s="172"/>
      <c r="U549" s="172"/>
      <c r="V549" s="172"/>
      <c r="W549" s="172"/>
      <c r="X549" s="172"/>
      <c r="Y549" s="172"/>
      <c r="Z549" s="172"/>
    </row>
    <row r="550" spans="1:26" ht="18.75">
      <c r="A550" s="431"/>
      <c r="B550" s="431"/>
      <c r="C550" s="431"/>
      <c r="D550" s="431"/>
      <c r="E550" s="431"/>
      <c r="F550" s="431"/>
      <c r="G550" s="172"/>
      <c r="H550" s="172"/>
      <c r="I550" s="172"/>
      <c r="J550" s="172"/>
      <c r="K550" s="172"/>
      <c r="L550" s="172"/>
      <c r="M550" s="172"/>
      <c r="N550" s="172"/>
      <c r="O550" s="172"/>
      <c r="P550" s="172"/>
      <c r="Q550" s="172"/>
      <c r="R550" s="172"/>
      <c r="S550" s="172"/>
      <c r="T550" s="172"/>
      <c r="U550" s="172"/>
      <c r="V550" s="172"/>
      <c r="W550" s="172"/>
      <c r="X550" s="172"/>
      <c r="Y550" s="172"/>
      <c r="Z550" s="172"/>
    </row>
    <row r="551" spans="1:26" ht="18.75">
      <c r="A551" s="431"/>
      <c r="B551" s="431"/>
      <c r="C551" s="431"/>
      <c r="D551" s="431"/>
      <c r="E551" s="431"/>
      <c r="F551" s="431"/>
      <c r="G551" s="172"/>
      <c r="H551" s="172"/>
      <c r="I551" s="172"/>
      <c r="J551" s="172"/>
      <c r="K551" s="172"/>
      <c r="L551" s="172"/>
      <c r="M551" s="172"/>
      <c r="N551" s="172"/>
      <c r="O551" s="172"/>
      <c r="P551" s="172"/>
      <c r="Q551" s="172"/>
      <c r="R551" s="172"/>
      <c r="S551" s="172"/>
      <c r="T551" s="172"/>
      <c r="U551" s="172"/>
      <c r="V551" s="172"/>
      <c r="W551" s="172"/>
      <c r="X551" s="172"/>
      <c r="Y551" s="172"/>
      <c r="Z551" s="172"/>
    </row>
    <row r="552" spans="1:26" ht="18.75">
      <c r="A552" s="431"/>
      <c r="B552" s="431"/>
      <c r="C552" s="431"/>
      <c r="D552" s="431"/>
      <c r="E552" s="431"/>
      <c r="F552" s="431"/>
      <c r="G552" s="172"/>
      <c r="H552" s="172"/>
      <c r="I552" s="172"/>
      <c r="J552" s="172"/>
      <c r="K552" s="172"/>
      <c r="L552" s="172"/>
      <c r="M552" s="172"/>
      <c r="N552" s="172"/>
      <c r="O552" s="172"/>
      <c r="P552" s="172"/>
      <c r="Q552" s="172"/>
      <c r="R552" s="172"/>
      <c r="S552" s="172"/>
      <c r="T552" s="172"/>
      <c r="U552" s="172"/>
      <c r="V552" s="172"/>
      <c r="W552" s="172"/>
      <c r="X552" s="172"/>
      <c r="Y552" s="172"/>
      <c r="Z552" s="172"/>
    </row>
    <row r="553" spans="1:26" ht="18.75">
      <c r="A553" s="1" t="s">
        <v>302</v>
      </c>
      <c r="I553" s="172"/>
      <c r="J553" s="172"/>
      <c r="K553" s="172"/>
      <c r="L553" s="172"/>
      <c r="M553" s="172"/>
      <c r="N553" s="172"/>
      <c r="O553" s="172"/>
      <c r="P553" s="172"/>
      <c r="Q553" s="172"/>
      <c r="R553" s="172"/>
      <c r="S553" s="172"/>
      <c r="T553" s="172"/>
      <c r="U553" s="172"/>
      <c r="V553" s="172"/>
      <c r="W553" s="172"/>
      <c r="X553" s="172"/>
      <c r="Y553" s="172"/>
      <c r="Z553" s="172"/>
    </row>
    <row r="554" spans="1:26" ht="18.75">
      <c r="A554" s="387" t="s">
        <v>48</v>
      </c>
      <c r="B554" s="387">
        <v>10</v>
      </c>
      <c r="I554" s="172"/>
      <c r="J554" s="172"/>
      <c r="K554" s="172"/>
      <c r="L554" s="172"/>
      <c r="M554" s="172"/>
      <c r="N554" s="172"/>
      <c r="O554" s="172"/>
      <c r="P554" s="172"/>
      <c r="Q554" s="172"/>
      <c r="R554" s="172"/>
      <c r="S554" s="172"/>
      <c r="T554" s="172"/>
      <c r="U554" s="172"/>
      <c r="V554" s="172"/>
      <c r="W554" s="172"/>
      <c r="X554" s="172"/>
      <c r="Y554" s="172"/>
      <c r="Z554" s="172"/>
    </row>
    <row r="555" spans="1:26" ht="18.75">
      <c r="A555" s="387" t="s">
        <v>1462</v>
      </c>
      <c r="B555" s="387">
        <v>1</v>
      </c>
      <c r="I555" s="172"/>
      <c r="J555" s="172"/>
      <c r="K555" s="172"/>
      <c r="L555" s="172"/>
      <c r="M555" s="172"/>
      <c r="N555" s="172"/>
      <c r="O555" s="172"/>
      <c r="P555" s="172"/>
      <c r="Q555" s="172"/>
      <c r="R555" s="172"/>
      <c r="S555" s="172"/>
      <c r="T555" s="172"/>
      <c r="U555" s="172"/>
      <c r="V555" s="172"/>
      <c r="W555" s="172"/>
      <c r="X555" s="172"/>
      <c r="Y555" s="172"/>
      <c r="Z555" s="172"/>
    </row>
    <row r="556" spans="1:26" ht="18.75">
      <c r="A556" s="387" t="s">
        <v>1463</v>
      </c>
      <c r="B556" s="388">
        <v>0.1</v>
      </c>
      <c r="I556" s="172"/>
      <c r="J556" s="172"/>
      <c r="K556" s="172"/>
      <c r="L556" s="172"/>
      <c r="M556" s="172"/>
      <c r="N556" s="172"/>
      <c r="O556" s="172"/>
      <c r="P556" s="172"/>
      <c r="Q556" s="172"/>
      <c r="R556" s="172"/>
      <c r="S556" s="172"/>
      <c r="T556" s="172"/>
      <c r="U556" s="172"/>
      <c r="V556" s="172"/>
      <c r="W556" s="172"/>
      <c r="X556" s="172"/>
      <c r="Y556" s="172"/>
      <c r="Z556" s="172"/>
    </row>
    <row r="557" spans="1:26" ht="18.75">
      <c r="A557" s="387" t="s">
        <v>1464</v>
      </c>
      <c r="B557" s="388">
        <v>-0.05</v>
      </c>
      <c r="I557" s="172"/>
      <c r="J557" s="172"/>
      <c r="K557" s="172"/>
      <c r="L557" s="172"/>
      <c r="M557" s="172"/>
      <c r="N557" s="172"/>
      <c r="O557" s="172"/>
      <c r="P557" s="172"/>
      <c r="Q557" s="172"/>
      <c r="R557" s="172"/>
      <c r="S557" s="172"/>
      <c r="T557" s="172"/>
      <c r="U557" s="172"/>
      <c r="V557" s="172"/>
      <c r="W557" s="172"/>
      <c r="X557" s="172"/>
      <c r="Y557" s="172"/>
      <c r="Z557" s="172"/>
    </row>
    <row r="558" spans="1:26" ht="18.75">
      <c r="A558" s="387" t="s">
        <v>919</v>
      </c>
      <c r="B558" s="389">
        <v>0.08</v>
      </c>
      <c r="I558" s="172"/>
      <c r="J558" s="172"/>
      <c r="K558" s="172"/>
      <c r="L558" s="172"/>
      <c r="M558" s="172"/>
      <c r="N558" s="172"/>
      <c r="O558" s="172"/>
      <c r="P558" s="172"/>
      <c r="Q558" s="172"/>
      <c r="R558" s="172"/>
      <c r="S558" s="172"/>
      <c r="T558" s="172"/>
      <c r="U558" s="172"/>
      <c r="V558" s="172"/>
      <c r="W558" s="172"/>
      <c r="X558" s="172"/>
      <c r="Y558" s="172"/>
      <c r="Z558" s="172"/>
    </row>
    <row r="559" spans="1:26" ht="18.75">
      <c r="I559" s="172"/>
      <c r="J559" s="172"/>
      <c r="K559" s="172"/>
      <c r="L559" s="172"/>
      <c r="M559" s="172"/>
      <c r="N559" s="172"/>
      <c r="O559" s="172"/>
      <c r="P559" s="172"/>
      <c r="Q559" s="172"/>
      <c r="R559" s="172"/>
      <c r="S559" s="172"/>
      <c r="T559" s="172"/>
      <c r="U559" s="172"/>
      <c r="V559" s="172"/>
      <c r="W559" s="172"/>
      <c r="X559" s="172"/>
      <c r="Y559" s="172"/>
      <c r="Z559" s="172"/>
    </row>
    <row r="560" spans="1:26" ht="18.75">
      <c r="A560" s="387" t="s">
        <v>983</v>
      </c>
      <c r="B560" s="387">
        <f>B555</f>
        <v>1</v>
      </c>
      <c r="D560" s="387" t="s">
        <v>983</v>
      </c>
      <c r="E560" s="388">
        <f>1+B556</f>
        <v>1.1000000000000001</v>
      </c>
      <c r="G560" s="387" t="s">
        <v>983</v>
      </c>
      <c r="H560" s="388">
        <f>1+B557</f>
        <v>0.95</v>
      </c>
      <c r="I560" s="172"/>
      <c r="J560" s="172"/>
      <c r="K560" s="172"/>
      <c r="L560" s="172"/>
      <c r="M560" s="172"/>
      <c r="N560" s="172"/>
      <c r="O560" s="172"/>
      <c r="P560" s="172"/>
      <c r="Q560" s="172"/>
      <c r="R560" s="172"/>
      <c r="S560" s="172"/>
      <c r="T560" s="172"/>
      <c r="U560" s="172"/>
      <c r="V560" s="172"/>
      <c r="W560" s="172"/>
      <c r="X560" s="172"/>
      <c r="Y560" s="172"/>
      <c r="Z560" s="172"/>
    </row>
    <row r="561" spans="1:26" ht="18.75">
      <c r="A561" s="387" t="s">
        <v>521</v>
      </c>
      <c r="B561" s="390">
        <f>(2*(B558*B554+1-B560))/(B560-1+B554*(1+B560))</f>
        <v>0.08</v>
      </c>
      <c r="D561" s="387" t="s">
        <v>521</v>
      </c>
      <c r="E561" s="391">
        <f>(2*(B558*B554+1-E560))/(E560-1+B554*(1+E560))</f>
        <v>6.6350710900473925E-2</v>
      </c>
      <c r="G561" s="387" t="s">
        <v>521</v>
      </c>
      <c r="H561" s="391">
        <f>(2*(B558*B554+1-H560))/(H560-1+B554*(1+H560))</f>
        <v>8.7403598971722382E-2</v>
      </c>
      <c r="I561" s="172"/>
      <c r="J561" s="172"/>
      <c r="K561" s="172"/>
      <c r="L561" s="172"/>
      <c r="M561" s="172"/>
      <c r="N561" s="172"/>
      <c r="O561" s="172"/>
      <c r="P561" s="172"/>
      <c r="Q561" s="172"/>
      <c r="R561" s="172"/>
      <c r="S561" s="172"/>
      <c r="T561" s="172"/>
      <c r="U561" s="172"/>
      <c r="V561" s="172"/>
      <c r="W561" s="172"/>
      <c r="X561" s="172"/>
      <c r="Y561" s="172"/>
      <c r="Z561" s="172"/>
    </row>
    <row r="562" spans="1:26" ht="18.75">
      <c r="A562" s="24"/>
      <c r="B562" s="172"/>
      <c r="C562" s="172"/>
      <c r="D562" s="172"/>
      <c r="E562" s="172"/>
      <c r="F562" s="172"/>
      <c r="G562" s="172"/>
      <c r="H562" s="172"/>
      <c r="I562" s="172"/>
      <c r="J562" s="172"/>
      <c r="K562" s="172"/>
      <c r="L562" s="172"/>
      <c r="M562" s="172"/>
      <c r="N562" s="172"/>
      <c r="O562" s="172"/>
      <c r="P562" s="172"/>
      <c r="Q562" s="172"/>
      <c r="R562" s="172"/>
      <c r="S562" s="172"/>
      <c r="T562" s="172"/>
      <c r="U562" s="172"/>
      <c r="V562" s="172"/>
      <c r="W562" s="172"/>
      <c r="X562" s="172"/>
      <c r="Y562" s="172"/>
      <c r="Z562" s="172"/>
    </row>
    <row r="563" spans="1:26" ht="18.75">
      <c r="A563" s="24"/>
      <c r="B563" s="172"/>
      <c r="C563" s="172"/>
      <c r="D563" s="172"/>
      <c r="E563" s="172"/>
      <c r="F563" s="172"/>
      <c r="G563" s="172"/>
      <c r="H563" s="172"/>
      <c r="I563" s="172"/>
      <c r="J563" s="172"/>
      <c r="K563" s="172"/>
      <c r="L563" s="172"/>
      <c r="M563" s="172"/>
      <c r="N563" s="172"/>
      <c r="O563" s="172"/>
      <c r="P563" s="172"/>
      <c r="Q563" s="172"/>
      <c r="R563" s="172"/>
      <c r="S563" s="172"/>
      <c r="T563" s="172"/>
      <c r="U563" s="172"/>
      <c r="V563" s="172"/>
      <c r="W563" s="172"/>
      <c r="X563" s="172"/>
      <c r="Y563" s="172"/>
      <c r="Z563" s="172"/>
    </row>
    <row r="564" spans="1:26" ht="18.75">
      <c r="A564" s="24" t="s">
        <v>1027</v>
      </c>
      <c r="B564" s="172"/>
      <c r="C564" s="172"/>
      <c r="D564" s="172"/>
      <c r="E564" s="172"/>
      <c r="F564" s="172"/>
      <c r="G564" s="172"/>
      <c r="H564" s="172"/>
      <c r="I564" s="172"/>
      <c r="J564" s="172"/>
      <c r="K564" s="172"/>
      <c r="L564" s="172"/>
      <c r="M564" s="172"/>
      <c r="N564" s="172"/>
      <c r="O564" s="172"/>
      <c r="P564" s="172"/>
      <c r="Q564" s="172"/>
      <c r="R564" s="172"/>
      <c r="S564" s="172"/>
      <c r="T564" s="172"/>
      <c r="U564" s="172"/>
      <c r="V564" s="172"/>
      <c r="W564" s="172"/>
      <c r="X564" s="172"/>
      <c r="Y564" s="172"/>
      <c r="Z564" s="172"/>
    </row>
    <row r="565" spans="1:26" ht="18.75">
      <c r="A565" s="78"/>
      <c r="B565" s="172"/>
      <c r="C565" s="172"/>
      <c r="D565" s="172"/>
      <c r="E565" s="172"/>
      <c r="F565" s="172"/>
      <c r="G565" s="172"/>
      <c r="H565" s="172"/>
      <c r="I565" s="172"/>
      <c r="J565" s="172"/>
      <c r="K565" s="172"/>
      <c r="L565" s="172"/>
      <c r="M565" s="172"/>
      <c r="N565" s="172"/>
      <c r="O565" s="172"/>
      <c r="P565" s="172"/>
      <c r="Q565" s="172"/>
      <c r="R565" s="172"/>
      <c r="S565" s="172"/>
      <c r="T565" s="172"/>
      <c r="U565" s="172"/>
      <c r="V565" s="172"/>
      <c r="W565" s="172"/>
      <c r="X565" s="172"/>
      <c r="Y565" s="172"/>
      <c r="Z565" s="172"/>
    </row>
    <row r="566" spans="1:26" ht="18.75">
      <c r="A566" s="180" t="s">
        <v>1028</v>
      </c>
      <c r="B566" s="172"/>
      <c r="C566" s="172"/>
      <c r="D566" s="172"/>
      <c r="E566" s="172"/>
      <c r="F566" s="172"/>
      <c r="G566" s="172"/>
      <c r="H566" s="172"/>
      <c r="I566" s="172"/>
      <c r="J566" s="172"/>
      <c r="K566" s="172"/>
      <c r="L566" s="172"/>
      <c r="M566" s="172"/>
      <c r="N566" s="172"/>
      <c r="O566" s="172"/>
      <c r="P566" s="172"/>
      <c r="Q566" s="172"/>
      <c r="R566" s="172"/>
      <c r="S566" s="172"/>
      <c r="T566" s="172"/>
      <c r="U566" s="172"/>
      <c r="V566" s="172"/>
      <c r="W566" s="172"/>
      <c r="X566" s="172"/>
      <c r="Y566" s="172"/>
      <c r="Z566" s="172"/>
    </row>
    <row r="567" spans="1:26" ht="18.75">
      <c r="A567" s="24"/>
      <c r="B567" s="172"/>
      <c r="C567" s="172"/>
      <c r="D567" s="172"/>
      <c r="E567" s="172"/>
      <c r="F567" s="172"/>
      <c r="G567" s="172"/>
      <c r="H567" s="172"/>
      <c r="I567" s="172"/>
      <c r="J567" s="172"/>
      <c r="K567" s="172"/>
      <c r="L567" s="172"/>
      <c r="M567" s="172"/>
      <c r="N567" s="172"/>
      <c r="O567" s="172"/>
      <c r="P567" s="172"/>
      <c r="Q567" s="172"/>
      <c r="R567" s="172"/>
      <c r="S567" s="172"/>
      <c r="T567" s="172"/>
      <c r="U567" s="172"/>
      <c r="V567" s="172"/>
      <c r="W567" s="172"/>
      <c r="X567" s="172"/>
      <c r="Y567" s="172"/>
      <c r="Z567" s="172"/>
    </row>
    <row r="568" spans="1:26" ht="18.75">
      <c r="A568" s="24" t="s">
        <v>1029</v>
      </c>
      <c r="B568" s="172"/>
      <c r="C568" s="172"/>
      <c r="D568" s="172"/>
      <c r="E568" s="172"/>
      <c r="F568" s="172"/>
      <c r="G568" s="172"/>
      <c r="H568" s="172"/>
      <c r="I568" s="172"/>
      <c r="J568" s="172"/>
      <c r="K568" s="172"/>
      <c r="L568" s="172"/>
      <c r="M568" s="172"/>
      <c r="N568" s="172"/>
      <c r="O568" s="172"/>
      <c r="P568" s="172"/>
      <c r="Q568" s="172"/>
      <c r="R568" s="172"/>
      <c r="S568" s="172"/>
      <c r="T568" s="172"/>
      <c r="U568" s="172"/>
      <c r="V568" s="172"/>
      <c r="W568" s="172"/>
      <c r="X568" s="172"/>
      <c r="Y568" s="172"/>
      <c r="Z568" s="172"/>
    </row>
    <row r="569" spans="1:26" ht="18.75">
      <c r="A569" t="s">
        <v>1465</v>
      </c>
      <c r="B569" s="20">
        <v>42574</v>
      </c>
      <c r="L569" s="172"/>
      <c r="M569" s="172"/>
      <c r="N569" s="172"/>
      <c r="O569" s="172"/>
      <c r="P569" s="172"/>
      <c r="Q569" s="172"/>
      <c r="R569" s="172"/>
      <c r="S569" s="172"/>
      <c r="T569" s="172"/>
      <c r="U569" s="172"/>
      <c r="V569" s="172"/>
      <c r="W569" s="172"/>
      <c r="X569" s="172"/>
      <c r="Y569" s="172"/>
      <c r="Z569" s="172"/>
    </row>
    <row r="570" spans="1:26" ht="18.75">
      <c r="A570" t="s">
        <v>1466</v>
      </c>
      <c r="B570" s="20">
        <v>42752</v>
      </c>
      <c r="L570" s="172"/>
      <c r="M570" s="172"/>
      <c r="N570" s="172"/>
      <c r="O570" s="172"/>
      <c r="P570" s="172"/>
      <c r="Q570" s="172"/>
      <c r="R570" s="172"/>
      <c r="S570" s="172"/>
      <c r="T570" s="172"/>
      <c r="U570" s="172"/>
      <c r="V570" s="172"/>
      <c r="W570" s="172"/>
      <c r="X570" s="172"/>
      <c r="Y570" s="172"/>
      <c r="Z570" s="172"/>
    </row>
    <row r="571" spans="1:26" ht="18.75">
      <c r="A571" t="s">
        <v>1467</v>
      </c>
      <c r="B571">
        <v>100</v>
      </c>
      <c r="L571" s="172"/>
      <c r="M571" s="172"/>
      <c r="N571" s="172"/>
      <c r="O571" s="172"/>
      <c r="P571" s="172"/>
      <c r="Q571" s="172"/>
      <c r="R571" s="172"/>
      <c r="S571" s="172"/>
      <c r="T571" s="172"/>
      <c r="U571" s="172"/>
      <c r="V571" s="172"/>
      <c r="W571" s="172"/>
      <c r="X571" s="172"/>
      <c r="Y571" s="172"/>
      <c r="Z571" s="172"/>
    </row>
    <row r="572" spans="1:26" ht="18.75">
      <c r="L572" s="172"/>
      <c r="M572" s="172"/>
      <c r="N572" s="172"/>
      <c r="O572" s="172"/>
      <c r="P572" s="172"/>
      <c r="Q572" s="172"/>
      <c r="R572" s="172"/>
      <c r="S572" s="172"/>
      <c r="T572" s="172"/>
      <c r="U572" s="172"/>
      <c r="V572" s="172"/>
      <c r="W572" s="172"/>
      <c r="X572" s="172"/>
      <c r="Y572" s="172"/>
      <c r="Z572" s="172"/>
    </row>
    <row r="573" spans="1:26" ht="18.75">
      <c r="A573" t="s">
        <v>370</v>
      </c>
      <c r="B573">
        <f>_xlfn.DAYS(B570,B569)</f>
        <v>178</v>
      </c>
      <c r="C573" t="s">
        <v>983</v>
      </c>
      <c r="D573">
        <v>366</v>
      </c>
      <c r="E573">
        <v>-2016</v>
      </c>
      <c r="L573" s="172"/>
      <c r="M573" s="172"/>
      <c r="N573" s="172"/>
      <c r="O573" s="172"/>
      <c r="P573" s="172"/>
      <c r="Q573" s="172"/>
      <c r="R573" s="172"/>
      <c r="S573" s="172"/>
      <c r="T573" s="172"/>
      <c r="U573" s="172"/>
      <c r="V573" s="172"/>
      <c r="W573" s="172"/>
      <c r="X573" s="172"/>
      <c r="Y573" s="172"/>
      <c r="Z573" s="172"/>
    </row>
    <row r="574" spans="1:26" ht="18.75">
      <c r="A574" t="s">
        <v>1468</v>
      </c>
      <c r="B574" s="4">
        <f>B571*B573/D573</f>
        <v>48.633879781420767</v>
      </c>
      <c r="L574" s="172"/>
      <c r="M574" s="172"/>
      <c r="N574" s="172"/>
      <c r="O574" s="172"/>
      <c r="P574" s="172"/>
      <c r="Q574" s="172"/>
      <c r="R574" s="172"/>
      <c r="S574" s="172"/>
      <c r="T574" s="172"/>
      <c r="U574" s="172"/>
      <c r="V574" s="172"/>
      <c r="W574" s="172"/>
      <c r="X574" s="172"/>
      <c r="Y574" s="172"/>
      <c r="Z574" s="172"/>
    </row>
    <row r="575" spans="1:26" ht="18.75">
      <c r="A575" s="24"/>
      <c r="B575" s="172"/>
      <c r="C575" s="172"/>
      <c r="D575" s="172"/>
      <c r="E575" s="172"/>
      <c r="F575" s="172"/>
      <c r="G575" s="172"/>
      <c r="H575" s="172"/>
      <c r="I575" s="172"/>
      <c r="J575" s="172"/>
      <c r="K575" s="172"/>
      <c r="L575" s="172"/>
      <c r="M575" s="172"/>
      <c r="N575" s="172"/>
      <c r="O575" s="172"/>
      <c r="P575" s="172"/>
      <c r="Q575" s="172"/>
      <c r="R575" s="172"/>
      <c r="S575" s="172"/>
      <c r="T575" s="172"/>
      <c r="U575" s="172"/>
      <c r="V575" s="172"/>
      <c r="W575" s="172"/>
      <c r="X575" s="172"/>
      <c r="Y575" s="172"/>
      <c r="Z575" s="172"/>
    </row>
    <row r="576" spans="1:26" ht="18.75">
      <c r="A576" s="24" t="s">
        <v>1030</v>
      </c>
      <c r="B576" s="172"/>
      <c r="C576" s="172"/>
      <c r="D576" s="172"/>
      <c r="E576" s="172"/>
      <c r="F576" s="172"/>
      <c r="G576" s="172"/>
      <c r="H576" s="172"/>
      <c r="I576" s="172"/>
      <c r="J576" s="172"/>
      <c r="K576" s="172"/>
      <c r="L576" s="172"/>
      <c r="M576" s="172"/>
      <c r="N576" s="172"/>
      <c r="O576" s="172"/>
      <c r="P576" s="172"/>
      <c r="Q576" s="172"/>
      <c r="R576" s="172"/>
      <c r="S576" s="172"/>
      <c r="T576" s="172"/>
      <c r="U576" s="172"/>
      <c r="V576" s="172"/>
      <c r="W576" s="172"/>
      <c r="X576" s="172"/>
      <c r="Y576" s="172"/>
      <c r="Z576" s="172"/>
    </row>
    <row r="577" spans="1:26" ht="18.75">
      <c r="A577" s="24"/>
      <c r="B577" s="172"/>
      <c r="C577" s="172"/>
      <c r="D577" s="172"/>
      <c r="E577" s="172"/>
      <c r="F577" s="172"/>
      <c r="G577" s="172"/>
      <c r="H577" s="172"/>
      <c r="I577" s="172"/>
      <c r="J577" s="172"/>
      <c r="K577" s="172"/>
      <c r="L577" s="172"/>
      <c r="M577" s="172"/>
      <c r="N577" s="172"/>
      <c r="O577" s="172"/>
      <c r="P577" s="172"/>
      <c r="Q577" s="172"/>
      <c r="R577" s="172"/>
      <c r="S577" s="172"/>
      <c r="T577" s="172"/>
      <c r="U577" s="172"/>
      <c r="V577" s="172"/>
      <c r="W577" s="172"/>
      <c r="X577" s="172"/>
      <c r="Y577" s="172"/>
      <c r="Z577" s="172"/>
    </row>
    <row r="578" spans="1:26" ht="18.75">
      <c r="A578" s="24" t="s">
        <v>1031</v>
      </c>
      <c r="B578" s="172"/>
      <c r="C578" s="172"/>
      <c r="D578" s="172"/>
      <c r="E578" s="172"/>
      <c r="F578" s="172"/>
      <c r="G578" s="172"/>
      <c r="H578" s="172"/>
      <c r="I578" s="172"/>
      <c r="J578" s="172"/>
      <c r="K578" s="172"/>
      <c r="L578" s="172"/>
      <c r="M578" s="172"/>
      <c r="N578" s="172"/>
      <c r="O578" s="172"/>
      <c r="P578" s="172"/>
      <c r="Q578" s="172"/>
      <c r="R578" s="172"/>
      <c r="S578" s="172"/>
      <c r="T578" s="172"/>
      <c r="U578" s="172"/>
      <c r="V578" s="172"/>
      <c r="W578" s="172"/>
      <c r="X578" s="172"/>
      <c r="Y578" s="172"/>
      <c r="Z578" s="172"/>
    </row>
    <row r="579" spans="1:26" ht="18.75">
      <c r="A579" s="78"/>
      <c r="B579" s="172"/>
      <c r="C579" s="172"/>
      <c r="D579" s="172"/>
      <c r="E579" s="172"/>
      <c r="F579" s="172"/>
      <c r="G579" s="172"/>
      <c r="H579" s="172"/>
      <c r="I579" s="172"/>
      <c r="J579" s="172"/>
      <c r="K579" s="172"/>
      <c r="L579" s="172"/>
      <c r="M579" s="172"/>
      <c r="N579" s="172"/>
      <c r="O579" s="172"/>
      <c r="P579" s="172"/>
      <c r="Q579" s="172"/>
      <c r="R579" s="172"/>
      <c r="S579" s="172"/>
      <c r="T579" s="172"/>
      <c r="U579" s="172"/>
      <c r="V579" s="172"/>
      <c r="W579" s="172"/>
      <c r="X579" s="172"/>
      <c r="Y579" s="172"/>
      <c r="Z579" s="172"/>
    </row>
    <row r="580" spans="1:26" ht="18.75">
      <c r="A580" s="25" t="s">
        <v>1032</v>
      </c>
      <c r="B580" s="172"/>
      <c r="C580" s="172"/>
      <c r="D580" s="172"/>
      <c r="E580" s="172"/>
      <c r="F580" s="172"/>
      <c r="G580" s="172"/>
      <c r="H580" s="172"/>
      <c r="I580" s="172"/>
      <c r="J580" s="172"/>
      <c r="K580" s="172"/>
      <c r="L580" s="172"/>
      <c r="M580" s="172"/>
      <c r="N580" s="172"/>
      <c r="O580" s="172"/>
      <c r="P580" s="172"/>
      <c r="Q580" s="172"/>
      <c r="R580" s="172"/>
      <c r="S580" s="172"/>
      <c r="T580" s="172"/>
      <c r="U580" s="172"/>
      <c r="V580" s="172"/>
      <c r="W580" s="172"/>
      <c r="X580" s="172"/>
      <c r="Y580" s="172"/>
      <c r="Z580" s="172"/>
    </row>
    <row r="581" spans="1:26" ht="18.75">
      <c r="A581" s="172"/>
      <c r="B581" s="172"/>
      <c r="C581" s="172"/>
      <c r="D581" s="172"/>
      <c r="E581" s="172"/>
      <c r="F581" s="172"/>
      <c r="G581" s="172"/>
      <c r="H581" s="172"/>
      <c r="I581" s="172"/>
      <c r="J581" s="172"/>
      <c r="K581" s="172"/>
      <c r="L581" s="172"/>
      <c r="M581" s="172"/>
      <c r="N581" s="172"/>
      <c r="O581" s="172"/>
      <c r="P581" s="172"/>
      <c r="Q581" s="172"/>
      <c r="R581" s="172"/>
      <c r="S581" s="172"/>
      <c r="T581" s="172"/>
      <c r="U581" s="172"/>
      <c r="V581" s="172"/>
      <c r="W581" s="172"/>
      <c r="X581" s="172"/>
      <c r="Y581" s="172"/>
      <c r="Z581" s="172"/>
    </row>
    <row r="582" spans="1:26" ht="18.75">
      <c r="A582" s="172"/>
      <c r="B582" s="172"/>
      <c r="C582" s="172"/>
      <c r="D582" s="172"/>
      <c r="E582" s="172"/>
      <c r="F582" s="172"/>
      <c r="G582" s="172"/>
      <c r="H582" s="172"/>
      <c r="I582" s="172"/>
      <c r="J582" s="172"/>
      <c r="K582" s="172"/>
      <c r="L582" s="172"/>
      <c r="M582" s="172"/>
      <c r="N582" s="172"/>
      <c r="O582" s="172"/>
      <c r="P582" s="172"/>
      <c r="Q582" s="172"/>
      <c r="R582" s="172"/>
      <c r="S582" s="172"/>
      <c r="T582" s="172"/>
      <c r="U582" s="172"/>
      <c r="V582" s="172"/>
      <c r="W582" s="172"/>
      <c r="X582" s="172"/>
      <c r="Y582" s="172"/>
      <c r="Z582" s="172"/>
    </row>
    <row r="583" spans="1:26" ht="18.75">
      <c r="A583" s="172"/>
      <c r="B583" s="172"/>
      <c r="C583" s="172"/>
      <c r="D583" s="172"/>
      <c r="E583" s="172"/>
      <c r="F583" s="172"/>
      <c r="G583" s="172"/>
      <c r="H583" s="172"/>
      <c r="I583" s="172"/>
      <c r="J583" s="172"/>
      <c r="K583" s="172"/>
      <c r="L583" s="172"/>
      <c r="M583" s="172"/>
      <c r="N583" s="172"/>
      <c r="O583" s="172"/>
      <c r="P583" s="172"/>
      <c r="Q583" s="172"/>
      <c r="R583" s="172"/>
      <c r="S583" s="172"/>
      <c r="T583" s="172"/>
      <c r="U583" s="172"/>
      <c r="V583" s="172"/>
      <c r="W583" s="172"/>
      <c r="X583" s="172"/>
      <c r="Y583" s="172"/>
      <c r="Z583" s="172"/>
    </row>
    <row r="584" spans="1:26" ht="18.75">
      <c r="A584" s="172"/>
      <c r="B584" s="172"/>
      <c r="C584" s="172"/>
      <c r="D584" s="172"/>
      <c r="E584" s="172"/>
      <c r="F584" s="172"/>
      <c r="G584" s="172"/>
      <c r="H584" s="172"/>
      <c r="I584" s="172"/>
      <c r="J584" s="172"/>
      <c r="K584" s="172"/>
      <c r="L584" s="172"/>
      <c r="M584" s="172"/>
      <c r="N584" s="172"/>
      <c r="O584" s="172"/>
      <c r="P584" s="172"/>
      <c r="Q584" s="172"/>
      <c r="R584" s="172"/>
      <c r="S584" s="172"/>
      <c r="T584" s="172"/>
      <c r="U584" s="172"/>
      <c r="V584" s="172"/>
      <c r="W584" s="172"/>
      <c r="X584" s="172"/>
      <c r="Y584" s="172"/>
      <c r="Z584" s="172"/>
    </row>
    <row r="585" spans="1:26" ht="18.75">
      <c r="A585" s="172"/>
      <c r="B585" s="172"/>
      <c r="C585" s="172"/>
      <c r="D585" s="172"/>
      <c r="E585" s="172"/>
      <c r="F585" s="172"/>
      <c r="G585" s="172"/>
      <c r="H585" s="172"/>
      <c r="I585" s="172"/>
      <c r="J585" s="172"/>
      <c r="K585" s="172"/>
      <c r="L585" s="172"/>
      <c r="M585" s="172"/>
      <c r="N585" s="172"/>
      <c r="O585" s="172"/>
      <c r="P585" s="172"/>
      <c r="Q585" s="172"/>
      <c r="R585" s="172"/>
      <c r="S585" s="172"/>
      <c r="T585" s="172"/>
      <c r="U585" s="172"/>
      <c r="V585" s="172"/>
      <c r="W585" s="172"/>
      <c r="X585" s="172"/>
      <c r="Y585" s="172"/>
      <c r="Z585" s="172"/>
    </row>
    <row r="586" spans="1:26" ht="18.75">
      <c r="A586" s="172"/>
      <c r="B586" s="172"/>
      <c r="C586" s="172"/>
      <c r="D586" s="172"/>
      <c r="E586" s="172"/>
      <c r="F586" s="172"/>
      <c r="G586" s="172"/>
      <c r="H586" s="172"/>
      <c r="I586" s="172"/>
      <c r="J586" s="172"/>
      <c r="K586" s="172"/>
      <c r="L586" s="172"/>
      <c r="M586" s="172"/>
      <c r="N586" s="172"/>
      <c r="O586" s="172"/>
      <c r="P586" s="172"/>
      <c r="Q586" s="172"/>
      <c r="R586" s="172"/>
      <c r="S586" s="172"/>
      <c r="T586" s="172"/>
      <c r="U586" s="172"/>
      <c r="V586" s="172"/>
      <c r="W586" s="172"/>
      <c r="X586" s="172"/>
      <c r="Y586" s="172"/>
      <c r="Z586" s="172"/>
    </row>
    <row r="587" spans="1:26" ht="18.75">
      <c r="A587" s="172"/>
      <c r="B587" s="172"/>
      <c r="C587" s="172"/>
      <c r="D587" s="172"/>
      <c r="E587" s="172"/>
      <c r="F587" s="172"/>
      <c r="G587" s="172"/>
      <c r="H587" s="172"/>
      <c r="I587" s="172"/>
      <c r="J587" s="172"/>
      <c r="K587" s="172"/>
      <c r="L587" s="172"/>
      <c r="M587" s="172"/>
      <c r="N587" s="172"/>
      <c r="O587" s="172"/>
      <c r="P587" s="172"/>
      <c r="Q587" s="172"/>
      <c r="R587" s="172"/>
      <c r="S587" s="172"/>
      <c r="T587" s="172"/>
      <c r="U587" s="172"/>
      <c r="V587" s="172"/>
      <c r="W587" s="172"/>
      <c r="X587" s="172"/>
      <c r="Y587" s="172"/>
      <c r="Z587" s="172"/>
    </row>
    <row r="588" spans="1:26" ht="18.75">
      <c r="A588" s="172"/>
      <c r="B588" s="172"/>
      <c r="C588" s="172"/>
      <c r="D588" s="172"/>
      <c r="E588" s="172"/>
      <c r="F588" s="172"/>
      <c r="G588" s="172"/>
      <c r="H588" s="172"/>
      <c r="I588" s="172"/>
      <c r="J588" s="172"/>
      <c r="K588" s="172"/>
      <c r="L588" s="172"/>
      <c r="M588" s="172"/>
      <c r="N588" s="172"/>
      <c r="O588" s="172"/>
      <c r="P588" s="172"/>
      <c r="Q588" s="172"/>
      <c r="R588" s="172"/>
      <c r="S588" s="172"/>
      <c r="T588" s="172"/>
      <c r="U588" s="172"/>
      <c r="V588" s="172"/>
      <c r="W588" s="172"/>
      <c r="X588" s="172"/>
      <c r="Y588" s="172"/>
      <c r="Z588" s="172"/>
    </row>
    <row r="589" spans="1:26" ht="18.75">
      <c r="A589" s="172"/>
      <c r="B589" s="172"/>
      <c r="C589" s="172"/>
      <c r="D589" s="172"/>
      <c r="E589" s="172"/>
      <c r="F589" s="172"/>
      <c r="G589" s="172"/>
      <c r="H589" s="172"/>
      <c r="I589" s="172"/>
      <c r="J589" s="172"/>
      <c r="K589" s="172"/>
      <c r="L589" s="172"/>
      <c r="M589" s="172"/>
      <c r="N589" s="172"/>
      <c r="O589" s="172"/>
      <c r="P589" s="172"/>
      <c r="Q589" s="172"/>
      <c r="R589" s="172"/>
      <c r="S589" s="172"/>
      <c r="T589" s="172"/>
      <c r="U589" s="172"/>
      <c r="V589" s="172"/>
      <c r="W589" s="172"/>
      <c r="X589" s="172"/>
      <c r="Y589" s="172"/>
      <c r="Z589" s="172"/>
    </row>
    <row r="590" spans="1:26" ht="18.75">
      <c r="A590" s="172"/>
      <c r="B590" s="172"/>
      <c r="C590" s="172"/>
      <c r="D590" s="172"/>
      <c r="E590" s="172"/>
      <c r="F590" s="172"/>
      <c r="G590" s="172"/>
      <c r="H590" s="172"/>
      <c r="I590" s="172"/>
      <c r="J590" s="172"/>
      <c r="K590" s="172"/>
      <c r="L590" s="172"/>
      <c r="M590" s="172"/>
      <c r="N590" s="172"/>
      <c r="O590" s="172"/>
      <c r="P590" s="172"/>
      <c r="Q590" s="172"/>
      <c r="R590" s="172"/>
      <c r="S590" s="172"/>
      <c r="T590" s="172"/>
      <c r="U590" s="172"/>
      <c r="V590" s="172"/>
      <c r="W590" s="172"/>
      <c r="X590" s="172"/>
      <c r="Y590" s="172"/>
      <c r="Z590" s="172"/>
    </row>
    <row r="591" spans="1:26" ht="18.75">
      <c r="A591" s="172"/>
      <c r="B591" s="172"/>
      <c r="C591" s="172"/>
      <c r="D591" s="172"/>
      <c r="E591" s="172"/>
      <c r="F591" s="172"/>
      <c r="G591" s="172"/>
      <c r="H591" s="172"/>
      <c r="I591" s="172"/>
      <c r="J591" s="172"/>
      <c r="K591" s="172"/>
      <c r="L591" s="172"/>
      <c r="M591" s="172"/>
      <c r="N591" s="172"/>
      <c r="O591" s="172"/>
      <c r="P591" s="172"/>
      <c r="Q591" s="172"/>
      <c r="R591" s="172"/>
      <c r="S591" s="172"/>
      <c r="T591" s="172"/>
      <c r="U591" s="172"/>
      <c r="V591" s="172"/>
      <c r="W591" s="172"/>
      <c r="X591" s="172"/>
      <c r="Y591" s="172"/>
      <c r="Z591" s="172"/>
    </row>
    <row r="592" spans="1:26" ht="18.75">
      <c r="A592" s="172"/>
      <c r="B592" s="172"/>
      <c r="C592" s="172"/>
      <c r="D592" s="172"/>
      <c r="E592" s="172"/>
      <c r="F592" s="172"/>
      <c r="G592" s="172"/>
      <c r="H592" s="172"/>
      <c r="I592" s="172"/>
      <c r="J592" s="172"/>
      <c r="K592" s="172"/>
      <c r="L592" s="172"/>
      <c r="M592" s="172"/>
      <c r="N592" s="172"/>
      <c r="O592" s="172"/>
      <c r="P592" s="172"/>
      <c r="Q592" s="172"/>
      <c r="R592" s="172"/>
      <c r="S592" s="172"/>
      <c r="T592" s="172"/>
      <c r="U592" s="172"/>
      <c r="V592" s="172"/>
      <c r="W592" s="172"/>
      <c r="X592" s="172"/>
      <c r="Y592" s="172"/>
      <c r="Z592" s="172"/>
    </row>
    <row r="593" spans="1:26" ht="18.75">
      <c r="A593" s="172"/>
      <c r="B593" s="172"/>
      <c r="C593" s="172"/>
      <c r="D593" s="172"/>
      <c r="E593" s="172"/>
      <c r="F593" s="172"/>
      <c r="G593" s="172"/>
      <c r="H593" s="172"/>
      <c r="I593" s="172"/>
      <c r="J593" s="172"/>
      <c r="K593" s="172"/>
      <c r="L593" s="172"/>
      <c r="M593" s="172"/>
      <c r="N593" s="172"/>
      <c r="O593" s="172"/>
      <c r="P593" s="172"/>
      <c r="Q593" s="172"/>
      <c r="R593" s="172"/>
      <c r="S593" s="172"/>
      <c r="T593" s="172"/>
      <c r="U593" s="172"/>
      <c r="V593" s="172"/>
      <c r="W593" s="172"/>
      <c r="X593" s="172"/>
      <c r="Y593" s="172"/>
      <c r="Z593" s="172"/>
    </row>
    <row r="594" spans="1:26" ht="18.75">
      <c r="A594" s="172"/>
      <c r="B594" s="172"/>
      <c r="C594" s="172"/>
      <c r="D594" s="172"/>
      <c r="E594" s="172"/>
      <c r="F594" s="172"/>
      <c r="G594" s="172"/>
      <c r="H594" s="172"/>
      <c r="I594" s="172"/>
      <c r="J594" s="172"/>
      <c r="K594" s="172"/>
      <c r="L594" s="172"/>
      <c r="M594" s="172"/>
      <c r="N594" s="172"/>
      <c r="O594" s="172"/>
      <c r="P594" s="172"/>
      <c r="Q594" s="172"/>
      <c r="R594" s="172"/>
      <c r="S594" s="172"/>
      <c r="T594" s="172"/>
      <c r="U594" s="172"/>
      <c r="V594" s="172"/>
      <c r="W594" s="172"/>
      <c r="X594" s="172"/>
      <c r="Y594" s="172"/>
      <c r="Z594" s="172"/>
    </row>
    <row r="595" spans="1:26" ht="18.75">
      <c r="A595" s="172"/>
      <c r="B595" s="172"/>
      <c r="C595" s="172"/>
      <c r="D595" s="172"/>
      <c r="E595" s="172"/>
      <c r="F595" s="172"/>
      <c r="G595" s="172"/>
      <c r="H595" s="172"/>
      <c r="I595" s="172"/>
      <c r="J595" s="172"/>
      <c r="K595" s="172"/>
      <c r="L595" s="172"/>
      <c r="M595" s="172"/>
      <c r="N595" s="172"/>
      <c r="O595" s="172"/>
      <c r="P595" s="172"/>
      <c r="Q595" s="172"/>
      <c r="R595" s="172"/>
      <c r="S595" s="172"/>
      <c r="T595" s="172"/>
      <c r="U595" s="172"/>
      <c r="V595" s="172"/>
      <c r="W595" s="172"/>
      <c r="X595" s="172"/>
      <c r="Y595" s="172"/>
      <c r="Z595" s="172"/>
    </row>
    <row r="596" spans="1:26" ht="18.75">
      <c r="A596" s="172"/>
      <c r="B596" s="172"/>
      <c r="C596" s="172"/>
      <c r="D596" s="172"/>
      <c r="E596" s="172"/>
      <c r="F596" s="172"/>
      <c r="G596" s="172"/>
      <c r="H596" s="172"/>
      <c r="I596" s="172"/>
      <c r="J596" s="172"/>
      <c r="K596" s="172"/>
      <c r="L596" s="172"/>
      <c r="M596" s="172"/>
      <c r="N596" s="172"/>
      <c r="O596" s="172"/>
      <c r="P596" s="172"/>
      <c r="Q596" s="172"/>
      <c r="R596" s="172"/>
      <c r="S596" s="172"/>
      <c r="T596" s="172"/>
      <c r="U596" s="172"/>
      <c r="V596" s="172"/>
      <c r="W596" s="172"/>
      <c r="X596" s="172"/>
      <c r="Y596" s="172"/>
      <c r="Z596" s="172"/>
    </row>
    <row r="597" spans="1:26" ht="18.75">
      <c r="A597" s="172"/>
      <c r="B597" s="172"/>
      <c r="C597" s="172"/>
      <c r="D597" s="172"/>
      <c r="E597" s="172"/>
      <c r="F597" s="172"/>
      <c r="G597" s="172"/>
      <c r="H597" s="172"/>
      <c r="I597" s="172"/>
      <c r="J597" s="172"/>
      <c r="K597" s="172"/>
      <c r="L597" s="172"/>
      <c r="M597" s="172"/>
      <c r="N597" s="172"/>
      <c r="O597" s="172"/>
      <c r="P597" s="172"/>
      <c r="Q597" s="172"/>
      <c r="R597" s="172"/>
      <c r="S597" s="172"/>
      <c r="T597" s="172"/>
      <c r="U597" s="172"/>
      <c r="V597" s="172"/>
      <c r="W597" s="172"/>
      <c r="X597" s="172"/>
      <c r="Y597" s="172"/>
      <c r="Z597" s="172"/>
    </row>
    <row r="598" spans="1:26" ht="18.75">
      <c r="A598" s="172"/>
      <c r="B598" s="172"/>
      <c r="C598" s="172"/>
      <c r="D598" s="172"/>
      <c r="E598" s="172"/>
      <c r="F598" s="172"/>
      <c r="G598" s="172"/>
      <c r="H598" s="172"/>
      <c r="I598" s="172"/>
      <c r="J598" s="172"/>
      <c r="K598" s="172"/>
      <c r="L598" s="172"/>
      <c r="M598" s="172"/>
      <c r="N598" s="172"/>
      <c r="O598" s="172"/>
      <c r="P598" s="172"/>
      <c r="Q598" s="172"/>
      <c r="R598" s="172"/>
      <c r="S598" s="172"/>
      <c r="T598" s="172"/>
      <c r="U598" s="172"/>
      <c r="V598" s="172"/>
      <c r="W598" s="172"/>
      <c r="X598" s="172"/>
      <c r="Y598" s="172"/>
      <c r="Z598" s="172"/>
    </row>
    <row r="599" spans="1:26" ht="18.75">
      <c r="A599" s="172"/>
      <c r="B599" s="172"/>
      <c r="C599" s="172"/>
      <c r="D599" s="172"/>
      <c r="E599" s="172"/>
      <c r="F599" s="172"/>
      <c r="G599" s="172"/>
      <c r="H599" s="172"/>
      <c r="I599" s="172"/>
      <c r="J599" s="172"/>
      <c r="K599" s="172"/>
      <c r="L599" s="172"/>
      <c r="M599" s="172"/>
      <c r="N599" s="172"/>
      <c r="O599" s="172"/>
      <c r="P599" s="172"/>
      <c r="Q599" s="172"/>
      <c r="R599" s="172"/>
      <c r="S599" s="172"/>
      <c r="T599" s="172"/>
      <c r="U599" s="172"/>
      <c r="V599" s="172"/>
      <c r="W599" s="172"/>
      <c r="X599" s="172"/>
      <c r="Y599" s="172"/>
      <c r="Z599" s="172"/>
    </row>
    <row r="600" spans="1:26" ht="18.75">
      <c r="A600" s="172"/>
      <c r="B600" s="172"/>
      <c r="C600" s="172"/>
      <c r="D600" s="172"/>
      <c r="E600" s="172"/>
      <c r="F600" s="172"/>
      <c r="G600" s="172"/>
      <c r="H600" s="172"/>
      <c r="I600" s="172"/>
      <c r="J600" s="172"/>
      <c r="K600" s="172"/>
      <c r="L600" s="172"/>
      <c r="M600" s="172"/>
      <c r="N600" s="172"/>
      <c r="O600" s="172"/>
      <c r="P600" s="172"/>
      <c r="Q600" s="172"/>
      <c r="R600" s="172"/>
      <c r="S600" s="172"/>
      <c r="T600" s="172"/>
      <c r="U600" s="172"/>
      <c r="V600" s="172"/>
      <c r="W600" s="172"/>
      <c r="X600" s="172"/>
      <c r="Y600" s="172"/>
      <c r="Z600" s="172"/>
    </row>
    <row r="601" spans="1:26" ht="18.75">
      <c r="A601" s="172"/>
      <c r="B601" s="172"/>
      <c r="C601" s="172"/>
      <c r="D601" s="172"/>
      <c r="E601" s="172"/>
      <c r="F601" s="172"/>
      <c r="G601" s="172"/>
      <c r="H601" s="172"/>
      <c r="I601" s="172"/>
      <c r="J601" s="172"/>
      <c r="K601" s="172"/>
      <c r="L601" s="172"/>
      <c r="M601" s="172"/>
      <c r="N601" s="172"/>
      <c r="O601" s="172"/>
      <c r="P601" s="172"/>
      <c r="Q601" s="172"/>
      <c r="R601" s="172"/>
      <c r="S601" s="172"/>
      <c r="T601" s="172"/>
      <c r="U601" s="172"/>
      <c r="V601" s="172"/>
      <c r="W601" s="172"/>
      <c r="X601" s="172"/>
      <c r="Y601" s="172"/>
      <c r="Z601" s="172"/>
    </row>
    <row r="602" spans="1:26" ht="18.75">
      <c r="A602" s="172"/>
      <c r="B602" s="172"/>
      <c r="C602" s="172"/>
      <c r="D602" s="172"/>
      <c r="E602" s="172"/>
      <c r="F602" s="172"/>
      <c r="G602" s="172"/>
      <c r="H602" s="172"/>
      <c r="I602" s="172"/>
      <c r="J602" s="172"/>
      <c r="K602" s="172"/>
      <c r="L602" s="172"/>
      <c r="M602" s="172"/>
      <c r="N602" s="172"/>
      <c r="O602" s="172"/>
      <c r="P602" s="172"/>
      <c r="Q602" s="172"/>
      <c r="R602" s="172"/>
      <c r="S602" s="172"/>
      <c r="T602" s="172"/>
      <c r="U602" s="172"/>
      <c r="V602" s="172"/>
      <c r="W602" s="172"/>
      <c r="X602" s="172"/>
      <c r="Y602" s="172"/>
      <c r="Z602" s="172"/>
    </row>
    <row r="603" spans="1:26" ht="18.75">
      <c r="A603" s="172"/>
      <c r="B603" s="172"/>
      <c r="C603" s="172"/>
      <c r="D603" s="172"/>
      <c r="E603" s="172"/>
      <c r="F603" s="172"/>
      <c r="G603" s="172"/>
      <c r="H603" s="172"/>
      <c r="I603" s="172"/>
      <c r="J603" s="172"/>
      <c r="K603" s="172"/>
      <c r="L603" s="172"/>
      <c r="M603" s="172"/>
      <c r="N603" s="172"/>
      <c r="O603" s="172"/>
      <c r="P603" s="172"/>
      <c r="Q603" s="172"/>
      <c r="R603" s="172"/>
      <c r="S603" s="172"/>
      <c r="T603" s="172"/>
      <c r="U603" s="172"/>
      <c r="V603" s="172"/>
      <c r="W603" s="172"/>
      <c r="X603" s="172"/>
      <c r="Y603" s="172"/>
      <c r="Z603" s="172"/>
    </row>
    <row r="604" spans="1:26" ht="18.75">
      <c r="A604" s="172"/>
      <c r="B604" s="172"/>
      <c r="C604" s="172"/>
      <c r="D604" s="172"/>
      <c r="E604" s="172"/>
      <c r="F604" s="172"/>
      <c r="G604" s="172"/>
      <c r="H604" s="172"/>
      <c r="I604" s="172"/>
      <c r="J604" s="172"/>
      <c r="K604" s="172"/>
      <c r="L604" s="172"/>
      <c r="M604" s="172"/>
      <c r="N604" s="172"/>
      <c r="O604" s="172"/>
      <c r="P604" s="172"/>
      <c r="Q604" s="172"/>
      <c r="R604" s="172"/>
      <c r="S604" s="172"/>
      <c r="T604" s="172"/>
      <c r="U604" s="172"/>
      <c r="V604" s="172"/>
      <c r="W604" s="172"/>
      <c r="X604" s="172"/>
      <c r="Y604" s="172"/>
      <c r="Z604" s="172"/>
    </row>
    <row r="605" spans="1:26" ht="18.75">
      <c r="A605" s="172"/>
      <c r="B605" s="172"/>
      <c r="C605" s="172"/>
      <c r="D605" s="172"/>
      <c r="E605" s="172"/>
      <c r="F605" s="172"/>
      <c r="G605" s="172"/>
      <c r="H605" s="172"/>
      <c r="I605" s="172"/>
      <c r="J605" s="172"/>
      <c r="K605" s="172"/>
      <c r="L605" s="172"/>
      <c r="M605" s="172"/>
      <c r="N605" s="172"/>
      <c r="O605" s="172"/>
      <c r="P605" s="172"/>
      <c r="Q605" s="172"/>
      <c r="R605" s="172"/>
      <c r="S605" s="172"/>
      <c r="T605" s="172"/>
      <c r="U605" s="172"/>
      <c r="V605" s="172"/>
      <c r="W605" s="172"/>
      <c r="X605" s="172"/>
      <c r="Y605" s="172"/>
      <c r="Z605" s="172"/>
    </row>
    <row r="606" spans="1:26" ht="18.75">
      <c r="A606" s="172"/>
      <c r="B606" s="172"/>
      <c r="C606" s="172"/>
      <c r="D606" s="172"/>
      <c r="E606" s="172"/>
      <c r="F606" s="172"/>
      <c r="G606" s="172"/>
      <c r="H606" s="172"/>
      <c r="I606" s="172"/>
      <c r="J606" s="172"/>
      <c r="K606" s="172"/>
      <c r="L606" s="172"/>
      <c r="M606" s="172"/>
      <c r="N606" s="172"/>
      <c r="O606" s="172"/>
      <c r="P606" s="172"/>
      <c r="Q606" s="172"/>
      <c r="R606" s="172"/>
      <c r="S606" s="172"/>
      <c r="T606" s="172"/>
      <c r="U606" s="172"/>
      <c r="V606" s="172"/>
      <c r="W606" s="172"/>
      <c r="X606" s="172"/>
      <c r="Y606" s="172"/>
      <c r="Z606" s="172"/>
    </row>
    <row r="607" spans="1:26" ht="18.75">
      <c r="A607" s="172"/>
      <c r="B607" s="172"/>
      <c r="C607" s="172"/>
      <c r="D607" s="172"/>
      <c r="E607" s="172"/>
      <c r="F607" s="172"/>
      <c r="G607" s="172"/>
      <c r="H607" s="172"/>
      <c r="I607" s="172"/>
      <c r="J607" s="172"/>
      <c r="K607" s="172"/>
      <c r="L607" s="172"/>
      <c r="M607" s="172"/>
      <c r="N607" s="172"/>
      <c r="O607" s="172"/>
      <c r="P607" s="172"/>
      <c r="Q607" s="172"/>
      <c r="R607" s="172"/>
      <c r="S607" s="172"/>
      <c r="T607" s="172"/>
      <c r="U607" s="172"/>
      <c r="V607" s="172"/>
      <c r="W607" s="172"/>
      <c r="X607" s="172"/>
      <c r="Y607" s="172"/>
      <c r="Z607" s="172"/>
    </row>
    <row r="608" spans="1:26" ht="18.75">
      <c r="A608" s="172"/>
      <c r="B608" s="172"/>
      <c r="C608" s="172"/>
      <c r="D608" s="172"/>
      <c r="E608" s="172"/>
      <c r="F608" s="172"/>
      <c r="G608" s="172"/>
      <c r="H608" s="172"/>
      <c r="I608" s="172"/>
      <c r="J608" s="172"/>
      <c r="K608" s="172"/>
      <c r="L608" s="172"/>
      <c r="M608" s="172"/>
      <c r="N608" s="172"/>
      <c r="O608" s="172"/>
      <c r="P608" s="172"/>
      <c r="Q608" s="172"/>
      <c r="R608" s="172"/>
      <c r="S608" s="172"/>
      <c r="T608" s="172"/>
      <c r="U608" s="172"/>
      <c r="V608" s="172"/>
      <c r="W608" s="172"/>
      <c r="X608" s="172"/>
      <c r="Y608" s="172"/>
      <c r="Z608" s="172"/>
    </row>
    <row r="609" spans="1:26" ht="18.75">
      <c r="A609" s="172"/>
      <c r="B609" s="172"/>
      <c r="C609" s="172"/>
      <c r="D609" s="172"/>
      <c r="E609" s="172"/>
      <c r="F609" s="172"/>
      <c r="G609" s="172"/>
      <c r="H609" s="172"/>
      <c r="I609" s="172"/>
      <c r="J609" s="172"/>
      <c r="K609" s="172"/>
      <c r="L609" s="172"/>
      <c r="M609" s="172"/>
      <c r="N609" s="172"/>
      <c r="O609" s="172"/>
      <c r="P609" s="172"/>
      <c r="Q609" s="172"/>
      <c r="R609" s="172"/>
      <c r="S609" s="172"/>
      <c r="T609" s="172"/>
      <c r="U609" s="172"/>
      <c r="V609" s="172"/>
      <c r="W609" s="172"/>
      <c r="X609" s="172"/>
      <c r="Y609" s="172"/>
      <c r="Z609" s="172"/>
    </row>
    <row r="610" spans="1:26" ht="18.75">
      <c r="A610" s="172"/>
      <c r="B610" s="172"/>
      <c r="C610" s="172"/>
      <c r="D610" s="172"/>
      <c r="E610" s="172"/>
      <c r="F610" s="172"/>
      <c r="G610" s="172"/>
      <c r="H610" s="172"/>
      <c r="I610" s="172"/>
      <c r="J610" s="172"/>
      <c r="K610" s="172"/>
      <c r="L610" s="172"/>
      <c r="M610" s="172"/>
      <c r="N610" s="172"/>
      <c r="O610" s="172"/>
      <c r="P610" s="172"/>
      <c r="Q610" s="172"/>
      <c r="R610" s="172"/>
      <c r="S610" s="172"/>
      <c r="T610" s="172"/>
      <c r="U610" s="172"/>
      <c r="V610" s="172"/>
      <c r="W610" s="172"/>
      <c r="X610" s="172"/>
      <c r="Y610" s="172"/>
      <c r="Z610" s="172"/>
    </row>
    <row r="611" spans="1:26" ht="18.75">
      <c r="A611" s="172"/>
      <c r="B611" s="172"/>
      <c r="C611" s="172"/>
      <c r="D611" s="172"/>
      <c r="E611" s="172"/>
      <c r="F611" s="172"/>
      <c r="G611" s="172"/>
      <c r="H611" s="172"/>
      <c r="I611" s="172"/>
      <c r="J611" s="172"/>
      <c r="K611" s="172"/>
      <c r="L611" s="172"/>
      <c r="M611" s="172"/>
      <c r="N611" s="172"/>
      <c r="O611" s="172"/>
      <c r="P611" s="172"/>
      <c r="Q611" s="172"/>
      <c r="R611" s="172"/>
      <c r="S611" s="172"/>
      <c r="T611" s="172"/>
      <c r="U611" s="172"/>
      <c r="V611" s="172"/>
      <c r="W611" s="172"/>
      <c r="X611" s="172"/>
      <c r="Y611" s="172"/>
      <c r="Z611" s="172"/>
    </row>
    <row r="612" spans="1:26" ht="18.75">
      <c r="A612" s="172"/>
      <c r="B612" s="172"/>
      <c r="C612" s="172"/>
      <c r="D612" s="172"/>
      <c r="E612" s="172"/>
      <c r="F612" s="172"/>
      <c r="G612" s="172"/>
      <c r="H612" s="172"/>
      <c r="I612" s="172"/>
      <c r="J612" s="172"/>
      <c r="K612" s="172"/>
      <c r="L612" s="172"/>
      <c r="M612" s="172"/>
      <c r="N612" s="172"/>
      <c r="O612" s="172"/>
      <c r="P612" s="172"/>
      <c r="Q612" s="172"/>
      <c r="R612" s="172"/>
      <c r="S612" s="172"/>
      <c r="T612" s="172"/>
      <c r="U612" s="172"/>
      <c r="V612" s="172"/>
      <c r="W612" s="172"/>
      <c r="X612" s="172"/>
      <c r="Y612" s="172"/>
      <c r="Z612" s="172"/>
    </row>
    <row r="613" spans="1:26" ht="18.75">
      <c r="A613" s="172"/>
      <c r="B613" s="172"/>
      <c r="C613" s="172"/>
      <c r="D613" s="172"/>
      <c r="E613" s="172"/>
      <c r="F613" s="172"/>
      <c r="G613" s="172"/>
      <c r="H613" s="172"/>
      <c r="I613" s="172"/>
      <c r="J613" s="172"/>
      <c r="K613" s="172"/>
      <c r="L613" s="172"/>
      <c r="M613" s="172"/>
      <c r="N613" s="172"/>
      <c r="O613" s="172"/>
      <c r="P613" s="172"/>
      <c r="Q613" s="172"/>
      <c r="R613" s="172"/>
      <c r="S613" s="172"/>
      <c r="T613" s="172"/>
      <c r="U613" s="172"/>
      <c r="V613" s="172"/>
      <c r="W613" s="172"/>
      <c r="X613" s="172"/>
      <c r="Y613" s="172"/>
      <c r="Z613" s="172"/>
    </row>
    <row r="614" spans="1:26" ht="18.75">
      <c r="A614" s="172"/>
      <c r="B614" s="172"/>
      <c r="C614" s="172"/>
      <c r="D614" s="172"/>
      <c r="E614" s="172"/>
      <c r="F614" s="172"/>
      <c r="G614" s="172"/>
      <c r="H614" s="172"/>
      <c r="I614" s="172"/>
      <c r="J614" s="172"/>
      <c r="K614" s="172"/>
      <c r="L614" s="172"/>
      <c r="M614" s="172"/>
      <c r="N614" s="172"/>
      <c r="O614" s="172"/>
      <c r="P614" s="172"/>
      <c r="Q614" s="172"/>
      <c r="R614" s="172"/>
      <c r="S614" s="172"/>
      <c r="T614" s="172"/>
      <c r="U614" s="172"/>
      <c r="V614" s="172"/>
      <c r="W614" s="172"/>
      <c r="X614" s="172"/>
      <c r="Y614" s="172"/>
      <c r="Z614" s="172"/>
    </row>
    <row r="615" spans="1:26" ht="18.75">
      <c r="A615" s="172"/>
      <c r="B615" s="172"/>
      <c r="C615" s="172"/>
      <c r="D615" s="172"/>
      <c r="E615" s="172"/>
      <c r="F615" s="172"/>
      <c r="G615" s="172"/>
      <c r="H615" s="172"/>
      <c r="I615" s="172"/>
      <c r="J615" s="172"/>
      <c r="K615" s="172"/>
      <c r="L615" s="172"/>
      <c r="M615" s="172"/>
      <c r="N615" s="172"/>
      <c r="O615" s="172"/>
      <c r="P615" s="172"/>
      <c r="Q615" s="172"/>
      <c r="R615" s="172"/>
      <c r="S615" s="172"/>
      <c r="T615" s="172"/>
      <c r="U615" s="172"/>
      <c r="V615" s="172"/>
      <c r="W615" s="172"/>
      <c r="X615" s="172"/>
      <c r="Y615" s="172"/>
      <c r="Z615" s="172"/>
    </row>
    <row r="616" spans="1:26" ht="18.75">
      <c r="A616" s="172"/>
      <c r="B616" s="172"/>
      <c r="C616" s="172"/>
      <c r="D616" s="172"/>
      <c r="E616" s="172"/>
      <c r="F616" s="172"/>
      <c r="G616" s="172"/>
      <c r="H616" s="172"/>
      <c r="I616" s="172"/>
      <c r="J616" s="172"/>
      <c r="K616" s="172"/>
      <c r="L616" s="172"/>
      <c r="M616" s="172"/>
      <c r="N616" s="172"/>
      <c r="O616" s="172"/>
      <c r="P616" s="172"/>
      <c r="Q616" s="172"/>
      <c r="R616" s="172"/>
      <c r="S616" s="172"/>
      <c r="T616" s="172"/>
      <c r="U616" s="172"/>
      <c r="V616" s="172"/>
      <c r="W616" s="172"/>
      <c r="X616" s="172"/>
      <c r="Y616" s="172"/>
      <c r="Z616" s="172"/>
    </row>
    <row r="617" spans="1:26" ht="18.75">
      <c r="A617" s="172"/>
      <c r="B617" s="172"/>
      <c r="C617" s="172"/>
      <c r="D617" s="172"/>
      <c r="E617" s="172"/>
      <c r="F617" s="172"/>
      <c r="G617" s="172"/>
      <c r="H617" s="172"/>
      <c r="I617" s="172"/>
      <c r="J617" s="172"/>
      <c r="K617" s="172"/>
      <c r="L617" s="172"/>
      <c r="M617" s="172"/>
      <c r="N617" s="172"/>
      <c r="O617" s="172"/>
      <c r="P617" s="172"/>
      <c r="Q617" s="172"/>
      <c r="R617" s="172"/>
      <c r="S617" s="172"/>
      <c r="T617" s="172"/>
      <c r="U617" s="172"/>
      <c r="V617" s="172"/>
      <c r="W617" s="172"/>
      <c r="X617" s="172"/>
      <c r="Y617" s="172"/>
      <c r="Z617" s="172"/>
    </row>
    <row r="618" spans="1:26" ht="18.75">
      <c r="A618" s="172"/>
      <c r="B618" s="172"/>
      <c r="C618" s="172"/>
      <c r="D618" s="172"/>
      <c r="E618" s="172"/>
      <c r="F618" s="172"/>
      <c r="G618" s="172"/>
      <c r="H618" s="172"/>
      <c r="I618" s="172"/>
      <c r="J618" s="172"/>
      <c r="K618" s="172"/>
      <c r="L618" s="172"/>
      <c r="M618" s="172"/>
      <c r="N618" s="172"/>
      <c r="O618" s="172"/>
      <c r="P618" s="172"/>
      <c r="Q618" s="172"/>
      <c r="R618" s="172"/>
      <c r="S618" s="172"/>
      <c r="T618" s="172"/>
      <c r="U618" s="172"/>
      <c r="V618" s="172"/>
      <c r="W618" s="172"/>
      <c r="X618" s="172"/>
      <c r="Y618" s="172"/>
      <c r="Z618" s="172"/>
    </row>
    <row r="619" spans="1:26" ht="18.75">
      <c r="A619" s="172"/>
      <c r="B619" s="172"/>
      <c r="C619" s="172"/>
      <c r="D619" s="172"/>
      <c r="E619" s="172"/>
      <c r="F619" s="172"/>
      <c r="G619" s="172"/>
      <c r="H619" s="172"/>
      <c r="I619" s="172"/>
      <c r="J619" s="172"/>
      <c r="K619" s="172"/>
      <c r="L619" s="172"/>
      <c r="M619" s="172"/>
      <c r="N619" s="172"/>
      <c r="O619" s="172"/>
      <c r="P619" s="172"/>
      <c r="Q619" s="172"/>
      <c r="R619" s="172"/>
      <c r="S619" s="172"/>
      <c r="T619" s="172"/>
      <c r="U619" s="172"/>
      <c r="V619" s="172"/>
      <c r="W619" s="172"/>
      <c r="X619" s="172"/>
      <c r="Y619" s="172"/>
      <c r="Z619" s="172"/>
    </row>
    <row r="620" spans="1:26" ht="18.75">
      <c r="A620" s="172"/>
      <c r="B620" s="172"/>
      <c r="C620" s="172"/>
      <c r="D620" s="172"/>
      <c r="E620" s="172"/>
      <c r="F620" s="172"/>
      <c r="G620" s="172"/>
      <c r="H620" s="172"/>
      <c r="I620" s="172"/>
      <c r="J620" s="172"/>
      <c r="K620" s="172"/>
      <c r="L620" s="172"/>
      <c r="M620" s="172"/>
      <c r="N620" s="172"/>
      <c r="O620" s="172"/>
      <c r="P620" s="172"/>
      <c r="Q620" s="172"/>
      <c r="R620" s="172"/>
      <c r="S620" s="172"/>
      <c r="T620" s="172"/>
      <c r="U620" s="172"/>
      <c r="V620" s="172"/>
      <c r="W620" s="172"/>
      <c r="X620" s="172"/>
      <c r="Y620" s="172"/>
      <c r="Z620" s="172"/>
    </row>
    <row r="621" spans="1:26" ht="18.75">
      <c r="A621" s="172"/>
      <c r="B621" s="172"/>
      <c r="C621" s="172"/>
      <c r="D621" s="172"/>
      <c r="E621" s="172"/>
      <c r="F621" s="172"/>
      <c r="G621" s="172"/>
      <c r="H621" s="172"/>
      <c r="I621" s="172"/>
      <c r="J621" s="172"/>
      <c r="K621" s="172"/>
      <c r="L621" s="172"/>
      <c r="M621" s="172"/>
      <c r="N621" s="172"/>
      <c r="O621" s="172"/>
      <c r="P621" s="172"/>
      <c r="Q621" s="172"/>
      <c r="R621" s="172"/>
      <c r="S621" s="172"/>
      <c r="T621" s="172"/>
      <c r="U621" s="172"/>
      <c r="V621" s="172"/>
      <c r="W621" s="172"/>
      <c r="X621" s="172"/>
      <c r="Y621" s="172"/>
      <c r="Z621" s="172"/>
    </row>
    <row r="622" spans="1:26" ht="18.75">
      <c r="A622" s="172"/>
      <c r="B622" s="172"/>
      <c r="C622" s="172"/>
      <c r="D622" s="172"/>
      <c r="E622" s="172"/>
      <c r="F622" s="172"/>
      <c r="G622" s="172"/>
      <c r="H622" s="172"/>
      <c r="I622" s="172"/>
      <c r="J622" s="172"/>
      <c r="K622" s="172"/>
      <c r="L622" s="172"/>
      <c r="M622" s="172"/>
      <c r="N622" s="172"/>
      <c r="O622" s="172"/>
      <c r="P622" s="172"/>
      <c r="Q622" s="172"/>
      <c r="R622" s="172"/>
      <c r="S622" s="172"/>
      <c r="T622" s="172"/>
      <c r="U622" s="172"/>
      <c r="V622" s="172"/>
      <c r="W622" s="172"/>
      <c r="X622" s="172"/>
      <c r="Y622" s="172"/>
      <c r="Z622" s="172"/>
    </row>
    <row r="623" spans="1:26" ht="18.75">
      <c r="A623" s="172"/>
      <c r="B623" s="172"/>
      <c r="C623" s="172"/>
      <c r="D623" s="172"/>
      <c r="E623" s="172"/>
      <c r="F623" s="172"/>
      <c r="G623" s="172"/>
      <c r="H623" s="172"/>
      <c r="I623" s="172"/>
      <c r="J623" s="172"/>
      <c r="K623" s="172"/>
      <c r="L623" s="172"/>
      <c r="M623" s="172"/>
      <c r="N623" s="172"/>
      <c r="O623" s="172"/>
      <c r="P623" s="172"/>
      <c r="Q623" s="172"/>
      <c r="R623" s="172"/>
      <c r="S623" s="172"/>
      <c r="T623" s="172"/>
      <c r="U623" s="172"/>
      <c r="V623" s="172"/>
      <c r="W623" s="172"/>
      <c r="X623" s="172"/>
      <c r="Y623" s="172"/>
      <c r="Z623" s="172"/>
    </row>
    <row r="624" spans="1:26" ht="18.75">
      <c r="A624" s="172"/>
      <c r="B624" s="172"/>
      <c r="C624" s="172"/>
      <c r="D624" s="172"/>
      <c r="E624" s="172"/>
      <c r="F624" s="172"/>
      <c r="G624" s="172"/>
      <c r="H624" s="172"/>
      <c r="I624" s="172"/>
      <c r="J624" s="172"/>
      <c r="K624" s="172"/>
      <c r="L624" s="172"/>
      <c r="M624" s="172"/>
      <c r="N624" s="172"/>
      <c r="O624" s="172"/>
      <c r="P624" s="172"/>
      <c r="Q624" s="172"/>
      <c r="R624" s="172"/>
      <c r="S624" s="172"/>
      <c r="T624" s="172"/>
      <c r="U624" s="172"/>
      <c r="V624" s="172"/>
      <c r="W624" s="172"/>
      <c r="X624" s="172"/>
      <c r="Y624" s="172"/>
      <c r="Z624" s="172"/>
    </row>
    <row r="625" spans="1:26" ht="18.75">
      <c r="A625" s="172"/>
      <c r="B625" s="172"/>
      <c r="C625" s="172"/>
      <c r="D625" s="172"/>
      <c r="E625" s="172"/>
      <c r="F625" s="172"/>
      <c r="G625" s="172"/>
      <c r="H625" s="172"/>
      <c r="I625" s="172"/>
      <c r="J625" s="172"/>
      <c r="K625" s="172"/>
      <c r="L625" s="172"/>
      <c r="M625" s="172"/>
      <c r="N625" s="172"/>
      <c r="O625" s="172"/>
      <c r="P625" s="172"/>
      <c r="Q625" s="172"/>
      <c r="R625" s="172"/>
      <c r="S625" s="172"/>
      <c r="T625" s="172"/>
      <c r="U625" s="172"/>
      <c r="V625" s="172"/>
      <c r="W625" s="172"/>
      <c r="X625" s="172"/>
      <c r="Y625" s="172"/>
      <c r="Z625" s="172"/>
    </row>
    <row r="626" spans="1:26" ht="18.75">
      <c r="A626" s="172"/>
      <c r="B626" s="172"/>
      <c r="C626" s="172"/>
      <c r="D626" s="172"/>
      <c r="E626" s="172"/>
      <c r="F626" s="172"/>
      <c r="G626" s="172"/>
      <c r="H626" s="172"/>
      <c r="I626" s="172"/>
      <c r="J626" s="172"/>
      <c r="K626" s="172"/>
      <c r="L626" s="172"/>
      <c r="M626" s="172"/>
      <c r="N626" s="172"/>
      <c r="O626" s="172"/>
      <c r="P626" s="172"/>
      <c r="Q626" s="172"/>
      <c r="R626" s="172"/>
      <c r="S626" s="172"/>
      <c r="T626" s="172"/>
      <c r="U626" s="172"/>
      <c r="V626" s="172"/>
      <c r="W626" s="172"/>
      <c r="X626" s="172"/>
      <c r="Y626" s="172"/>
      <c r="Z626" s="172"/>
    </row>
    <row r="627" spans="1:26" ht="18.75">
      <c r="A627" s="172"/>
      <c r="B627" s="172"/>
      <c r="C627" s="172"/>
      <c r="D627" s="172"/>
      <c r="E627" s="172"/>
      <c r="F627" s="172"/>
      <c r="G627" s="172"/>
      <c r="H627" s="172"/>
      <c r="I627" s="172"/>
      <c r="J627" s="172"/>
      <c r="K627" s="172"/>
      <c r="L627" s="172"/>
      <c r="M627" s="172"/>
      <c r="N627" s="172"/>
      <c r="O627" s="172"/>
      <c r="P627" s="172"/>
      <c r="Q627" s="172"/>
      <c r="R627" s="172"/>
      <c r="S627" s="172"/>
      <c r="T627" s="172"/>
      <c r="U627" s="172"/>
      <c r="V627" s="172"/>
      <c r="W627" s="172"/>
      <c r="X627" s="172"/>
      <c r="Y627" s="172"/>
      <c r="Z627" s="172"/>
    </row>
    <row r="628" spans="1:26" ht="18.75">
      <c r="A628" s="172"/>
      <c r="B628" s="172"/>
      <c r="C628" s="172"/>
      <c r="D628" s="172"/>
      <c r="E628" s="172"/>
      <c r="F628" s="172"/>
      <c r="G628" s="172"/>
      <c r="H628" s="172"/>
      <c r="I628" s="172"/>
      <c r="J628" s="172"/>
      <c r="K628" s="172"/>
      <c r="L628" s="172"/>
      <c r="M628" s="172"/>
      <c r="N628" s="172"/>
      <c r="O628" s="172"/>
      <c r="P628" s="172"/>
      <c r="Q628" s="172"/>
      <c r="R628" s="172"/>
      <c r="S628" s="172"/>
      <c r="T628" s="172"/>
      <c r="U628" s="172"/>
      <c r="V628" s="172"/>
      <c r="W628" s="172"/>
      <c r="X628" s="172"/>
      <c r="Y628" s="172"/>
      <c r="Z628" s="172"/>
    </row>
    <row r="629" spans="1:26" ht="18.75">
      <c r="A629" s="172"/>
      <c r="B629" s="172"/>
      <c r="C629" s="172"/>
      <c r="D629" s="172"/>
      <c r="E629" s="172"/>
      <c r="F629" s="172"/>
      <c r="G629" s="172"/>
      <c r="H629" s="172"/>
      <c r="I629" s="172"/>
      <c r="J629" s="172"/>
      <c r="K629" s="172"/>
      <c r="L629" s="172"/>
      <c r="M629" s="172"/>
      <c r="N629" s="172"/>
      <c r="O629" s="172"/>
      <c r="P629" s="172"/>
      <c r="Q629" s="172"/>
      <c r="R629" s="172"/>
      <c r="S629" s="172"/>
      <c r="T629" s="172"/>
      <c r="U629" s="172"/>
      <c r="V629" s="172"/>
      <c r="W629" s="172"/>
      <c r="X629" s="172"/>
      <c r="Y629" s="172"/>
      <c r="Z629" s="172"/>
    </row>
    <row r="630" spans="1:26" ht="18.75">
      <c r="A630" s="172"/>
      <c r="B630" s="172"/>
      <c r="C630" s="172"/>
      <c r="D630" s="172"/>
      <c r="E630" s="172"/>
      <c r="F630" s="172"/>
      <c r="G630" s="172"/>
      <c r="H630" s="172"/>
      <c r="I630" s="172"/>
      <c r="J630" s="172"/>
      <c r="K630" s="172"/>
      <c r="L630" s="172"/>
      <c r="M630" s="172"/>
      <c r="N630" s="172"/>
      <c r="O630" s="172"/>
      <c r="P630" s="172"/>
      <c r="Q630" s="172"/>
      <c r="R630" s="172"/>
      <c r="S630" s="172"/>
      <c r="T630" s="172"/>
      <c r="U630" s="172"/>
      <c r="V630" s="172"/>
      <c r="W630" s="172"/>
      <c r="X630" s="172"/>
      <c r="Y630" s="172"/>
      <c r="Z630" s="172"/>
    </row>
    <row r="631" spans="1:26" ht="18.75">
      <c r="A631" s="172"/>
      <c r="B631" s="172"/>
      <c r="C631" s="172"/>
      <c r="D631" s="172"/>
      <c r="E631" s="172"/>
      <c r="F631" s="172"/>
      <c r="G631" s="172"/>
      <c r="H631" s="172"/>
      <c r="I631" s="172"/>
      <c r="J631" s="172"/>
      <c r="K631" s="172"/>
      <c r="L631" s="172"/>
      <c r="M631" s="172"/>
      <c r="N631" s="172"/>
      <c r="O631" s="172"/>
      <c r="P631" s="172"/>
      <c r="Q631" s="172"/>
      <c r="R631" s="172"/>
      <c r="S631" s="172"/>
      <c r="T631" s="172"/>
      <c r="U631" s="172"/>
      <c r="V631" s="172"/>
      <c r="W631" s="172"/>
      <c r="X631" s="172"/>
      <c r="Y631" s="172"/>
      <c r="Z631" s="172"/>
    </row>
    <row r="632" spans="1:26" ht="18.75">
      <c r="A632" s="172"/>
      <c r="B632" s="172"/>
      <c r="C632" s="172"/>
      <c r="D632" s="172"/>
      <c r="E632" s="172"/>
      <c r="F632" s="172"/>
      <c r="G632" s="172"/>
      <c r="H632" s="172"/>
      <c r="I632" s="172"/>
      <c r="J632" s="172"/>
      <c r="K632" s="172"/>
      <c r="L632" s="172"/>
      <c r="M632" s="172"/>
      <c r="N632" s="172"/>
      <c r="O632" s="172"/>
      <c r="P632" s="172"/>
      <c r="Q632" s="172"/>
      <c r="R632" s="172"/>
      <c r="S632" s="172"/>
      <c r="T632" s="172"/>
      <c r="U632" s="172"/>
      <c r="V632" s="172"/>
      <c r="W632" s="172"/>
      <c r="X632" s="172"/>
      <c r="Y632" s="172"/>
      <c r="Z632" s="172"/>
    </row>
    <row r="633" spans="1:26" ht="18.75">
      <c r="A633" s="172"/>
      <c r="B633" s="172"/>
      <c r="C633" s="172"/>
      <c r="D633" s="172"/>
      <c r="E633" s="172"/>
      <c r="F633" s="172"/>
      <c r="G633" s="172"/>
      <c r="H633" s="172"/>
      <c r="I633" s="172"/>
      <c r="J633" s="172"/>
      <c r="K633" s="172"/>
      <c r="L633" s="172"/>
      <c r="M633" s="172"/>
      <c r="N633" s="172"/>
      <c r="O633" s="172"/>
      <c r="P633" s="172"/>
      <c r="Q633" s="172"/>
      <c r="R633" s="172"/>
      <c r="S633" s="172"/>
      <c r="T633" s="172"/>
      <c r="U633" s="172"/>
      <c r="V633" s="172"/>
      <c r="W633" s="172"/>
      <c r="X633" s="172"/>
      <c r="Y633" s="172"/>
      <c r="Z633" s="172"/>
    </row>
    <row r="634" spans="1:26" ht="18.75">
      <c r="A634" s="172"/>
      <c r="B634" s="172"/>
      <c r="C634" s="172"/>
      <c r="D634" s="172"/>
      <c r="E634" s="172"/>
      <c r="F634" s="172"/>
      <c r="G634" s="172"/>
      <c r="H634" s="172"/>
      <c r="I634" s="172"/>
      <c r="J634" s="172"/>
      <c r="K634" s="172"/>
      <c r="L634" s="172"/>
      <c r="M634" s="172"/>
      <c r="N634" s="172"/>
      <c r="O634" s="172"/>
      <c r="P634" s="172"/>
      <c r="Q634" s="172"/>
      <c r="R634" s="172"/>
      <c r="S634" s="172"/>
      <c r="T634" s="172"/>
      <c r="U634" s="172"/>
      <c r="V634" s="172"/>
      <c r="W634" s="172"/>
      <c r="X634" s="172"/>
      <c r="Y634" s="172"/>
      <c r="Z634" s="172"/>
    </row>
    <row r="635" spans="1:26" ht="18.75">
      <c r="A635" s="172"/>
      <c r="B635" s="172"/>
      <c r="C635" s="172"/>
      <c r="D635" s="172"/>
      <c r="E635" s="172"/>
      <c r="F635" s="172"/>
      <c r="G635" s="172"/>
      <c r="H635" s="172"/>
      <c r="I635" s="172"/>
      <c r="J635" s="172"/>
      <c r="K635" s="172"/>
      <c r="L635" s="172"/>
      <c r="M635" s="172"/>
      <c r="N635" s="172"/>
      <c r="O635" s="172"/>
      <c r="P635" s="172"/>
      <c r="Q635" s="172"/>
      <c r="R635" s="172"/>
      <c r="S635" s="172"/>
      <c r="T635" s="172"/>
      <c r="U635" s="172"/>
      <c r="V635" s="172"/>
      <c r="W635" s="172"/>
      <c r="X635" s="172"/>
      <c r="Y635" s="172"/>
      <c r="Z635" s="172"/>
    </row>
    <row r="636" spans="1:26" ht="18.75">
      <c r="A636" s="172"/>
      <c r="B636" s="172"/>
      <c r="C636" s="172"/>
      <c r="D636" s="172"/>
      <c r="E636" s="172"/>
      <c r="F636" s="172"/>
      <c r="G636" s="172"/>
      <c r="H636" s="172"/>
      <c r="I636" s="172"/>
      <c r="J636" s="172"/>
      <c r="K636" s="172"/>
      <c r="L636" s="172"/>
      <c r="M636" s="172"/>
      <c r="N636" s="172"/>
      <c r="O636" s="172"/>
      <c r="P636" s="172"/>
      <c r="Q636" s="172"/>
      <c r="R636" s="172"/>
      <c r="S636" s="172"/>
      <c r="T636" s="172"/>
      <c r="U636" s="172"/>
      <c r="V636" s="172"/>
      <c r="W636" s="172"/>
      <c r="X636" s="172"/>
      <c r="Y636" s="172"/>
      <c r="Z636" s="172"/>
    </row>
    <row r="637" spans="1:26" ht="18.75">
      <c r="A637" s="172"/>
      <c r="B637" s="172"/>
      <c r="C637" s="172"/>
      <c r="D637" s="172"/>
      <c r="E637" s="172"/>
      <c r="F637" s="172"/>
      <c r="G637" s="172"/>
      <c r="H637" s="172"/>
      <c r="I637" s="172"/>
      <c r="J637" s="172"/>
      <c r="K637" s="172"/>
      <c r="L637" s="172"/>
      <c r="M637" s="172"/>
      <c r="N637" s="172"/>
      <c r="O637" s="172"/>
      <c r="P637" s="172"/>
      <c r="Q637" s="172"/>
      <c r="R637" s="172"/>
      <c r="S637" s="172"/>
      <c r="T637" s="172"/>
      <c r="U637" s="172"/>
      <c r="V637" s="172"/>
      <c r="W637" s="172"/>
      <c r="X637" s="172"/>
      <c r="Y637" s="172"/>
      <c r="Z637" s="172"/>
    </row>
    <row r="638" spans="1:26" ht="18.75">
      <c r="A638" s="172"/>
      <c r="B638" s="172"/>
      <c r="C638" s="172"/>
      <c r="D638" s="172"/>
      <c r="E638" s="172"/>
      <c r="F638" s="172"/>
      <c r="G638" s="172"/>
      <c r="H638" s="172"/>
      <c r="I638" s="172"/>
      <c r="J638" s="172"/>
      <c r="K638" s="172"/>
      <c r="L638" s="172"/>
      <c r="M638" s="172"/>
      <c r="N638" s="172"/>
      <c r="O638" s="172"/>
      <c r="P638" s="172"/>
      <c r="Q638" s="172"/>
      <c r="R638" s="172"/>
      <c r="S638" s="172"/>
      <c r="T638" s="172"/>
      <c r="U638" s="172"/>
      <c r="V638" s="172"/>
      <c r="W638" s="172"/>
      <c r="X638" s="172"/>
      <c r="Y638" s="172"/>
      <c r="Z638" s="172"/>
    </row>
    <row r="639" spans="1:26" ht="18.75">
      <c r="A639" s="172"/>
      <c r="B639" s="172"/>
      <c r="C639" s="172"/>
      <c r="D639" s="172"/>
      <c r="E639" s="172"/>
      <c r="F639" s="172"/>
      <c r="G639" s="172"/>
      <c r="H639" s="172"/>
      <c r="I639" s="172"/>
      <c r="J639" s="172"/>
      <c r="K639" s="172"/>
      <c r="L639" s="172"/>
      <c r="M639" s="172"/>
      <c r="N639" s="172"/>
      <c r="O639" s="172"/>
      <c r="P639" s="172"/>
      <c r="Q639" s="172"/>
      <c r="R639" s="172"/>
      <c r="S639" s="172"/>
      <c r="T639" s="172"/>
      <c r="U639" s="172"/>
      <c r="V639" s="172"/>
      <c r="W639" s="172"/>
      <c r="X639" s="172"/>
      <c r="Y639" s="172"/>
      <c r="Z639" s="172"/>
    </row>
    <row r="640" spans="1:26" ht="18.75">
      <c r="A640" s="172"/>
      <c r="B640" s="172"/>
      <c r="C640" s="172"/>
      <c r="D640" s="172"/>
      <c r="E640" s="172"/>
      <c r="F640" s="172"/>
      <c r="G640" s="172"/>
      <c r="H640" s="172"/>
      <c r="I640" s="172"/>
      <c r="J640" s="172"/>
      <c r="K640" s="172"/>
      <c r="L640" s="172"/>
      <c r="M640" s="172"/>
      <c r="N640" s="172"/>
      <c r="O640" s="172"/>
      <c r="P640" s="172"/>
      <c r="Q640" s="172"/>
      <c r="R640" s="172"/>
      <c r="S640" s="172"/>
      <c r="T640" s="172"/>
      <c r="U640" s="172"/>
      <c r="V640" s="172"/>
      <c r="W640" s="172"/>
      <c r="X640" s="172"/>
      <c r="Y640" s="172"/>
      <c r="Z640" s="172"/>
    </row>
    <row r="641" spans="1:26" ht="18.75">
      <c r="A641" s="172"/>
      <c r="B641" s="172"/>
      <c r="C641" s="172"/>
      <c r="D641" s="172"/>
      <c r="E641" s="172"/>
      <c r="F641" s="172"/>
      <c r="G641" s="172"/>
      <c r="H641" s="172"/>
      <c r="I641" s="172"/>
      <c r="J641" s="172"/>
      <c r="K641" s="172"/>
      <c r="L641" s="172"/>
      <c r="M641" s="172"/>
      <c r="N641" s="172"/>
      <c r="O641" s="172"/>
      <c r="P641" s="172"/>
      <c r="Q641" s="172"/>
      <c r="R641" s="172"/>
      <c r="S641" s="172"/>
      <c r="T641" s="172"/>
      <c r="U641" s="172"/>
      <c r="V641" s="172"/>
      <c r="W641" s="172"/>
      <c r="X641" s="172"/>
      <c r="Y641" s="172"/>
      <c r="Z641" s="172"/>
    </row>
    <row r="642" spans="1:26" ht="18.75">
      <c r="A642" s="172"/>
      <c r="B642" s="172"/>
      <c r="C642" s="172"/>
      <c r="D642" s="172"/>
      <c r="E642" s="172"/>
      <c r="F642" s="172"/>
      <c r="G642" s="172"/>
      <c r="H642" s="172"/>
      <c r="I642" s="172"/>
      <c r="J642" s="172"/>
      <c r="K642" s="172"/>
      <c r="L642" s="172"/>
      <c r="M642" s="172"/>
      <c r="N642" s="172"/>
      <c r="O642" s="172"/>
      <c r="P642" s="172"/>
      <c r="Q642" s="172"/>
      <c r="R642" s="172"/>
      <c r="S642" s="172"/>
      <c r="T642" s="172"/>
      <c r="U642" s="172"/>
      <c r="V642" s="172"/>
      <c r="W642" s="172"/>
      <c r="X642" s="172"/>
      <c r="Y642" s="172"/>
      <c r="Z642" s="172"/>
    </row>
    <row r="643" spans="1:26" ht="18.75">
      <c r="A643" s="172"/>
      <c r="B643" s="172"/>
      <c r="C643" s="172"/>
      <c r="D643" s="172"/>
      <c r="E643" s="172"/>
      <c r="F643" s="172"/>
      <c r="G643" s="172"/>
      <c r="H643" s="172"/>
      <c r="I643" s="172"/>
      <c r="J643" s="172"/>
      <c r="K643" s="172"/>
      <c r="L643" s="172"/>
      <c r="M643" s="172"/>
      <c r="N643" s="172"/>
      <c r="O643" s="172"/>
      <c r="P643" s="172"/>
      <c r="Q643" s="172"/>
      <c r="R643" s="172"/>
      <c r="S643" s="172"/>
      <c r="T643" s="172"/>
      <c r="U643" s="172"/>
      <c r="V643" s="172"/>
      <c r="W643" s="172"/>
      <c r="X643" s="172"/>
      <c r="Y643" s="172"/>
      <c r="Z643" s="172"/>
    </row>
    <row r="644" spans="1:26" ht="18.75">
      <c r="A644" s="172"/>
      <c r="B644" s="172"/>
      <c r="C644" s="172"/>
      <c r="D644" s="172"/>
      <c r="E644" s="172"/>
      <c r="F644" s="172"/>
      <c r="G644" s="172"/>
      <c r="H644" s="172"/>
      <c r="I644" s="172"/>
      <c r="J644" s="172"/>
      <c r="K644" s="172"/>
      <c r="L644" s="172"/>
      <c r="M644" s="172"/>
      <c r="N644" s="172"/>
      <c r="O644" s="172"/>
      <c r="P644" s="172"/>
      <c r="Q644" s="172"/>
      <c r="R644" s="172"/>
      <c r="S644" s="172"/>
      <c r="T644" s="172"/>
      <c r="U644" s="172"/>
      <c r="V644" s="172"/>
      <c r="W644" s="172"/>
      <c r="X644" s="172"/>
      <c r="Y644" s="172"/>
      <c r="Z644" s="172"/>
    </row>
    <row r="645" spans="1:26" ht="18.75">
      <c r="A645" s="172"/>
      <c r="B645" s="172"/>
      <c r="C645" s="172"/>
      <c r="D645" s="172"/>
      <c r="E645" s="172"/>
      <c r="F645" s="172"/>
      <c r="G645" s="172"/>
      <c r="H645" s="172"/>
      <c r="I645" s="172"/>
      <c r="J645" s="172"/>
      <c r="K645" s="172"/>
      <c r="L645" s="172"/>
      <c r="M645" s="172"/>
      <c r="N645" s="172"/>
      <c r="O645" s="172"/>
      <c r="P645" s="172"/>
      <c r="Q645" s="172"/>
      <c r="R645" s="172"/>
      <c r="S645" s="172"/>
      <c r="T645" s="172"/>
      <c r="U645" s="172"/>
      <c r="V645" s="172"/>
      <c r="W645" s="172"/>
      <c r="X645" s="172"/>
      <c r="Y645" s="172"/>
      <c r="Z645" s="172"/>
    </row>
    <row r="646" spans="1:26" ht="18.75">
      <c r="A646" s="172"/>
      <c r="B646" s="172"/>
      <c r="C646" s="172"/>
      <c r="D646" s="172"/>
      <c r="E646" s="172"/>
      <c r="F646" s="172"/>
      <c r="G646" s="172"/>
      <c r="H646" s="172"/>
      <c r="I646" s="172"/>
      <c r="J646" s="172"/>
      <c r="K646" s="172"/>
      <c r="L646" s="172"/>
      <c r="M646" s="172"/>
      <c r="N646" s="172"/>
      <c r="O646" s="172"/>
      <c r="P646" s="172"/>
      <c r="Q646" s="172"/>
      <c r="R646" s="172"/>
      <c r="S646" s="172"/>
      <c r="T646" s="172"/>
      <c r="U646" s="172"/>
      <c r="V646" s="172"/>
      <c r="W646" s="172"/>
      <c r="X646" s="172"/>
      <c r="Y646" s="172"/>
      <c r="Z646" s="172"/>
    </row>
    <row r="647" spans="1:26" ht="18.75">
      <c r="A647" s="172"/>
      <c r="B647" s="172"/>
      <c r="C647" s="172"/>
      <c r="D647" s="172"/>
      <c r="E647" s="172"/>
      <c r="F647" s="172"/>
      <c r="G647" s="172"/>
      <c r="H647" s="172"/>
      <c r="I647" s="172"/>
      <c r="J647" s="172"/>
      <c r="K647" s="172"/>
      <c r="L647" s="172"/>
      <c r="M647" s="172"/>
      <c r="N647" s="172"/>
      <c r="O647" s="172"/>
      <c r="P647" s="172"/>
      <c r="Q647" s="172"/>
      <c r="R647" s="172"/>
      <c r="S647" s="172"/>
      <c r="T647" s="172"/>
      <c r="U647" s="172"/>
      <c r="V647" s="172"/>
      <c r="W647" s="172"/>
      <c r="X647" s="172"/>
      <c r="Y647" s="172"/>
      <c r="Z647" s="172"/>
    </row>
    <row r="648" spans="1:26" ht="18.75">
      <c r="A648" s="172"/>
      <c r="B648" s="172"/>
      <c r="C648" s="172"/>
      <c r="D648" s="172"/>
      <c r="E648" s="172"/>
      <c r="F648" s="172"/>
      <c r="G648" s="172"/>
      <c r="H648" s="172"/>
      <c r="I648" s="172"/>
      <c r="J648" s="172"/>
      <c r="K648" s="172"/>
      <c r="L648" s="172"/>
      <c r="M648" s="172"/>
      <c r="N648" s="172"/>
      <c r="O648" s="172"/>
      <c r="P648" s="172"/>
      <c r="Q648" s="172"/>
      <c r="R648" s="172"/>
      <c r="S648" s="172"/>
      <c r="T648" s="172"/>
      <c r="U648" s="172"/>
      <c r="V648" s="172"/>
      <c r="W648" s="172"/>
      <c r="X648" s="172"/>
      <c r="Y648" s="172"/>
      <c r="Z648" s="172"/>
    </row>
    <row r="649" spans="1:26" ht="18.75">
      <c r="A649" s="172"/>
      <c r="B649" s="172"/>
      <c r="C649" s="172"/>
      <c r="D649" s="172"/>
      <c r="E649" s="172"/>
      <c r="F649" s="172"/>
      <c r="G649" s="172"/>
      <c r="H649" s="172"/>
      <c r="I649" s="172"/>
      <c r="J649" s="172"/>
      <c r="K649" s="172"/>
      <c r="L649" s="172"/>
      <c r="M649" s="172"/>
      <c r="N649" s="172"/>
      <c r="O649" s="172"/>
      <c r="P649" s="172"/>
      <c r="Q649" s="172"/>
      <c r="R649" s="172"/>
      <c r="S649" s="172"/>
      <c r="T649" s="172"/>
      <c r="U649" s="172"/>
      <c r="V649" s="172"/>
      <c r="W649" s="172"/>
      <c r="X649" s="172"/>
      <c r="Y649" s="172"/>
      <c r="Z649" s="172"/>
    </row>
    <row r="650" spans="1:26" ht="18.75">
      <c r="A650" s="172"/>
      <c r="B650" s="172"/>
      <c r="C650" s="172"/>
      <c r="D650" s="172"/>
      <c r="E650" s="172"/>
      <c r="F650" s="172"/>
      <c r="G650" s="172"/>
      <c r="H650" s="172"/>
      <c r="I650" s="172"/>
      <c r="J650" s="172"/>
      <c r="K650" s="172"/>
      <c r="L650" s="172"/>
      <c r="M650" s="172"/>
      <c r="N650" s="172"/>
      <c r="O650" s="172"/>
      <c r="P650" s="172"/>
      <c r="Q650" s="172"/>
      <c r="R650" s="172"/>
      <c r="S650" s="172"/>
      <c r="T650" s="172"/>
      <c r="U650" s="172"/>
      <c r="V650" s="172"/>
      <c r="W650" s="172"/>
      <c r="X650" s="172"/>
      <c r="Y650" s="172"/>
      <c r="Z650" s="172"/>
    </row>
    <row r="651" spans="1:26" ht="18.75">
      <c r="A651" s="172"/>
      <c r="B651" s="172"/>
      <c r="C651" s="172"/>
      <c r="D651" s="172"/>
      <c r="E651" s="172"/>
      <c r="F651" s="172"/>
      <c r="G651" s="172"/>
      <c r="H651" s="172"/>
      <c r="I651" s="172"/>
      <c r="J651" s="172"/>
      <c r="K651" s="172"/>
      <c r="L651" s="172"/>
      <c r="M651" s="172"/>
      <c r="N651" s="172"/>
      <c r="O651" s="172"/>
      <c r="P651" s="172"/>
      <c r="Q651" s="172"/>
      <c r="R651" s="172"/>
      <c r="S651" s="172"/>
      <c r="T651" s="172"/>
      <c r="U651" s="172"/>
      <c r="V651" s="172"/>
      <c r="W651" s="172"/>
      <c r="X651" s="172"/>
      <c r="Y651" s="172"/>
      <c r="Z651" s="172"/>
    </row>
    <row r="652" spans="1:26" ht="18.75">
      <c r="A652" s="172"/>
      <c r="B652" s="172"/>
      <c r="C652" s="172"/>
      <c r="D652" s="172"/>
      <c r="E652" s="172"/>
      <c r="F652" s="172"/>
      <c r="G652" s="172"/>
      <c r="H652" s="172"/>
      <c r="I652" s="172"/>
      <c r="J652" s="172"/>
      <c r="K652" s="172"/>
      <c r="L652" s="172"/>
      <c r="M652" s="172"/>
      <c r="N652" s="172"/>
      <c r="O652" s="172"/>
      <c r="P652" s="172"/>
      <c r="Q652" s="172"/>
      <c r="R652" s="172"/>
      <c r="S652" s="172"/>
      <c r="T652" s="172"/>
      <c r="U652" s="172"/>
      <c r="V652" s="172"/>
      <c r="W652" s="172"/>
      <c r="X652" s="172"/>
      <c r="Y652" s="172"/>
      <c r="Z652" s="172"/>
    </row>
    <row r="653" spans="1:26" ht="18.75">
      <c r="A653" s="172"/>
      <c r="B653" s="172"/>
      <c r="C653" s="172"/>
      <c r="D653" s="172"/>
      <c r="E653" s="172"/>
      <c r="F653" s="172"/>
      <c r="G653" s="172"/>
      <c r="H653" s="172"/>
      <c r="I653" s="172"/>
      <c r="J653" s="172"/>
      <c r="K653" s="172"/>
      <c r="L653" s="172"/>
      <c r="M653" s="172"/>
      <c r="N653" s="172"/>
      <c r="O653" s="172"/>
      <c r="P653" s="172"/>
      <c r="Q653" s="172"/>
      <c r="R653" s="172"/>
      <c r="S653" s="172"/>
      <c r="T653" s="172"/>
      <c r="U653" s="172"/>
      <c r="V653" s="172"/>
      <c r="W653" s="172"/>
      <c r="X653" s="172"/>
      <c r="Y653" s="172"/>
      <c r="Z653" s="172"/>
    </row>
    <row r="654" spans="1:26" ht="18.75">
      <c r="A654" s="172"/>
      <c r="B654" s="172"/>
      <c r="C654" s="172"/>
      <c r="D654" s="172"/>
      <c r="E654" s="172"/>
      <c r="F654" s="172"/>
      <c r="G654" s="172"/>
      <c r="H654" s="172"/>
      <c r="I654" s="172"/>
      <c r="J654" s="172"/>
      <c r="K654" s="172"/>
      <c r="L654" s="172"/>
      <c r="M654" s="172"/>
      <c r="N654" s="172"/>
      <c r="O654" s="172"/>
      <c r="P654" s="172"/>
      <c r="Q654" s="172"/>
      <c r="R654" s="172"/>
      <c r="S654" s="172"/>
      <c r="T654" s="172"/>
      <c r="U654" s="172"/>
      <c r="V654" s="172"/>
      <c r="W654" s="172"/>
      <c r="X654" s="172"/>
      <c r="Y654" s="172"/>
      <c r="Z654" s="172"/>
    </row>
    <row r="655" spans="1:26" ht="18.75">
      <c r="A655" s="172"/>
      <c r="B655" s="172"/>
      <c r="C655" s="172"/>
      <c r="D655" s="172"/>
      <c r="E655" s="172"/>
      <c r="F655" s="172"/>
      <c r="G655" s="172"/>
      <c r="H655" s="172"/>
      <c r="I655" s="172"/>
      <c r="J655" s="172"/>
      <c r="K655" s="172"/>
      <c r="L655" s="172"/>
      <c r="M655" s="172"/>
      <c r="N655" s="172"/>
      <c r="O655" s="172"/>
      <c r="P655" s="172"/>
      <c r="Q655" s="172"/>
      <c r="R655" s="172"/>
      <c r="S655" s="172"/>
      <c r="T655" s="172"/>
      <c r="U655" s="172"/>
      <c r="V655" s="172"/>
      <c r="W655" s="172"/>
      <c r="X655" s="172"/>
      <c r="Y655" s="172"/>
      <c r="Z655" s="172"/>
    </row>
    <row r="656" spans="1:26" ht="18.75">
      <c r="A656" s="172"/>
      <c r="B656" s="172"/>
      <c r="C656" s="172"/>
      <c r="D656" s="172"/>
      <c r="E656" s="172"/>
      <c r="F656" s="172"/>
      <c r="G656" s="172"/>
      <c r="H656" s="172"/>
      <c r="I656" s="172"/>
      <c r="J656" s="172"/>
      <c r="K656" s="172"/>
      <c r="L656" s="172"/>
      <c r="M656" s="172"/>
      <c r="N656" s="172"/>
      <c r="O656" s="172"/>
      <c r="P656" s="172"/>
      <c r="Q656" s="172"/>
      <c r="R656" s="172"/>
      <c r="S656" s="172"/>
      <c r="T656" s="172"/>
      <c r="U656" s="172"/>
      <c r="V656" s="172"/>
      <c r="W656" s="172"/>
      <c r="X656" s="172"/>
      <c r="Y656" s="172"/>
      <c r="Z656" s="172"/>
    </row>
    <row r="657" spans="1:26" ht="18.75">
      <c r="A657" s="172"/>
      <c r="B657" s="172"/>
      <c r="C657" s="172"/>
      <c r="D657" s="172"/>
      <c r="E657" s="172"/>
      <c r="F657" s="172"/>
      <c r="G657" s="172"/>
      <c r="H657" s="172"/>
      <c r="I657" s="172"/>
      <c r="J657" s="172"/>
      <c r="K657" s="172"/>
      <c r="L657" s="172"/>
      <c r="M657" s="172"/>
      <c r="N657" s="172"/>
      <c r="O657" s="172"/>
      <c r="P657" s="172"/>
      <c r="Q657" s="172"/>
      <c r="R657" s="172"/>
      <c r="S657" s="172"/>
      <c r="T657" s="172"/>
      <c r="U657" s="172"/>
      <c r="V657" s="172"/>
      <c r="W657" s="172"/>
      <c r="X657" s="172"/>
      <c r="Y657" s="172"/>
      <c r="Z657" s="172"/>
    </row>
    <row r="658" spans="1:26" ht="18.75">
      <c r="A658" s="172"/>
      <c r="B658" s="172"/>
      <c r="C658" s="172"/>
      <c r="D658" s="172"/>
      <c r="E658" s="172"/>
      <c r="F658" s="172"/>
      <c r="G658" s="172"/>
      <c r="H658" s="172"/>
      <c r="I658" s="172"/>
      <c r="J658" s="172"/>
      <c r="K658" s="172"/>
      <c r="L658" s="172"/>
      <c r="M658" s="172"/>
      <c r="N658" s="172"/>
      <c r="O658" s="172"/>
      <c r="P658" s="172"/>
      <c r="Q658" s="172"/>
      <c r="R658" s="172"/>
      <c r="S658" s="172"/>
      <c r="T658" s="172"/>
      <c r="U658" s="172"/>
      <c r="V658" s="172"/>
      <c r="W658" s="172"/>
      <c r="X658" s="172"/>
      <c r="Y658" s="172"/>
      <c r="Z658" s="172"/>
    </row>
    <row r="659" spans="1:26" ht="18.75">
      <c r="A659" s="172"/>
      <c r="B659" s="172"/>
      <c r="C659" s="172"/>
      <c r="D659" s="172"/>
      <c r="E659" s="172"/>
      <c r="F659" s="172"/>
      <c r="G659" s="172"/>
      <c r="H659" s="172"/>
      <c r="I659" s="172"/>
      <c r="J659" s="172"/>
      <c r="K659" s="172"/>
      <c r="L659" s="172"/>
      <c r="M659" s="172"/>
      <c r="N659" s="172"/>
      <c r="O659" s="172"/>
      <c r="P659" s="172"/>
      <c r="Q659" s="172"/>
      <c r="R659" s="172"/>
      <c r="S659" s="172"/>
      <c r="T659" s="172"/>
      <c r="U659" s="172"/>
      <c r="V659" s="172"/>
      <c r="W659" s="172"/>
      <c r="X659" s="172"/>
      <c r="Y659" s="172"/>
      <c r="Z659" s="172"/>
    </row>
    <row r="660" spans="1:26" ht="18.75">
      <c r="A660" s="172"/>
      <c r="B660" s="172"/>
      <c r="C660" s="172"/>
      <c r="D660" s="172"/>
      <c r="E660" s="172"/>
      <c r="F660" s="172"/>
      <c r="G660" s="172"/>
      <c r="H660" s="172"/>
      <c r="I660" s="172"/>
      <c r="J660" s="172"/>
      <c r="K660" s="172"/>
      <c r="L660" s="172"/>
      <c r="M660" s="172"/>
      <c r="N660" s="172"/>
      <c r="O660" s="172"/>
      <c r="P660" s="172"/>
      <c r="Q660" s="172"/>
      <c r="R660" s="172"/>
      <c r="S660" s="172"/>
      <c r="T660" s="172"/>
      <c r="U660" s="172"/>
      <c r="V660" s="172"/>
      <c r="W660" s="172"/>
      <c r="X660" s="172"/>
      <c r="Y660" s="172"/>
      <c r="Z660" s="172"/>
    </row>
    <row r="661" spans="1:26" ht="18.75">
      <c r="A661" s="172"/>
      <c r="B661" s="172"/>
      <c r="C661" s="172"/>
      <c r="D661" s="172"/>
      <c r="E661" s="172"/>
      <c r="F661" s="172"/>
      <c r="G661" s="172"/>
      <c r="H661" s="172"/>
      <c r="I661" s="172"/>
      <c r="J661" s="172"/>
      <c r="K661" s="172"/>
      <c r="L661" s="172"/>
      <c r="M661" s="172"/>
      <c r="N661" s="172"/>
      <c r="O661" s="172"/>
      <c r="P661" s="172"/>
      <c r="Q661" s="172"/>
      <c r="R661" s="172"/>
      <c r="S661" s="172"/>
      <c r="T661" s="172"/>
      <c r="U661" s="172"/>
      <c r="V661" s="172"/>
      <c r="W661" s="172"/>
      <c r="X661" s="172"/>
      <c r="Y661" s="172"/>
      <c r="Z661" s="172"/>
    </row>
    <row r="662" spans="1:26" ht="18.75">
      <c r="A662" s="172"/>
      <c r="B662" s="172"/>
      <c r="C662" s="172"/>
      <c r="D662" s="172"/>
      <c r="E662" s="172"/>
      <c r="F662" s="172"/>
      <c r="G662" s="172"/>
      <c r="H662" s="172"/>
      <c r="I662" s="172"/>
      <c r="J662" s="172"/>
      <c r="K662" s="172"/>
      <c r="L662" s="172"/>
      <c r="M662" s="172"/>
      <c r="N662" s="172"/>
      <c r="O662" s="172"/>
      <c r="P662" s="172"/>
      <c r="Q662" s="172"/>
      <c r="R662" s="172"/>
      <c r="S662" s="172"/>
      <c r="T662" s="172"/>
      <c r="U662" s="172"/>
      <c r="V662" s="172"/>
      <c r="W662" s="172"/>
      <c r="X662" s="172"/>
      <c r="Y662" s="172"/>
      <c r="Z662" s="172"/>
    </row>
    <row r="663" spans="1:26" ht="18.75">
      <c r="A663" s="172"/>
      <c r="B663" s="172"/>
      <c r="C663" s="172"/>
      <c r="D663" s="172"/>
      <c r="E663" s="172"/>
      <c r="F663" s="172"/>
      <c r="G663" s="172"/>
      <c r="H663" s="172"/>
      <c r="I663" s="172"/>
      <c r="J663" s="172"/>
      <c r="K663" s="172"/>
      <c r="L663" s="172"/>
      <c r="M663" s="172"/>
      <c r="N663" s="172"/>
      <c r="O663" s="172"/>
      <c r="P663" s="172"/>
      <c r="Q663" s="172"/>
      <c r="R663" s="172"/>
      <c r="S663" s="172"/>
      <c r="T663" s="172"/>
      <c r="U663" s="172"/>
      <c r="V663" s="172"/>
      <c r="W663" s="172"/>
      <c r="X663" s="172"/>
      <c r="Y663" s="172"/>
      <c r="Z663" s="172"/>
    </row>
    <row r="664" spans="1:26" ht="18.75">
      <c r="A664" s="172"/>
      <c r="B664" s="172"/>
      <c r="C664" s="172"/>
      <c r="D664" s="172"/>
      <c r="E664" s="172"/>
      <c r="F664" s="172"/>
      <c r="G664" s="172"/>
      <c r="H664" s="172"/>
      <c r="I664" s="172"/>
      <c r="J664" s="172"/>
      <c r="K664" s="172"/>
      <c r="L664" s="172"/>
      <c r="M664" s="172"/>
      <c r="N664" s="172"/>
      <c r="O664" s="172"/>
      <c r="P664" s="172"/>
      <c r="Q664" s="172"/>
      <c r="R664" s="172"/>
      <c r="S664" s="172"/>
      <c r="T664" s="172"/>
      <c r="U664" s="172"/>
      <c r="V664" s="172"/>
      <c r="W664" s="172"/>
      <c r="X664" s="172"/>
      <c r="Y664" s="172"/>
      <c r="Z664" s="172"/>
    </row>
    <row r="665" spans="1:26" ht="18.75">
      <c r="A665" s="172"/>
      <c r="B665" s="172"/>
      <c r="C665" s="172"/>
      <c r="D665" s="172"/>
      <c r="E665" s="172"/>
      <c r="F665" s="172"/>
      <c r="G665" s="172"/>
      <c r="H665" s="172"/>
      <c r="I665" s="172"/>
      <c r="J665" s="172"/>
      <c r="K665" s="172"/>
      <c r="L665" s="172"/>
      <c r="M665" s="172"/>
      <c r="N665" s="172"/>
      <c r="O665" s="172"/>
      <c r="P665" s="172"/>
      <c r="Q665" s="172"/>
      <c r="R665" s="172"/>
      <c r="S665" s="172"/>
      <c r="T665" s="172"/>
      <c r="U665" s="172"/>
      <c r="V665" s="172"/>
      <c r="W665" s="172"/>
      <c r="X665" s="172"/>
      <c r="Y665" s="172"/>
      <c r="Z665" s="172"/>
    </row>
    <row r="666" spans="1:26" ht="18.75">
      <c r="A666" s="172"/>
      <c r="B666" s="172"/>
      <c r="C666" s="172"/>
      <c r="D666" s="172"/>
      <c r="E666" s="172"/>
      <c r="F666" s="172"/>
      <c r="G666" s="172"/>
      <c r="H666" s="172"/>
      <c r="I666" s="172"/>
      <c r="J666" s="172"/>
      <c r="K666" s="172"/>
      <c r="L666" s="172"/>
      <c r="M666" s="172"/>
      <c r="N666" s="172"/>
      <c r="O666" s="172"/>
      <c r="P666" s="172"/>
      <c r="Q666" s="172"/>
      <c r="R666" s="172"/>
      <c r="S666" s="172"/>
      <c r="T666" s="172"/>
      <c r="U666" s="172"/>
      <c r="V666" s="172"/>
      <c r="W666" s="172"/>
      <c r="X666" s="172"/>
      <c r="Y666" s="172"/>
      <c r="Z666" s="172"/>
    </row>
    <row r="667" spans="1:26" ht="18.75">
      <c r="A667" s="172"/>
      <c r="B667" s="172"/>
      <c r="C667" s="172"/>
      <c r="D667" s="172"/>
      <c r="E667" s="172"/>
      <c r="F667" s="172"/>
      <c r="G667" s="172"/>
      <c r="H667" s="172"/>
      <c r="I667" s="172"/>
      <c r="J667" s="172"/>
      <c r="K667" s="172"/>
      <c r="L667" s="172"/>
      <c r="M667" s="172"/>
      <c r="N667" s="172"/>
      <c r="O667" s="172"/>
      <c r="P667" s="172"/>
      <c r="Q667" s="172"/>
      <c r="R667" s="172"/>
      <c r="S667" s="172"/>
      <c r="T667" s="172"/>
      <c r="U667" s="172"/>
      <c r="V667" s="172"/>
      <c r="W667" s="172"/>
      <c r="X667" s="172"/>
      <c r="Y667" s="172"/>
      <c r="Z667" s="172"/>
    </row>
    <row r="668" spans="1:26" ht="18.75">
      <c r="A668" s="172"/>
      <c r="B668" s="172"/>
      <c r="C668" s="172"/>
      <c r="D668" s="172"/>
      <c r="E668" s="172"/>
      <c r="F668" s="172"/>
      <c r="G668" s="172"/>
      <c r="H668" s="172"/>
      <c r="I668" s="172"/>
      <c r="J668" s="172"/>
      <c r="K668" s="172"/>
      <c r="L668" s="172"/>
      <c r="M668" s="172"/>
      <c r="N668" s="172"/>
      <c r="O668" s="172"/>
      <c r="P668" s="172"/>
      <c r="Q668" s="172"/>
      <c r="R668" s="172"/>
      <c r="S668" s="172"/>
      <c r="T668" s="172"/>
      <c r="U668" s="172"/>
      <c r="V668" s="172"/>
      <c r="W668" s="172"/>
      <c r="X668" s="172"/>
      <c r="Y668" s="172"/>
      <c r="Z668" s="172"/>
    </row>
    <row r="669" spans="1:26" ht="18.75">
      <c r="A669" s="172"/>
      <c r="B669" s="172"/>
      <c r="C669" s="172"/>
      <c r="D669" s="172"/>
      <c r="E669" s="172"/>
      <c r="F669" s="172"/>
      <c r="G669" s="172"/>
      <c r="H669" s="172"/>
      <c r="I669" s="172"/>
      <c r="J669" s="172"/>
      <c r="K669" s="172"/>
      <c r="L669" s="172"/>
      <c r="M669" s="172"/>
      <c r="N669" s="172"/>
      <c r="O669" s="172"/>
      <c r="P669" s="172"/>
      <c r="Q669" s="172"/>
      <c r="R669" s="172"/>
      <c r="S669" s="172"/>
      <c r="T669" s="172"/>
      <c r="U669" s="172"/>
      <c r="V669" s="172"/>
      <c r="W669" s="172"/>
      <c r="X669" s="172"/>
      <c r="Y669" s="172"/>
      <c r="Z669" s="172"/>
    </row>
    <row r="670" spans="1:26" ht="18.75">
      <c r="A670" s="172"/>
      <c r="B670" s="172"/>
      <c r="C670" s="172"/>
      <c r="D670" s="172"/>
      <c r="E670" s="172"/>
      <c r="F670" s="172"/>
      <c r="G670" s="172"/>
      <c r="H670" s="172"/>
      <c r="I670" s="172"/>
      <c r="J670" s="172"/>
      <c r="K670" s="172"/>
      <c r="L670" s="172"/>
      <c r="M670" s="172"/>
      <c r="N670" s="172"/>
      <c r="O670" s="172"/>
      <c r="P670" s="172"/>
      <c r="Q670" s="172"/>
      <c r="R670" s="172"/>
      <c r="S670" s="172"/>
      <c r="T670" s="172"/>
      <c r="U670" s="172"/>
      <c r="V670" s="172"/>
      <c r="W670" s="172"/>
      <c r="X670" s="172"/>
      <c r="Y670" s="172"/>
      <c r="Z670" s="172"/>
    </row>
    <row r="671" spans="1:26" ht="18.75">
      <c r="A671" s="172"/>
      <c r="B671" s="172"/>
      <c r="C671" s="172"/>
      <c r="D671" s="172"/>
      <c r="E671" s="172"/>
      <c r="F671" s="172"/>
      <c r="G671" s="172"/>
      <c r="H671" s="172"/>
      <c r="I671" s="172"/>
      <c r="J671" s="172"/>
      <c r="K671" s="172"/>
      <c r="L671" s="172"/>
      <c r="M671" s="172"/>
      <c r="N671" s="172"/>
      <c r="O671" s="172"/>
      <c r="P671" s="172"/>
      <c r="Q671" s="172"/>
      <c r="R671" s="172"/>
      <c r="S671" s="172"/>
      <c r="T671" s="172"/>
      <c r="U671" s="172"/>
      <c r="V671" s="172"/>
      <c r="W671" s="172"/>
      <c r="X671" s="172"/>
      <c r="Y671" s="172"/>
      <c r="Z671" s="172"/>
    </row>
    <row r="672" spans="1:26" ht="18.75">
      <c r="A672" s="172"/>
      <c r="B672" s="172"/>
      <c r="C672" s="172"/>
      <c r="D672" s="172"/>
      <c r="E672" s="172"/>
      <c r="F672" s="172"/>
      <c r="G672" s="172"/>
      <c r="H672" s="172"/>
      <c r="I672" s="172"/>
      <c r="J672" s="172"/>
      <c r="K672" s="172"/>
      <c r="L672" s="172"/>
      <c r="M672" s="172"/>
      <c r="N672" s="172"/>
      <c r="O672" s="172"/>
      <c r="P672" s="172"/>
      <c r="Q672" s="172"/>
      <c r="R672" s="172"/>
      <c r="S672" s="172"/>
      <c r="T672" s="172"/>
      <c r="U672" s="172"/>
      <c r="V672" s="172"/>
      <c r="W672" s="172"/>
      <c r="X672" s="172"/>
      <c r="Y672" s="172"/>
      <c r="Z672" s="172"/>
    </row>
    <row r="673" spans="1:26" ht="18.75">
      <c r="A673" s="172"/>
      <c r="B673" s="172"/>
      <c r="C673" s="172"/>
      <c r="D673" s="172"/>
      <c r="E673" s="172"/>
      <c r="F673" s="172"/>
      <c r="G673" s="172"/>
      <c r="H673" s="172"/>
      <c r="I673" s="172"/>
      <c r="J673" s="172"/>
      <c r="K673" s="172"/>
      <c r="L673" s="172"/>
      <c r="M673" s="172"/>
      <c r="N673" s="172"/>
      <c r="O673" s="172"/>
      <c r="P673" s="172"/>
      <c r="Q673" s="172"/>
      <c r="R673" s="172"/>
      <c r="S673" s="172"/>
      <c r="T673" s="172"/>
      <c r="U673" s="172"/>
      <c r="V673" s="172"/>
      <c r="W673" s="172"/>
      <c r="X673" s="172"/>
      <c r="Y673" s="172"/>
      <c r="Z673" s="172"/>
    </row>
    <row r="674" spans="1:26" ht="18.75">
      <c r="A674" s="172"/>
      <c r="B674" s="172"/>
      <c r="C674" s="172"/>
      <c r="D674" s="172"/>
      <c r="E674" s="172"/>
      <c r="F674" s="172"/>
      <c r="G674" s="172"/>
      <c r="H674" s="172"/>
      <c r="I674" s="172"/>
      <c r="J674" s="172"/>
      <c r="K674" s="172"/>
      <c r="L674" s="172"/>
      <c r="M674" s="172"/>
      <c r="N674" s="172"/>
      <c r="O674" s="172"/>
      <c r="P674" s="172"/>
      <c r="Q674" s="172"/>
      <c r="R674" s="172"/>
      <c r="S674" s="172"/>
      <c r="T674" s="172"/>
      <c r="U674" s="172"/>
      <c r="V674" s="172"/>
      <c r="W674" s="172"/>
      <c r="X674" s="172"/>
      <c r="Y674" s="172"/>
      <c r="Z674" s="172"/>
    </row>
    <row r="675" spans="1:26" ht="18.75">
      <c r="A675" s="172"/>
      <c r="B675" s="172"/>
      <c r="C675" s="172"/>
      <c r="D675" s="172"/>
      <c r="E675" s="172"/>
      <c r="F675" s="172"/>
      <c r="G675" s="172"/>
      <c r="H675" s="172"/>
      <c r="I675" s="172"/>
      <c r="J675" s="172"/>
      <c r="K675" s="172"/>
      <c r="L675" s="172"/>
      <c r="M675" s="172"/>
      <c r="N675" s="172"/>
      <c r="O675" s="172"/>
      <c r="P675" s="172"/>
      <c r="Q675" s="172"/>
      <c r="R675" s="172"/>
      <c r="S675" s="172"/>
      <c r="T675" s="172"/>
      <c r="U675" s="172"/>
      <c r="V675" s="172"/>
      <c r="W675" s="172"/>
      <c r="X675" s="172"/>
      <c r="Y675" s="172"/>
      <c r="Z675" s="172"/>
    </row>
    <row r="676" spans="1:26" ht="18.75">
      <c r="A676" s="172"/>
      <c r="B676" s="172"/>
      <c r="C676" s="172"/>
      <c r="D676" s="172"/>
      <c r="E676" s="172"/>
      <c r="F676" s="172"/>
      <c r="G676" s="172"/>
      <c r="H676" s="172"/>
      <c r="I676" s="172"/>
      <c r="J676" s="172"/>
      <c r="K676" s="172"/>
      <c r="L676" s="172"/>
      <c r="M676" s="172"/>
      <c r="N676" s="172"/>
      <c r="O676" s="172"/>
      <c r="P676" s="172"/>
      <c r="Q676" s="172"/>
      <c r="R676" s="172"/>
      <c r="S676" s="172"/>
      <c r="T676" s="172"/>
      <c r="U676" s="172"/>
      <c r="V676" s="172"/>
      <c r="W676" s="172"/>
      <c r="X676" s="172"/>
      <c r="Y676" s="172"/>
      <c r="Z676" s="172"/>
    </row>
    <row r="677" spans="1:26" ht="18.75">
      <c r="A677" s="172"/>
      <c r="B677" s="172"/>
      <c r="C677" s="172"/>
      <c r="D677" s="172"/>
      <c r="E677" s="172"/>
      <c r="F677" s="172"/>
      <c r="G677" s="172"/>
      <c r="H677" s="172"/>
      <c r="I677" s="172"/>
      <c r="J677" s="172"/>
      <c r="K677" s="172"/>
      <c r="L677" s="172"/>
      <c r="M677" s="172"/>
      <c r="N677" s="172"/>
      <c r="O677" s="172"/>
      <c r="P677" s="172"/>
      <c r="Q677" s="172"/>
      <c r="R677" s="172"/>
      <c r="S677" s="172"/>
      <c r="T677" s="172"/>
      <c r="U677" s="172"/>
      <c r="V677" s="172"/>
      <c r="W677" s="172"/>
      <c r="X677" s="172"/>
      <c r="Y677" s="172"/>
      <c r="Z677" s="172"/>
    </row>
    <row r="678" spans="1:26" ht="18.75">
      <c r="A678" s="172"/>
      <c r="B678" s="172"/>
      <c r="C678" s="172"/>
      <c r="D678" s="172"/>
      <c r="E678" s="172"/>
      <c r="F678" s="172"/>
      <c r="G678" s="172"/>
      <c r="H678" s="172"/>
      <c r="I678" s="172"/>
      <c r="J678" s="172"/>
      <c r="K678" s="172"/>
      <c r="L678" s="172"/>
      <c r="M678" s="172"/>
      <c r="N678" s="172"/>
      <c r="O678" s="172"/>
      <c r="P678" s="172"/>
      <c r="Q678" s="172"/>
      <c r="R678" s="172"/>
      <c r="S678" s="172"/>
      <c r="T678" s="172"/>
      <c r="U678" s="172"/>
      <c r="V678" s="172"/>
      <c r="W678" s="172"/>
      <c r="X678" s="172"/>
      <c r="Y678" s="172"/>
      <c r="Z678" s="172"/>
    </row>
    <row r="679" spans="1:26" ht="18.75">
      <c r="A679" s="172"/>
      <c r="B679" s="172"/>
      <c r="C679" s="172"/>
      <c r="D679" s="172"/>
      <c r="E679" s="172"/>
      <c r="F679" s="172"/>
      <c r="G679" s="172"/>
      <c r="H679" s="172"/>
      <c r="I679" s="172"/>
      <c r="J679" s="172"/>
      <c r="K679" s="172"/>
      <c r="L679" s="172"/>
      <c r="M679" s="172"/>
      <c r="N679" s="172"/>
      <c r="O679" s="172"/>
      <c r="P679" s="172"/>
      <c r="Q679" s="172"/>
      <c r="R679" s="172"/>
      <c r="S679" s="172"/>
      <c r="T679" s="172"/>
      <c r="U679" s="172"/>
      <c r="V679" s="172"/>
      <c r="W679" s="172"/>
      <c r="X679" s="172"/>
      <c r="Y679" s="172"/>
      <c r="Z679" s="172"/>
    </row>
    <row r="680" spans="1:26" ht="18.75">
      <c r="A680" s="172"/>
      <c r="B680" s="172"/>
      <c r="C680" s="172"/>
      <c r="D680" s="172"/>
      <c r="E680" s="172"/>
      <c r="F680" s="172"/>
      <c r="G680" s="172"/>
      <c r="H680" s="172"/>
      <c r="I680" s="172"/>
      <c r="J680" s="172"/>
      <c r="K680" s="172"/>
      <c r="L680" s="172"/>
      <c r="M680" s="172"/>
      <c r="N680" s="172"/>
      <c r="O680" s="172"/>
      <c r="P680" s="172"/>
      <c r="Q680" s="172"/>
      <c r="R680" s="172"/>
      <c r="S680" s="172"/>
      <c r="T680" s="172"/>
      <c r="U680" s="172"/>
      <c r="V680" s="172"/>
      <c r="W680" s="172"/>
      <c r="X680" s="172"/>
      <c r="Y680" s="172"/>
      <c r="Z680" s="172"/>
    </row>
    <row r="681" spans="1:26" ht="18.75">
      <c r="A681" s="172"/>
      <c r="B681" s="172"/>
      <c r="C681" s="172"/>
      <c r="D681" s="172"/>
      <c r="E681" s="172"/>
      <c r="F681" s="172"/>
      <c r="G681" s="172"/>
      <c r="H681" s="172"/>
      <c r="I681" s="172"/>
      <c r="J681" s="172"/>
      <c r="K681" s="172"/>
      <c r="L681" s="172"/>
      <c r="M681" s="172"/>
      <c r="N681" s="172"/>
      <c r="O681" s="172"/>
      <c r="P681" s="172"/>
      <c r="Q681" s="172"/>
      <c r="R681" s="172"/>
      <c r="S681" s="172"/>
      <c r="T681" s="172"/>
      <c r="U681" s="172"/>
      <c r="V681" s="172"/>
      <c r="W681" s="172"/>
      <c r="X681" s="172"/>
      <c r="Y681" s="172"/>
      <c r="Z681" s="172"/>
    </row>
    <row r="682" spans="1:26" ht="18.75">
      <c r="A682" s="172"/>
      <c r="B682" s="172"/>
      <c r="C682" s="172"/>
      <c r="D682" s="172"/>
      <c r="E682" s="172"/>
      <c r="F682" s="172"/>
      <c r="G682" s="172"/>
      <c r="H682" s="172"/>
      <c r="I682" s="172"/>
      <c r="J682" s="172"/>
      <c r="K682" s="172"/>
      <c r="L682" s="172"/>
      <c r="M682" s="172"/>
      <c r="N682" s="172"/>
      <c r="O682" s="172"/>
      <c r="P682" s="172"/>
      <c r="Q682" s="172"/>
      <c r="R682" s="172"/>
      <c r="S682" s="172"/>
      <c r="T682" s="172"/>
      <c r="U682" s="172"/>
      <c r="V682" s="172"/>
      <c r="W682" s="172"/>
      <c r="X682" s="172"/>
      <c r="Y682" s="172"/>
      <c r="Z682" s="172"/>
    </row>
    <row r="683" spans="1:26" ht="18.75">
      <c r="A683" s="172"/>
      <c r="B683" s="172"/>
      <c r="C683" s="172"/>
      <c r="D683" s="172"/>
      <c r="E683" s="172"/>
      <c r="F683" s="172"/>
      <c r="G683" s="172"/>
      <c r="H683" s="172"/>
      <c r="I683" s="172"/>
      <c r="J683" s="172"/>
      <c r="K683" s="172"/>
      <c r="L683" s="172"/>
      <c r="M683" s="172"/>
      <c r="N683" s="172"/>
      <c r="O683" s="172"/>
      <c r="P683" s="172"/>
      <c r="Q683" s="172"/>
      <c r="R683" s="172"/>
      <c r="S683" s="172"/>
      <c r="T683" s="172"/>
      <c r="U683" s="172"/>
      <c r="V683" s="172"/>
      <c r="W683" s="172"/>
      <c r="X683" s="172"/>
      <c r="Y683" s="172"/>
      <c r="Z683" s="172"/>
    </row>
    <row r="684" spans="1:26" ht="18.75">
      <c r="A684" s="172"/>
      <c r="B684" s="172"/>
      <c r="C684" s="172"/>
      <c r="D684" s="172"/>
      <c r="E684" s="172"/>
      <c r="F684" s="172"/>
      <c r="G684" s="172"/>
      <c r="H684" s="172"/>
      <c r="I684" s="172"/>
      <c r="J684" s="172"/>
      <c r="K684" s="172"/>
      <c r="L684" s="172"/>
      <c r="M684" s="172"/>
      <c r="N684" s="172"/>
      <c r="O684" s="172"/>
      <c r="P684" s="172"/>
      <c r="Q684" s="172"/>
      <c r="R684" s="172"/>
      <c r="S684" s="172"/>
      <c r="T684" s="172"/>
      <c r="U684" s="172"/>
      <c r="V684" s="172"/>
      <c r="W684" s="172"/>
      <c r="X684" s="172"/>
      <c r="Y684" s="172"/>
      <c r="Z684" s="172"/>
    </row>
    <row r="685" spans="1:26" ht="18.75">
      <c r="A685" s="172"/>
      <c r="B685" s="172"/>
      <c r="C685" s="172"/>
      <c r="D685" s="172"/>
      <c r="E685" s="172"/>
      <c r="F685" s="172"/>
      <c r="G685" s="172"/>
      <c r="H685" s="172"/>
      <c r="I685" s="172"/>
      <c r="J685" s="172"/>
      <c r="K685" s="172"/>
      <c r="L685" s="172"/>
      <c r="M685" s="172"/>
      <c r="N685" s="172"/>
      <c r="O685" s="172"/>
      <c r="P685" s="172"/>
      <c r="Q685" s="172"/>
      <c r="R685" s="172"/>
      <c r="S685" s="172"/>
      <c r="T685" s="172"/>
      <c r="U685" s="172"/>
      <c r="V685" s="172"/>
      <c r="W685" s="172"/>
      <c r="X685" s="172"/>
      <c r="Y685" s="172"/>
      <c r="Z685" s="172"/>
    </row>
    <row r="686" spans="1:26" ht="18.75">
      <c r="A686" s="172"/>
      <c r="B686" s="172"/>
      <c r="C686" s="172"/>
      <c r="D686" s="172"/>
      <c r="E686" s="172"/>
      <c r="F686" s="172"/>
      <c r="G686" s="172"/>
      <c r="H686" s="172"/>
      <c r="I686" s="172"/>
      <c r="J686" s="172"/>
      <c r="K686" s="172"/>
      <c r="L686" s="172"/>
      <c r="M686" s="172"/>
      <c r="N686" s="172"/>
      <c r="O686" s="172"/>
      <c r="P686" s="172"/>
      <c r="Q686" s="172"/>
      <c r="R686" s="172"/>
      <c r="S686" s="172"/>
      <c r="T686" s="172"/>
      <c r="U686" s="172"/>
      <c r="V686" s="172"/>
      <c r="W686" s="172"/>
      <c r="X686" s="172"/>
      <c r="Y686" s="172"/>
      <c r="Z686" s="172"/>
    </row>
    <row r="687" spans="1:26" ht="18.75">
      <c r="A687" s="172"/>
      <c r="B687" s="172"/>
      <c r="C687" s="172"/>
      <c r="D687" s="172"/>
      <c r="E687" s="172"/>
      <c r="F687" s="172"/>
      <c r="G687" s="172"/>
      <c r="H687" s="172"/>
      <c r="I687" s="172"/>
      <c r="J687" s="172"/>
      <c r="K687" s="172"/>
      <c r="L687" s="172"/>
      <c r="M687" s="172"/>
      <c r="N687" s="172"/>
      <c r="O687" s="172"/>
      <c r="P687" s="172"/>
      <c r="Q687" s="172"/>
      <c r="R687" s="172"/>
      <c r="S687" s="172"/>
      <c r="T687" s="172"/>
      <c r="U687" s="172"/>
      <c r="V687" s="172"/>
      <c r="W687" s="172"/>
      <c r="X687" s="172"/>
      <c r="Y687" s="172"/>
      <c r="Z687" s="172"/>
    </row>
    <row r="688" spans="1:26" ht="18.75">
      <c r="A688" s="172"/>
      <c r="B688" s="172"/>
      <c r="C688" s="172"/>
      <c r="D688" s="172"/>
      <c r="E688" s="172"/>
      <c r="F688" s="172"/>
      <c r="G688" s="172"/>
      <c r="H688" s="172"/>
      <c r="I688" s="172"/>
      <c r="J688" s="172"/>
      <c r="K688" s="172"/>
      <c r="L688" s="172"/>
      <c r="M688" s="172"/>
      <c r="N688" s="172"/>
      <c r="O688" s="172"/>
      <c r="P688" s="172"/>
      <c r="Q688" s="172"/>
      <c r="R688" s="172"/>
      <c r="S688" s="172"/>
      <c r="T688" s="172"/>
      <c r="U688" s="172"/>
      <c r="V688" s="172"/>
      <c r="W688" s="172"/>
      <c r="X688" s="172"/>
      <c r="Y688" s="172"/>
      <c r="Z688" s="172"/>
    </row>
    <row r="689" spans="1:26" ht="18.75">
      <c r="A689" s="172"/>
      <c r="B689" s="172"/>
      <c r="C689" s="172"/>
      <c r="D689" s="172"/>
      <c r="E689" s="172"/>
      <c r="F689" s="172"/>
      <c r="G689" s="172"/>
      <c r="H689" s="172"/>
      <c r="I689" s="172"/>
      <c r="J689" s="172"/>
      <c r="K689" s="172"/>
      <c r="L689" s="172"/>
      <c r="M689" s="172"/>
      <c r="N689" s="172"/>
      <c r="O689" s="172"/>
      <c r="P689" s="172"/>
      <c r="Q689" s="172"/>
      <c r="R689" s="172"/>
      <c r="S689" s="172"/>
      <c r="T689" s="172"/>
      <c r="U689" s="172"/>
      <c r="V689" s="172"/>
      <c r="W689" s="172"/>
      <c r="X689" s="172"/>
      <c r="Y689" s="172"/>
      <c r="Z689" s="172"/>
    </row>
    <row r="690" spans="1:26" ht="18.75">
      <c r="A690" s="172"/>
      <c r="B690" s="172"/>
      <c r="C690" s="172"/>
      <c r="D690" s="172"/>
      <c r="E690" s="172"/>
      <c r="F690" s="172"/>
      <c r="G690" s="172"/>
      <c r="H690" s="172"/>
      <c r="I690" s="172"/>
      <c r="J690" s="172"/>
      <c r="K690" s="172"/>
      <c r="L690" s="172"/>
      <c r="M690" s="172"/>
      <c r="N690" s="172"/>
      <c r="O690" s="172"/>
      <c r="P690" s="172"/>
      <c r="Q690" s="172"/>
      <c r="R690" s="172"/>
      <c r="S690" s="172"/>
      <c r="T690" s="172"/>
      <c r="U690" s="172"/>
      <c r="V690" s="172"/>
      <c r="W690" s="172"/>
      <c r="X690" s="172"/>
      <c r="Y690" s="172"/>
      <c r="Z690" s="172"/>
    </row>
    <row r="691" spans="1:26" ht="18.75">
      <c r="A691" s="172"/>
      <c r="B691" s="172"/>
      <c r="C691" s="172"/>
      <c r="D691" s="172"/>
      <c r="E691" s="172"/>
      <c r="F691" s="172"/>
      <c r="G691" s="172"/>
      <c r="H691" s="172"/>
      <c r="I691" s="172"/>
      <c r="J691" s="172"/>
      <c r="K691" s="172"/>
      <c r="L691" s="172"/>
      <c r="M691" s="172"/>
      <c r="N691" s="172"/>
      <c r="O691" s="172"/>
      <c r="P691" s="172"/>
      <c r="Q691" s="172"/>
      <c r="R691" s="172"/>
      <c r="S691" s="172"/>
      <c r="T691" s="172"/>
      <c r="U691" s="172"/>
      <c r="V691" s="172"/>
      <c r="W691" s="172"/>
      <c r="X691" s="172"/>
      <c r="Y691" s="172"/>
      <c r="Z691" s="172"/>
    </row>
    <row r="692" spans="1:26" ht="18.75">
      <c r="A692" s="172"/>
      <c r="B692" s="172"/>
      <c r="C692" s="172"/>
      <c r="D692" s="172"/>
      <c r="E692" s="172"/>
      <c r="F692" s="172"/>
      <c r="G692" s="172"/>
      <c r="H692" s="172"/>
      <c r="I692" s="172"/>
      <c r="J692" s="172"/>
      <c r="K692" s="172"/>
      <c r="L692" s="172"/>
      <c r="M692" s="172"/>
      <c r="N692" s="172"/>
      <c r="O692" s="172"/>
      <c r="P692" s="172"/>
      <c r="Q692" s="172"/>
      <c r="R692" s="172"/>
      <c r="S692" s="172"/>
      <c r="T692" s="172"/>
      <c r="U692" s="172"/>
      <c r="V692" s="172"/>
      <c r="W692" s="172"/>
      <c r="X692" s="172"/>
      <c r="Y692" s="172"/>
      <c r="Z692" s="172"/>
    </row>
    <row r="693" spans="1:26" ht="18.75">
      <c r="A693" s="172"/>
      <c r="B693" s="172"/>
      <c r="C693" s="172"/>
      <c r="D693" s="172"/>
      <c r="E693" s="172"/>
      <c r="F693" s="172"/>
      <c r="G693" s="172"/>
      <c r="H693" s="172"/>
      <c r="I693" s="172"/>
      <c r="J693" s="172"/>
      <c r="K693" s="172"/>
      <c r="L693" s="172"/>
      <c r="M693" s="172"/>
      <c r="N693" s="172"/>
      <c r="O693" s="172"/>
      <c r="P693" s="172"/>
      <c r="Q693" s="172"/>
      <c r="R693" s="172"/>
      <c r="S693" s="172"/>
      <c r="T693" s="172"/>
      <c r="U693" s="172"/>
      <c r="V693" s="172"/>
      <c r="W693" s="172"/>
      <c r="X693" s="172"/>
      <c r="Y693" s="172"/>
      <c r="Z693" s="172"/>
    </row>
    <row r="694" spans="1:26" ht="18.75">
      <c r="A694" s="172"/>
      <c r="B694" s="172"/>
      <c r="C694" s="172"/>
      <c r="D694" s="172"/>
      <c r="E694" s="172"/>
      <c r="F694" s="172"/>
      <c r="G694" s="172"/>
      <c r="H694" s="172"/>
      <c r="I694" s="172"/>
      <c r="J694" s="172"/>
      <c r="K694" s="172"/>
      <c r="L694" s="172"/>
      <c r="M694" s="172"/>
      <c r="N694" s="172"/>
      <c r="O694" s="172"/>
      <c r="P694" s="172"/>
      <c r="Q694" s="172"/>
      <c r="R694" s="172"/>
      <c r="S694" s="172"/>
      <c r="T694" s="172"/>
      <c r="U694" s="172"/>
      <c r="V694" s="172"/>
      <c r="W694" s="172"/>
      <c r="X694" s="172"/>
      <c r="Y694" s="172"/>
      <c r="Z694" s="172"/>
    </row>
    <row r="695" spans="1:26" ht="18.75">
      <c r="A695" s="172"/>
      <c r="B695" s="172"/>
      <c r="C695" s="172"/>
      <c r="D695" s="172"/>
      <c r="E695" s="172"/>
      <c r="F695" s="172"/>
      <c r="G695" s="172"/>
      <c r="H695" s="172"/>
      <c r="I695" s="172"/>
      <c r="J695" s="172"/>
      <c r="K695" s="172"/>
      <c r="L695" s="172"/>
      <c r="M695" s="172"/>
      <c r="N695" s="172"/>
      <c r="O695" s="172"/>
      <c r="P695" s="172"/>
      <c r="Q695" s="172"/>
      <c r="R695" s="172"/>
      <c r="S695" s="172"/>
      <c r="T695" s="172"/>
      <c r="U695" s="172"/>
      <c r="V695" s="172"/>
      <c r="W695" s="172"/>
      <c r="X695" s="172"/>
      <c r="Y695" s="172"/>
      <c r="Z695" s="172"/>
    </row>
    <row r="696" spans="1:26" ht="18.75">
      <c r="A696" s="172"/>
      <c r="B696" s="172"/>
      <c r="C696" s="172"/>
      <c r="D696" s="172"/>
      <c r="E696" s="172"/>
      <c r="F696" s="172"/>
      <c r="G696" s="172"/>
      <c r="H696" s="172"/>
      <c r="I696" s="172"/>
      <c r="J696" s="172"/>
      <c r="K696" s="172"/>
      <c r="L696" s="172"/>
      <c r="M696" s="172"/>
      <c r="N696" s="172"/>
      <c r="O696" s="172"/>
      <c r="P696" s="172"/>
      <c r="Q696" s="172"/>
      <c r="R696" s="172"/>
      <c r="S696" s="172"/>
      <c r="T696" s="172"/>
      <c r="U696" s="172"/>
      <c r="V696" s="172"/>
      <c r="W696" s="172"/>
      <c r="X696" s="172"/>
      <c r="Y696" s="172"/>
      <c r="Z696" s="172"/>
    </row>
    <row r="697" spans="1:26" ht="18.75">
      <c r="A697" s="172"/>
      <c r="B697" s="172"/>
      <c r="C697" s="172"/>
      <c r="D697" s="172"/>
      <c r="E697" s="172"/>
      <c r="F697" s="172"/>
      <c r="G697" s="172"/>
      <c r="H697" s="172"/>
      <c r="I697" s="172"/>
      <c r="J697" s="172"/>
      <c r="K697" s="172"/>
      <c r="L697" s="172"/>
      <c r="M697" s="172"/>
      <c r="N697" s="172"/>
      <c r="O697" s="172"/>
      <c r="P697" s="172"/>
      <c r="Q697" s="172"/>
      <c r="R697" s="172"/>
      <c r="S697" s="172"/>
      <c r="T697" s="172"/>
      <c r="U697" s="172"/>
      <c r="V697" s="172"/>
      <c r="W697" s="172"/>
      <c r="X697" s="172"/>
      <c r="Y697" s="172"/>
      <c r="Z697" s="172"/>
    </row>
    <row r="698" spans="1:26" ht="18.75">
      <c r="A698" s="172"/>
      <c r="B698" s="172"/>
      <c r="C698" s="172"/>
      <c r="D698" s="172"/>
      <c r="E698" s="172"/>
      <c r="F698" s="172"/>
      <c r="G698" s="172"/>
      <c r="H698" s="172"/>
      <c r="I698" s="172"/>
      <c r="J698" s="172"/>
      <c r="K698" s="172"/>
      <c r="L698" s="172"/>
      <c r="M698" s="172"/>
      <c r="N698" s="172"/>
      <c r="O698" s="172"/>
      <c r="P698" s="172"/>
      <c r="Q698" s="172"/>
      <c r="R698" s="172"/>
      <c r="S698" s="172"/>
      <c r="T698" s="172"/>
      <c r="U698" s="172"/>
      <c r="V698" s="172"/>
      <c r="W698" s="172"/>
      <c r="X698" s="172"/>
      <c r="Y698" s="172"/>
      <c r="Z698" s="172"/>
    </row>
    <row r="699" spans="1:26" ht="18.75">
      <c r="A699" s="172"/>
      <c r="B699" s="172"/>
      <c r="C699" s="172"/>
      <c r="D699" s="172"/>
      <c r="E699" s="172"/>
      <c r="F699" s="172"/>
      <c r="G699" s="172"/>
      <c r="H699" s="172"/>
      <c r="I699" s="172"/>
      <c r="J699" s="172"/>
      <c r="K699" s="172"/>
      <c r="L699" s="172"/>
      <c r="M699" s="172"/>
      <c r="N699" s="172"/>
      <c r="O699" s="172"/>
      <c r="P699" s="172"/>
      <c r="Q699" s="172"/>
      <c r="R699" s="172"/>
      <c r="S699" s="172"/>
      <c r="T699" s="172"/>
      <c r="U699" s="172"/>
      <c r="V699" s="172"/>
      <c r="W699" s="172"/>
      <c r="X699" s="172"/>
      <c r="Y699" s="172"/>
      <c r="Z699" s="172"/>
    </row>
    <row r="700" spans="1:26" ht="18.75">
      <c r="A700" s="172"/>
      <c r="B700" s="172"/>
      <c r="C700" s="172"/>
      <c r="D700" s="172"/>
      <c r="E700" s="172"/>
      <c r="F700" s="172"/>
      <c r="G700" s="172"/>
      <c r="H700" s="172"/>
      <c r="I700" s="172"/>
      <c r="J700" s="172"/>
      <c r="K700" s="172"/>
      <c r="L700" s="172"/>
      <c r="M700" s="172"/>
      <c r="N700" s="172"/>
      <c r="O700" s="172"/>
      <c r="P700" s="172"/>
      <c r="Q700" s="172"/>
      <c r="R700" s="172"/>
      <c r="S700" s="172"/>
      <c r="T700" s="172"/>
      <c r="U700" s="172"/>
      <c r="V700" s="172"/>
      <c r="W700" s="172"/>
      <c r="X700" s="172"/>
      <c r="Y700" s="172"/>
      <c r="Z700" s="172"/>
    </row>
    <row r="701" spans="1:26" ht="18.75">
      <c r="A701" s="172"/>
      <c r="B701" s="172"/>
      <c r="C701" s="172"/>
      <c r="D701" s="172"/>
      <c r="E701" s="172"/>
      <c r="F701" s="172"/>
      <c r="G701" s="172"/>
      <c r="H701" s="172"/>
      <c r="I701" s="172"/>
      <c r="J701" s="172"/>
      <c r="K701" s="172"/>
      <c r="L701" s="172"/>
      <c r="M701" s="172"/>
      <c r="N701" s="172"/>
      <c r="O701" s="172"/>
      <c r="P701" s="172"/>
      <c r="Q701" s="172"/>
      <c r="R701" s="172"/>
      <c r="S701" s="172"/>
      <c r="T701" s="172"/>
      <c r="U701" s="172"/>
      <c r="V701" s="172"/>
      <c r="W701" s="172"/>
      <c r="X701" s="172"/>
      <c r="Y701" s="172"/>
      <c r="Z701" s="172"/>
    </row>
    <row r="702" spans="1:26" ht="18.75">
      <c r="A702" s="172"/>
      <c r="B702" s="172"/>
      <c r="C702" s="172"/>
      <c r="D702" s="172"/>
      <c r="E702" s="172"/>
      <c r="F702" s="172"/>
      <c r="G702" s="172"/>
      <c r="H702" s="172"/>
      <c r="I702" s="172"/>
      <c r="J702" s="172"/>
      <c r="K702" s="172"/>
      <c r="L702" s="172"/>
      <c r="M702" s="172"/>
      <c r="N702" s="172"/>
      <c r="O702" s="172"/>
      <c r="P702" s="172"/>
      <c r="Q702" s="172"/>
      <c r="R702" s="172"/>
      <c r="S702" s="172"/>
      <c r="T702" s="172"/>
      <c r="U702" s="172"/>
      <c r="V702" s="172"/>
      <c r="W702" s="172"/>
      <c r="X702" s="172"/>
      <c r="Y702" s="172"/>
      <c r="Z702" s="172"/>
    </row>
    <row r="703" spans="1:26" ht="18.75">
      <c r="A703" s="172"/>
      <c r="B703" s="172"/>
      <c r="C703" s="172"/>
      <c r="D703" s="172"/>
      <c r="E703" s="172"/>
      <c r="F703" s="172"/>
      <c r="G703" s="172"/>
      <c r="H703" s="172"/>
      <c r="I703" s="172"/>
      <c r="J703" s="172"/>
      <c r="K703" s="172"/>
      <c r="L703" s="172"/>
      <c r="M703" s="172"/>
      <c r="N703" s="172"/>
      <c r="O703" s="172"/>
      <c r="P703" s="172"/>
      <c r="Q703" s="172"/>
      <c r="R703" s="172"/>
      <c r="S703" s="172"/>
      <c r="T703" s="172"/>
      <c r="U703" s="172"/>
      <c r="V703" s="172"/>
      <c r="W703" s="172"/>
      <c r="X703" s="172"/>
      <c r="Y703" s="172"/>
      <c r="Z703" s="172"/>
    </row>
    <row r="704" spans="1:26" ht="18.75">
      <c r="A704" s="172"/>
      <c r="B704" s="172"/>
      <c r="C704" s="172"/>
      <c r="D704" s="172"/>
      <c r="E704" s="172"/>
      <c r="F704" s="172"/>
      <c r="G704" s="172"/>
      <c r="H704" s="172"/>
      <c r="I704" s="172"/>
      <c r="J704" s="172"/>
      <c r="K704" s="172"/>
      <c r="L704" s="172"/>
      <c r="M704" s="172"/>
      <c r="N704" s="172"/>
      <c r="O704" s="172"/>
      <c r="P704" s="172"/>
      <c r="Q704" s="172"/>
      <c r="R704" s="172"/>
      <c r="S704" s="172"/>
      <c r="T704" s="172"/>
      <c r="U704" s="172"/>
      <c r="V704" s="172"/>
      <c r="W704" s="172"/>
      <c r="X704" s="172"/>
      <c r="Y704" s="172"/>
      <c r="Z704" s="172"/>
    </row>
    <row r="705" spans="1:26" ht="18.75">
      <c r="A705" s="172"/>
      <c r="B705" s="172"/>
      <c r="C705" s="172"/>
      <c r="D705" s="172"/>
      <c r="E705" s="172"/>
      <c r="F705" s="172"/>
      <c r="G705" s="172"/>
      <c r="H705" s="172"/>
      <c r="I705" s="172"/>
      <c r="J705" s="172"/>
      <c r="K705" s="172"/>
      <c r="L705" s="172"/>
      <c r="M705" s="172"/>
      <c r="N705" s="172"/>
      <c r="O705" s="172"/>
      <c r="P705" s="172"/>
      <c r="Q705" s="172"/>
      <c r="R705" s="172"/>
      <c r="S705" s="172"/>
      <c r="T705" s="172"/>
      <c r="U705" s="172"/>
      <c r="V705" s="172"/>
      <c r="W705" s="172"/>
      <c r="X705" s="172"/>
      <c r="Y705" s="172"/>
      <c r="Z705" s="172"/>
    </row>
    <row r="706" spans="1:26" ht="18.75">
      <c r="A706" s="172"/>
      <c r="B706" s="172"/>
      <c r="C706" s="172"/>
      <c r="D706" s="172"/>
      <c r="E706" s="172"/>
      <c r="F706" s="172"/>
      <c r="G706" s="172"/>
      <c r="H706" s="172"/>
      <c r="I706" s="172"/>
      <c r="J706" s="172"/>
      <c r="K706" s="172"/>
      <c r="L706" s="172"/>
      <c r="M706" s="172"/>
      <c r="N706" s="172"/>
      <c r="O706" s="172"/>
      <c r="P706" s="172"/>
      <c r="Q706" s="172"/>
      <c r="R706" s="172"/>
      <c r="S706" s="172"/>
      <c r="T706" s="172"/>
      <c r="U706" s="172"/>
      <c r="V706" s="172"/>
      <c r="W706" s="172"/>
      <c r="X706" s="172"/>
      <c r="Y706" s="172"/>
      <c r="Z706" s="172"/>
    </row>
    <row r="707" spans="1:26" ht="18.75">
      <c r="A707" s="172"/>
      <c r="B707" s="172"/>
      <c r="C707" s="172"/>
      <c r="D707" s="172"/>
      <c r="E707" s="172"/>
      <c r="F707" s="172"/>
      <c r="G707" s="172"/>
      <c r="H707" s="172"/>
      <c r="I707" s="172"/>
      <c r="J707" s="172"/>
      <c r="K707" s="172"/>
      <c r="L707" s="172"/>
      <c r="M707" s="172"/>
      <c r="N707" s="172"/>
      <c r="O707" s="172"/>
      <c r="P707" s="172"/>
      <c r="Q707" s="172"/>
      <c r="R707" s="172"/>
      <c r="S707" s="172"/>
      <c r="T707" s="172"/>
      <c r="U707" s="172"/>
      <c r="V707" s="172"/>
      <c r="W707" s="172"/>
      <c r="X707" s="172"/>
      <c r="Y707" s="172"/>
      <c r="Z707" s="172"/>
    </row>
    <row r="708" spans="1:26" ht="18.75">
      <c r="A708" s="172"/>
      <c r="B708" s="172"/>
      <c r="C708" s="172"/>
      <c r="D708" s="172"/>
      <c r="E708" s="172"/>
      <c r="F708" s="172"/>
      <c r="G708" s="172"/>
      <c r="H708" s="172"/>
      <c r="I708" s="172"/>
      <c r="J708" s="172"/>
      <c r="K708" s="172"/>
      <c r="L708" s="172"/>
      <c r="M708" s="172"/>
      <c r="N708" s="172"/>
      <c r="O708" s="172"/>
      <c r="P708" s="172"/>
      <c r="Q708" s="172"/>
      <c r="R708" s="172"/>
      <c r="S708" s="172"/>
      <c r="T708" s="172"/>
      <c r="U708" s="172"/>
      <c r="V708" s="172"/>
      <c r="W708" s="172"/>
      <c r="X708" s="172"/>
      <c r="Y708" s="172"/>
      <c r="Z708" s="172"/>
    </row>
    <row r="709" spans="1:26" ht="18.75">
      <c r="A709" s="172"/>
      <c r="B709" s="172"/>
      <c r="C709" s="172"/>
      <c r="D709" s="172"/>
      <c r="E709" s="172"/>
      <c r="F709" s="172"/>
      <c r="G709" s="172"/>
      <c r="H709" s="172"/>
      <c r="I709" s="172"/>
      <c r="J709" s="172"/>
      <c r="K709" s="172"/>
      <c r="L709" s="172"/>
      <c r="M709" s="172"/>
      <c r="N709" s="172"/>
      <c r="O709" s="172"/>
      <c r="P709" s="172"/>
      <c r="Q709" s="172"/>
      <c r="R709" s="172"/>
      <c r="S709" s="172"/>
      <c r="T709" s="172"/>
      <c r="U709" s="172"/>
      <c r="V709" s="172"/>
      <c r="W709" s="172"/>
      <c r="X709" s="172"/>
      <c r="Y709" s="172"/>
      <c r="Z709" s="172"/>
    </row>
    <row r="710" spans="1:26" ht="18.75">
      <c r="A710" s="172"/>
      <c r="B710" s="172"/>
      <c r="C710" s="172"/>
      <c r="D710" s="172"/>
      <c r="E710" s="172"/>
      <c r="F710" s="172"/>
      <c r="G710" s="172"/>
      <c r="H710" s="172"/>
      <c r="I710" s="172"/>
      <c r="J710" s="172"/>
      <c r="K710" s="172"/>
      <c r="L710" s="172"/>
      <c r="M710" s="172"/>
      <c r="N710" s="172"/>
      <c r="O710" s="172"/>
      <c r="P710" s="172"/>
      <c r="Q710" s="172"/>
      <c r="R710" s="172"/>
      <c r="S710" s="172"/>
      <c r="T710" s="172"/>
      <c r="U710" s="172"/>
      <c r="V710" s="172"/>
      <c r="W710" s="172"/>
      <c r="X710" s="172"/>
      <c r="Y710" s="172"/>
      <c r="Z710" s="172"/>
    </row>
    <row r="711" spans="1:26" ht="18.75">
      <c r="A711" s="172"/>
      <c r="B711" s="172"/>
      <c r="C711" s="172"/>
      <c r="D711" s="172"/>
      <c r="E711" s="172"/>
      <c r="F711" s="172"/>
      <c r="G711" s="172"/>
      <c r="H711" s="172"/>
      <c r="I711" s="172"/>
      <c r="J711" s="172"/>
      <c r="K711" s="172"/>
      <c r="L711" s="172"/>
      <c r="M711" s="172"/>
      <c r="N711" s="172"/>
      <c r="O711" s="172"/>
      <c r="P711" s="172"/>
      <c r="Q711" s="172"/>
      <c r="R711" s="172"/>
      <c r="S711" s="172"/>
      <c r="T711" s="172"/>
      <c r="U711" s="172"/>
      <c r="V711" s="172"/>
      <c r="W711" s="172"/>
      <c r="X711" s="172"/>
      <c r="Y711" s="172"/>
      <c r="Z711" s="172"/>
    </row>
    <row r="712" spans="1:26" ht="18.75">
      <c r="A712" s="172"/>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row>
    <row r="713" spans="1:26" ht="18.75">
      <c r="A713" s="172"/>
      <c r="B713" s="172"/>
      <c r="C713" s="172"/>
      <c r="D713" s="172"/>
      <c r="E713" s="172"/>
      <c r="F713" s="172"/>
      <c r="G713" s="172"/>
      <c r="H713" s="172"/>
      <c r="I713" s="172"/>
      <c r="J713" s="172"/>
      <c r="K713" s="172"/>
      <c r="L713" s="172"/>
      <c r="M713" s="172"/>
      <c r="N713" s="172"/>
      <c r="O713" s="172"/>
      <c r="P713" s="172"/>
      <c r="Q713" s="172"/>
      <c r="R713" s="172"/>
      <c r="S713" s="172"/>
      <c r="T713" s="172"/>
      <c r="U713" s="172"/>
      <c r="V713" s="172"/>
      <c r="W713" s="172"/>
      <c r="X713" s="172"/>
      <c r="Y713" s="172"/>
      <c r="Z713" s="172"/>
    </row>
    <row r="714" spans="1:26" ht="18.75">
      <c r="A714" s="172"/>
      <c r="B714" s="172"/>
      <c r="C714" s="172"/>
      <c r="D714" s="172"/>
      <c r="E714" s="172"/>
      <c r="F714" s="172"/>
      <c r="G714" s="172"/>
      <c r="H714" s="172"/>
      <c r="I714" s="172"/>
      <c r="J714" s="172"/>
      <c r="K714" s="172"/>
      <c r="L714" s="172"/>
      <c r="M714" s="172"/>
      <c r="N714" s="172"/>
      <c r="O714" s="172"/>
      <c r="P714" s="172"/>
      <c r="Q714" s="172"/>
      <c r="R714" s="172"/>
      <c r="S714" s="172"/>
      <c r="T714" s="172"/>
      <c r="U714" s="172"/>
      <c r="V714" s="172"/>
      <c r="W714" s="172"/>
      <c r="X714" s="172"/>
      <c r="Y714" s="172"/>
      <c r="Z714" s="172"/>
    </row>
    <row r="715" spans="1:26" ht="18.75">
      <c r="A715" s="172"/>
      <c r="B715" s="172"/>
      <c r="C715" s="172"/>
      <c r="D715" s="172"/>
      <c r="E715" s="172"/>
      <c r="F715" s="172"/>
      <c r="G715" s="172"/>
      <c r="H715" s="172"/>
      <c r="I715" s="172"/>
      <c r="J715" s="172"/>
      <c r="K715" s="172"/>
      <c r="L715" s="172"/>
      <c r="M715" s="172"/>
      <c r="N715" s="172"/>
      <c r="O715" s="172"/>
      <c r="P715" s="172"/>
      <c r="Q715" s="172"/>
      <c r="R715" s="172"/>
      <c r="S715" s="172"/>
      <c r="T715" s="172"/>
      <c r="U715" s="172"/>
      <c r="V715" s="172"/>
      <c r="W715" s="172"/>
      <c r="X715" s="172"/>
      <c r="Y715" s="172"/>
      <c r="Z715" s="172"/>
    </row>
    <row r="716" spans="1:26" ht="18.75">
      <c r="A716" s="172"/>
      <c r="B716" s="172"/>
      <c r="C716" s="172"/>
      <c r="D716" s="172"/>
      <c r="E716" s="172"/>
      <c r="F716" s="172"/>
      <c r="G716" s="172"/>
      <c r="H716" s="172"/>
      <c r="I716" s="172"/>
      <c r="J716" s="172"/>
      <c r="K716" s="172"/>
      <c r="L716" s="172"/>
      <c r="M716" s="172"/>
      <c r="N716" s="172"/>
      <c r="O716" s="172"/>
      <c r="P716" s="172"/>
      <c r="Q716" s="172"/>
      <c r="R716" s="172"/>
      <c r="S716" s="172"/>
      <c r="T716" s="172"/>
      <c r="U716" s="172"/>
      <c r="V716" s="172"/>
      <c r="W716" s="172"/>
      <c r="X716" s="172"/>
      <c r="Y716" s="172"/>
      <c r="Z716" s="172"/>
    </row>
    <row r="717" spans="1:26" ht="18.75">
      <c r="A717" s="172"/>
      <c r="B717" s="172"/>
      <c r="C717" s="172"/>
      <c r="D717" s="172"/>
      <c r="E717" s="172"/>
      <c r="F717" s="172"/>
      <c r="G717" s="172"/>
      <c r="H717" s="172"/>
      <c r="I717" s="172"/>
      <c r="J717" s="172"/>
      <c r="K717" s="172"/>
      <c r="L717" s="172"/>
      <c r="M717" s="172"/>
      <c r="N717" s="172"/>
      <c r="O717" s="172"/>
      <c r="P717" s="172"/>
      <c r="Q717" s="172"/>
      <c r="R717" s="172"/>
      <c r="S717" s="172"/>
      <c r="T717" s="172"/>
      <c r="U717" s="172"/>
      <c r="V717" s="172"/>
      <c r="W717" s="172"/>
      <c r="X717" s="172"/>
      <c r="Y717" s="172"/>
      <c r="Z717" s="172"/>
    </row>
    <row r="718" spans="1:26" ht="18.75">
      <c r="A718" s="172"/>
      <c r="B718" s="172"/>
      <c r="C718" s="172"/>
      <c r="D718" s="172"/>
      <c r="E718" s="172"/>
      <c r="F718" s="172"/>
      <c r="G718" s="172"/>
      <c r="H718" s="172"/>
      <c r="I718" s="172"/>
      <c r="J718" s="172"/>
      <c r="K718" s="172"/>
      <c r="L718" s="172"/>
      <c r="M718" s="172"/>
      <c r="N718" s="172"/>
      <c r="O718" s="172"/>
      <c r="P718" s="172"/>
      <c r="Q718" s="172"/>
      <c r="R718" s="172"/>
      <c r="S718" s="172"/>
      <c r="T718" s="172"/>
      <c r="U718" s="172"/>
      <c r="V718" s="172"/>
      <c r="W718" s="172"/>
      <c r="X718" s="172"/>
      <c r="Y718" s="172"/>
      <c r="Z718" s="172"/>
    </row>
    <row r="719" spans="1:26" ht="18.75">
      <c r="A719" s="172"/>
      <c r="B719" s="172"/>
      <c r="C719" s="172"/>
      <c r="D719" s="172"/>
      <c r="E719" s="172"/>
      <c r="F719" s="172"/>
      <c r="G719" s="172"/>
      <c r="H719" s="172"/>
      <c r="I719" s="172"/>
      <c r="J719" s="172"/>
      <c r="K719" s="172"/>
      <c r="L719" s="172"/>
      <c r="M719" s="172"/>
      <c r="N719" s="172"/>
      <c r="O719" s="172"/>
      <c r="P719" s="172"/>
      <c r="Q719" s="172"/>
      <c r="R719" s="172"/>
      <c r="S719" s="172"/>
      <c r="T719" s="172"/>
      <c r="U719" s="172"/>
      <c r="V719" s="172"/>
      <c r="W719" s="172"/>
      <c r="X719" s="172"/>
      <c r="Y719" s="172"/>
      <c r="Z719" s="172"/>
    </row>
    <row r="720" spans="1:26" ht="18.75">
      <c r="A720" s="172"/>
      <c r="B720" s="172"/>
      <c r="C720" s="172"/>
      <c r="D720" s="172"/>
      <c r="E720" s="172"/>
      <c r="F720" s="172"/>
      <c r="G720" s="172"/>
      <c r="H720" s="172"/>
      <c r="I720" s="172"/>
      <c r="J720" s="172"/>
      <c r="K720" s="172"/>
      <c r="L720" s="172"/>
      <c r="M720" s="172"/>
      <c r="N720" s="172"/>
      <c r="O720" s="172"/>
      <c r="P720" s="172"/>
      <c r="Q720" s="172"/>
      <c r="R720" s="172"/>
      <c r="S720" s="172"/>
      <c r="T720" s="172"/>
      <c r="U720" s="172"/>
      <c r="V720" s="172"/>
      <c r="W720" s="172"/>
      <c r="X720" s="172"/>
      <c r="Y720" s="172"/>
      <c r="Z720" s="172"/>
    </row>
    <row r="721" spans="1:26" ht="18.75">
      <c r="A721" s="172"/>
      <c r="B721" s="172"/>
      <c r="C721" s="172"/>
      <c r="D721" s="172"/>
      <c r="E721" s="172"/>
      <c r="F721" s="172"/>
      <c r="G721" s="172"/>
      <c r="H721" s="172"/>
      <c r="I721" s="172"/>
      <c r="J721" s="172"/>
      <c r="K721" s="172"/>
      <c r="L721" s="172"/>
      <c r="M721" s="172"/>
      <c r="N721" s="172"/>
      <c r="O721" s="172"/>
      <c r="P721" s="172"/>
      <c r="Q721" s="172"/>
      <c r="R721" s="172"/>
      <c r="S721" s="172"/>
      <c r="T721" s="172"/>
      <c r="U721" s="172"/>
      <c r="V721" s="172"/>
      <c r="W721" s="172"/>
      <c r="X721" s="172"/>
      <c r="Y721" s="172"/>
      <c r="Z721" s="172"/>
    </row>
    <row r="722" spans="1:26" ht="18.75">
      <c r="A722" s="172"/>
      <c r="B722" s="172"/>
      <c r="C722" s="172"/>
      <c r="D722" s="172"/>
      <c r="E722" s="172"/>
      <c r="F722" s="172"/>
      <c r="G722" s="172"/>
      <c r="H722" s="172"/>
      <c r="I722" s="172"/>
      <c r="J722" s="172"/>
      <c r="K722" s="172"/>
      <c r="L722" s="172"/>
      <c r="M722" s="172"/>
      <c r="N722" s="172"/>
      <c r="O722" s="172"/>
      <c r="P722" s="172"/>
      <c r="Q722" s="172"/>
      <c r="R722" s="172"/>
      <c r="S722" s="172"/>
      <c r="T722" s="172"/>
      <c r="U722" s="172"/>
      <c r="V722" s="172"/>
      <c r="W722" s="172"/>
      <c r="X722" s="172"/>
      <c r="Y722" s="172"/>
      <c r="Z722" s="172"/>
    </row>
    <row r="723" spans="1:26" ht="18.75">
      <c r="A723" s="172"/>
      <c r="B723" s="172"/>
      <c r="C723" s="172"/>
      <c r="D723" s="172"/>
      <c r="E723" s="172"/>
      <c r="F723" s="172"/>
      <c r="G723" s="172"/>
      <c r="H723" s="172"/>
      <c r="I723" s="172"/>
      <c r="J723" s="172"/>
      <c r="K723" s="172"/>
      <c r="L723" s="172"/>
      <c r="M723" s="172"/>
      <c r="N723" s="172"/>
      <c r="O723" s="172"/>
      <c r="P723" s="172"/>
      <c r="Q723" s="172"/>
      <c r="R723" s="172"/>
      <c r="S723" s="172"/>
      <c r="T723" s="172"/>
      <c r="U723" s="172"/>
      <c r="V723" s="172"/>
      <c r="W723" s="172"/>
      <c r="X723" s="172"/>
      <c r="Y723" s="172"/>
      <c r="Z723" s="172"/>
    </row>
    <row r="724" spans="1:26" ht="18.75">
      <c r="A724" s="172"/>
      <c r="B724" s="172"/>
      <c r="C724" s="172"/>
      <c r="D724" s="172"/>
      <c r="E724" s="172"/>
      <c r="F724" s="172"/>
      <c r="G724" s="172"/>
      <c r="H724" s="172"/>
      <c r="I724" s="172"/>
      <c r="J724" s="172"/>
      <c r="K724" s="172"/>
      <c r="L724" s="172"/>
      <c r="M724" s="172"/>
      <c r="N724" s="172"/>
      <c r="O724" s="172"/>
      <c r="P724" s="172"/>
      <c r="Q724" s="172"/>
      <c r="R724" s="172"/>
      <c r="S724" s="172"/>
      <c r="T724" s="172"/>
      <c r="U724" s="172"/>
      <c r="V724" s="172"/>
      <c r="W724" s="172"/>
      <c r="X724" s="172"/>
      <c r="Y724" s="172"/>
      <c r="Z724" s="172"/>
    </row>
    <row r="725" spans="1:26" ht="18.75">
      <c r="A725" s="172"/>
      <c r="B725" s="172"/>
      <c r="C725" s="172"/>
      <c r="D725" s="172"/>
      <c r="E725" s="172"/>
      <c r="F725" s="172"/>
      <c r="G725" s="172"/>
      <c r="H725" s="172"/>
      <c r="I725" s="172"/>
      <c r="J725" s="172"/>
      <c r="K725" s="172"/>
      <c r="L725" s="172"/>
      <c r="M725" s="172"/>
      <c r="N725" s="172"/>
      <c r="O725" s="172"/>
      <c r="P725" s="172"/>
      <c r="Q725" s="172"/>
      <c r="R725" s="172"/>
      <c r="S725" s="172"/>
      <c r="T725" s="172"/>
      <c r="U725" s="172"/>
      <c r="V725" s="172"/>
      <c r="W725" s="172"/>
      <c r="X725" s="172"/>
      <c r="Y725" s="172"/>
      <c r="Z725" s="172"/>
    </row>
    <row r="726" spans="1:26" ht="18.75">
      <c r="A726" s="172"/>
      <c r="B726" s="172"/>
      <c r="C726" s="172"/>
      <c r="D726" s="172"/>
      <c r="E726" s="172"/>
      <c r="F726" s="172"/>
      <c r="G726" s="172"/>
      <c r="H726" s="172"/>
      <c r="I726" s="172"/>
      <c r="J726" s="172"/>
      <c r="K726" s="172"/>
      <c r="L726" s="172"/>
      <c r="M726" s="172"/>
      <c r="N726" s="172"/>
      <c r="O726" s="172"/>
      <c r="P726" s="172"/>
      <c r="Q726" s="172"/>
      <c r="R726" s="172"/>
      <c r="S726" s="172"/>
      <c r="T726" s="172"/>
      <c r="U726" s="172"/>
      <c r="V726" s="172"/>
      <c r="W726" s="172"/>
      <c r="X726" s="172"/>
      <c r="Y726" s="172"/>
      <c r="Z726" s="172"/>
    </row>
    <row r="727" spans="1:26" ht="18.75">
      <c r="A727" s="172"/>
      <c r="B727" s="172"/>
      <c r="C727" s="172"/>
      <c r="D727" s="172"/>
      <c r="E727" s="172"/>
      <c r="F727" s="172"/>
      <c r="G727" s="172"/>
      <c r="H727" s="172"/>
      <c r="I727" s="172"/>
      <c r="J727" s="172"/>
      <c r="K727" s="172"/>
      <c r="L727" s="172"/>
      <c r="M727" s="172"/>
      <c r="N727" s="172"/>
      <c r="O727" s="172"/>
      <c r="P727" s="172"/>
      <c r="Q727" s="172"/>
      <c r="R727" s="172"/>
      <c r="S727" s="172"/>
      <c r="T727" s="172"/>
      <c r="U727" s="172"/>
      <c r="V727" s="172"/>
      <c r="W727" s="172"/>
      <c r="X727" s="172"/>
      <c r="Y727" s="172"/>
      <c r="Z727" s="172"/>
    </row>
    <row r="728" spans="1:26" ht="18.75">
      <c r="A728" s="172"/>
      <c r="B728" s="172"/>
      <c r="C728" s="172"/>
      <c r="D728" s="172"/>
      <c r="E728" s="172"/>
      <c r="F728" s="172"/>
      <c r="G728" s="172"/>
      <c r="H728" s="172"/>
      <c r="I728" s="172"/>
      <c r="J728" s="172"/>
      <c r="K728" s="172"/>
      <c r="L728" s="172"/>
      <c r="M728" s="172"/>
      <c r="N728" s="172"/>
      <c r="O728" s="172"/>
      <c r="P728" s="172"/>
      <c r="Q728" s="172"/>
      <c r="R728" s="172"/>
      <c r="S728" s="172"/>
      <c r="T728" s="172"/>
      <c r="U728" s="172"/>
      <c r="V728" s="172"/>
      <c r="W728" s="172"/>
      <c r="X728" s="172"/>
      <c r="Y728" s="172"/>
      <c r="Z728" s="172"/>
    </row>
    <row r="729" spans="1:26" ht="18.75">
      <c r="A729" s="172"/>
      <c r="B729" s="172"/>
      <c r="C729" s="172"/>
      <c r="D729" s="172"/>
      <c r="E729" s="172"/>
      <c r="F729" s="172"/>
      <c r="G729" s="172"/>
      <c r="H729" s="172"/>
      <c r="I729" s="172"/>
      <c r="J729" s="172"/>
      <c r="K729" s="172"/>
      <c r="L729" s="172"/>
      <c r="M729" s="172"/>
      <c r="N729" s="172"/>
      <c r="O729" s="172"/>
      <c r="P729" s="172"/>
      <c r="Q729" s="172"/>
      <c r="R729" s="172"/>
      <c r="S729" s="172"/>
      <c r="T729" s="172"/>
      <c r="U729" s="172"/>
      <c r="V729" s="172"/>
      <c r="W729" s="172"/>
      <c r="X729" s="172"/>
      <c r="Y729" s="172"/>
      <c r="Z729" s="172"/>
    </row>
    <row r="730" spans="1:26" ht="18.75">
      <c r="A730" s="172"/>
      <c r="B730" s="172"/>
      <c r="C730" s="172"/>
      <c r="D730" s="172"/>
      <c r="E730" s="172"/>
      <c r="F730" s="172"/>
      <c r="G730" s="172"/>
      <c r="H730" s="172"/>
      <c r="I730" s="172"/>
      <c r="J730" s="172"/>
      <c r="K730" s="172"/>
      <c r="L730" s="172"/>
      <c r="M730" s="172"/>
      <c r="N730" s="172"/>
      <c r="O730" s="172"/>
      <c r="P730" s="172"/>
      <c r="Q730" s="172"/>
      <c r="R730" s="172"/>
      <c r="S730" s="172"/>
      <c r="T730" s="172"/>
      <c r="U730" s="172"/>
      <c r="V730" s="172"/>
      <c r="W730" s="172"/>
      <c r="X730" s="172"/>
      <c r="Y730" s="172"/>
      <c r="Z730" s="172"/>
    </row>
    <row r="731" spans="1:26" ht="18.75">
      <c r="A731" s="172"/>
      <c r="B731" s="172"/>
      <c r="C731" s="172"/>
      <c r="D731" s="172"/>
      <c r="E731" s="172"/>
      <c r="F731" s="172"/>
      <c r="G731" s="172"/>
      <c r="H731" s="172"/>
      <c r="I731" s="172"/>
      <c r="J731" s="172"/>
      <c r="K731" s="172"/>
      <c r="L731" s="172"/>
      <c r="M731" s="172"/>
      <c r="N731" s="172"/>
      <c r="O731" s="172"/>
      <c r="P731" s="172"/>
      <c r="Q731" s="172"/>
      <c r="R731" s="172"/>
      <c r="S731" s="172"/>
      <c r="T731" s="172"/>
      <c r="U731" s="172"/>
      <c r="V731" s="172"/>
      <c r="W731" s="172"/>
      <c r="X731" s="172"/>
      <c r="Y731" s="172"/>
      <c r="Z731" s="172"/>
    </row>
    <row r="732" spans="1:26" ht="18.75">
      <c r="A732" s="172"/>
      <c r="B732" s="172"/>
      <c r="C732" s="172"/>
      <c r="D732" s="172"/>
      <c r="E732" s="172"/>
      <c r="F732" s="172"/>
      <c r="G732" s="172"/>
      <c r="H732" s="172"/>
      <c r="I732" s="172"/>
      <c r="J732" s="172"/>
      <c r="K732" s="172"/>
      <c r="L732" s="172"/>
      <c r="M732" s="172"/>
      <c r="N732" s="172"/>
      <c r="O732" s="172"/>
      <c r="P732" s="172"/>
      <c r="Q732" s="172"/>
      <c r="R732" s="172"/>
      <c r="S732" s="172"/>
      <c r="T732" s="172"/>
      <c r="U732" s="172"/>
      <c r="V732" s="172"/>
      <c r="W732" s="172"/>
      <c r="X732" s="172"/>
      <c r="Y732" s="172"/>
      <c r="Z732" s="172"/>
    </row>
    <row r="733" spans="1:26" ht="18.75">
      <c r="A733" s="172"/>
      <c r="B733" s="172"/>
      <c r="C733" s="172"/>
      <c r="D733" s="172"/>
      <c r="E733" s="172"/>
      <c r="F733" s="172"/>
      <c r="G733" s="172"/>
      <c r="H733" s="172"/>
      <c r="I733" s="172"/>
      <c r="J733" s="172"/>
      <c r="K733" s="172"/>
      <c r="L733" s="172"/>
      <c r="M733" s="172"/>
      <c r="N733" s="172"/>
      <c r="O733" s="172"/>
      <c r="P733" s="172"/>
      <c r="Q733" s="172"/>
      <c r="R733" s="172"/>
      <c r="S733" s="172"/>
      <c r="T733" s="172"/>
      <c r="U733" s="172"/>
      <c r="V733" s="172"/>
      <c r="W733" s="172"/>
      <c r="X733" s="172"/>
      <c r="Y733" s="172"/>
      <c r="Z733" s="172"/>
    </row>
    <row r="734" spans="1:26" ht="18.75">
      <c r="A734" s="172"/>
      <c r="B734" s="172"/>
      <c r="C734" s="172"/>
      <c r="D734" s="172"/>
      <c r="E734" s="172"/>
      <c r="F734" s="172"/>
      <c r="G734" s="172"/>
      <c r="H734" s="172"/>
      <c r="I734" s="172"/>
      <c r="J734" s="172"/>
      <c r="K734" s="172"/>
      <c r="L734" s="172"/>
      <c r="M734" s="172"/>
      <c r="N734" s="172"/>
      <c r="O734" s="172"/>
      <c r="P734" s="172"/>
      <c r="Q734" s="172"/>
      <c r="R734" s="172"/>
      <c r="S734" s="172"/>
      <c r="T734" s="172"/>
      <c r="U734" s="172"/>
      <c r="V734" s="172"/>
      <c r="W734" s="172"/>
      <c r="X734" s="172"/>
      <c r="Y734" s="172"/>
      <c r="Z734" s="172"/>
    </row>
    <row r="735" spans="1:26" ht="18.75">
      <c r="A735" s="172"/>
      <c r="B735" s="172"/>
      <c r="C735" s="172"/>
      <c r="D735" s="172"/>
      <c r="E735" s="172"/>
      <c r="F735" s="172"/>
      <c r="G735" s="172"/>
      <c r="H735" s="172"/>
      <c r="I735" s="172"/>
      <c r="J735" s="172"/>
      <c r="K735" s="172"/>
      <c r="L735" s="172"/>
      <c r="M735" s="172"/>
      <c r="N735" s="172"/>
      <c r="O735" s="172"/>
      <c r="P735" s="172"/>
      <c r="Q735" s="172"/>
      <c r="R735" s="172"/>
      <c r="S735" s="172"/>
      <c r="T735" s="172"/>
      <c r="U735" s="172"/>
      <c r="V735" s="172"/>
      <c r="W735" s="172"/>
      <c r="X735" s="172"/>
      <c r="Y735" s="172"/>
      <c r="Z735" s="172"/>
    </row>
    <row r="736" spans="1:26" ht="18.75">
      <c r="A736" s="172"/>
      <c r="B736" s="172"/>
      <c r="C736" s="172"/>
      <c r="D736" s="172"/>
      <c r="E736" s="172"/>
      <c r="F736" s="172"/>
      <c r="G736" s="172"/>
      <c r="H736" s="172"/>
      <c r="I736" s="172"/>
      <c r="J736" s="172"/>
      <c r="K736" s="172"/>
      <c r="L736" s="172"/>
      <c r="M736" s="172"/>
      <c r="N736" s="172"/>
      <c r="O736" s="172"/>
      <c r="P736" s="172"/>
      <c r="Q736" s="172"/>
      <c r="R736" s="172"/>
      <c r="S736" s="172"/>
      <c r="T736" s="172"/>
      <c r="U736" s="172"/>
      <c r="V736" s="172"/>
      <c r="W736" s="172"/>
      <c r="X736" s="172"/>
      <c r="Y736" s="172"/>
      <c r="Z736" s="172"/>
    </row>
    <row r="737" spans="1:26" ht="18.75">
      <c r="A737" s="172"/>
      <c r="B737" s="172"/>
      <c r="C737" s="172"/>
      <c r="D737" s="172"/>
      <c r="E737" s="172"/>
      <c r="F737" s="172"/>
      <c r="G737" s="172"/>
      <c r="H737" s="172"/>
      <c r="I737" s="172"/>
      <c r="J737" s="172"/>
      <c r="K737" s="172"/>
      <c r="L737" s="172"/>
      <c r="M737" s="172"/>
      <c r="N737" s="172"/>
      <c r="O737" s="172"/>
      <c r="P737" s="172"/>
      <c r="Q737" s="172"/>
      <c r="R737" s="172"/>
      <c r="S737" s="172"/>
      <c r="T737" s="172"/>
      <c r="U737" s="172"/>
      <c r="V737" s="172"/>
      <c r="W737" s="172"/>
      <c r="X737" s="172"/>
      <c r="Y737" s="172"/>
      <c r="Z737" s="172"/>
    </row>
    <row r="738" spans="1:26" ht="18.75">
      <c r="A738" s="172"/>
      <c r="B738" s="172"/>
      <c r="C738" s="172"/>
      <c r="D738" s="172"/>
      <c r="E738" s="172"/>
      <c r="F738" s="172"/>
      <c r="G738" s="172"/>
      <c r="H738" s="172"/>
      <c r="I738" s="172"/>
      <c r="J738" s="172"/>
      <c r="K738" s="172"/>
      <c r="L738" s="172"/>
      <c r="M738" s="172"/>
      <c r="N738" s="172"/>
      <c r="O738" s="172"/>
      <c r="P738" s="172"/>
      <c r="Q738" s="172"/>
      <c r="R738" s="172"/>
      <c r="S738" s="172"/>
      <c r="T738" s="172"/>
      <c r="U738" s="172"/>
      <c r="V738" s="172"/>
      <c r="W738" s="172"/>
      <c r="X738" s="172"/>
      <c r="Y738" s="172"/>
      <c r="Z738" s="172"/>
    </row>
    <row r="739" spans="1:26" ht="18.75">
      <c r="A739" s="172"/>
      <c r="B739" s="172"/>
      <c r="C739" s="172"/>
      <c r="D739" s="172"/>
      <c r="E739" s="172"/>
      <c r="F739" s="172"/>
      <c r="G739" s="172"/>
      <c r="H739" s="172"/>
      <c r="I739" s="172"/>
      <c r="J739" s="172"/>
      <c r="K739" s="172"/>
      <c r="L739" s="172"/>
      <c r="M739" s="172"/>
      <c r="N739" s="172"/>
      <c r="O739" s="172"/>
      <c r="P739" s="172"/>
      <c r="Q739" s="172"/>
      <c r="R739" s="172"/>
      <c r="S739" s="172"/>
      <c r="T739" s="172"/>
      <c r="U739" s="172"/>
      <c r="V739" s="172"/>
      <c r="W739" s="172"/>
      <c r="X739" s="172"/>
      <c r="Y739" s="172"/>
      <c r="Z739" s="172"/>
    </row>
    <row r="740" spans="1:26" ht="18.75">
      <c r="A740" s="172"/>
      <c r="B740" s="172"/>
      <c r="C740" s="172"/>
      <c r="D740" s="172"/>
      <c r="E740" s="172"/>
      <c r="F740" s="172"/>
      <c r="G740" s="172"/>
      <c r="H740" s="172"/>
      <c r="I740" s="172"/>
      <c r="J740" s="172"/>
      <c r="K740" s="172"/>
      <c r="L740" s="172"/>
      <c r="M740" s="172"/>
      <c r="N740" s="172"/>
      <c r="O740" s="172"/>
      <c r="P740" s="172"/>
      <c r="Q740" s="172"/>
      <c r="R740" s="172"/>
      <c r="S740" s="172"/>
      <c r="T740" s="172"/>
      <c r="U740" s="172"/>
      <c r="V740" s="172"/>
      <c r="W740" s="172"/>
      <c r="X740" s="172"/>
      <c r="Y740" s="172"/>
      <c r="Z740" s="172"/>
    </row>
    <row r="741" spans="1:26" ht="18.75">
      <c r="A741" s="172"/>
      <c r="B741" s="172"/>
      <c r="C741" s="172"/>
      <c r="D741" s="172"/>
      <c r="E741" s="172"/>
      <c r="F741" s="172"/>
      <c r="G741" s="172"/>
      <c r="H741" s="172"/>
      <c r="I741" s="172"/>
      <c r="J741" s="172"/>
      <c r="K741" s="172"/>
      <c r="L741" s="172"/>
      <c r="M741" s="172"/>
      <c r="N741" s="172"/>
      <c r="O741" s="172"/>
      <c r="P741" s="172"/>
      <c r="Q741" s="172"/>
      <c r="R741" s="172"/>
      <c r="S741" s="172"/>
      <c r="T741" s="172"/>
      <c r="U741" s="172"/>
      <c r="V741" s="172"/>
      <c r="W741" s="172"/>
      <c r="X741" s="172"/>
      <c r="Y741" s="172"/>
      <c r="Z741" s="172"/>
    </row>
    <row r="742" spans="1:26" ht="18.75">
      <c r="A742" s="172"/>
      <c r="B742" s="172"/>
      <c r="C742" s="172"/>
      <c r="D742" s="172"/>
      <c r="E742" s="172"/>
      <c r="F742" s="172"/>
      <c r="G742" s="172"/>
      <c r="H742" s="172"/>
      <c r="I742" s="172"/>
      <c r="J742" s="172"/>
      <c r="K742" s="172"/>
      <c r="L742" s="172"/>
      <c r="M742" s="172"/>
      <c r="N742" s="172"/>
      <c r="O742" s="172"/>
      <c r="P742" s="172"/>
      <c r="Q742" s="172"/>
      <c r="R742" s="172"/>
      <c r="S742" s="172"/>
      <c r="T742" s="172"/>
      <c r="U742" s="172"/>
      <c r="V742" s="172"/>
      <c r="W742" s="172"/>
      <c r="X742" s="172"/>
      <c r="Y742" s="172"/>
      <c r="Z742" s="172"/>
    </row>
    <row r="743" spans="1:26" ht="18.75">
      <c r="A743" s="172"/>
      <c r="B743" s="172"/>
      <c r="C743" s="172"/>
      <c r="D743" s="172"/>
      <c r="E743" s="172"/>
      <c r="F743" s="172"/>
      <c r="G743" s="172"/>
      <c r="H743" s="172"/>
      <c r="I743" s="172"/>
      <c r="J743" s="172"/>
      <c r="K743" s="172"/>
      <c r="L743" s="172"/>
      <c r="M743" s="172"/>
      <c r="N743" s="172"/>
      <c r="O743" s="172"/>
      <c r="P743" s="172"/>
      <c r="Q743" s="172"/>
      <c r="R743" s="172"/>
      <c r="S743" s="172"/>
      <c r="T743" s="172"/>
      <c r="U743" s="172"/>
      <c r="V743" s="172"/>
      <c r="W743" s="172"/>
      <c r="X743" s="172"/>
      <c r="Y743" s="172"/>
      <c r="Z743" s="172"/>
    </row>
    <row r="744" spans="1:26" ht="18.75">
      <c r="A744" s="172"/>
      <c r="B744" s="172"/>
      <c r="C744" s="172"/>
      <c r="D744" s="172"/>
      <c r="E744" s="172"/>
      <c r="F744" s="172"/>
      <c r="G744" s="172"/>
      <c r="H744" s="172"/>
      <c r="I744" s="172"/>
      <c r="J744" s="172"/>
      <c r="K744" s="172"/>
      <c r="L744" s="172"/>
      <c r="M744" s="172"/>
      <c r="N744" s="172"/>
      <c r="O744" s="172"/>
      <c r="P744" s="172"/>
      <c r="Q744" s="172"/>
      <c r="R744" s="172"/>
      <c r="S744" s="172"/>
      <c r="T744" s="172"/>
      <c r="U744" s="172"/>
      <c r="V744" s="172"/>
      <c r="W744" s="172"/>
      <c r="X744" s="172"/>
      <c r="Y744" s="172"/>
      <c r="Z744" s="172"/>
    </row>
    <row r="745" spans="1:26" ht="18.75">
      <c r="A745" s="172"/>
      <c r="B745" s="172"/>
      <c r="C745" s="172"/>
      <c r="D745" s="172"/>
      <c r="E745" s="172"/>
      <c r="F745" s="172"/>
      <c r="G745" s="172"/>
      <c r="H745" s="172"/>
      <c r="I745" s="172"/>
      <c r="J745" s="172"/>
      <c r="K745" s="172"/>
      <c r="L745" s="172"/>
      <c r="M745" s="172"/>
      <c r="N745" s="172"/>
      <c r="O745" s="172"/>
      <c r="P745" s="172"/>
      <c r="Q745" s="172"/>
      <c r="R745" s="172"/>
      <c r="S745" s="172"/>
      <c r="T745" s="172"/>
      <c r="U745" s="172"/>
      <c r="V745" s="172"/>
      <c r="W745" s="172"/>
      <c r="X745" s="172"/>
      <c r="Y745" s="172"/>
      <c r="Z745" s="172"/>
    </row>
    <row r="746" spans="1:26" ht="18.75">
      <c r="A746" s="172"/>
      <c r="B746" s="172"/>
      <c r="C746" s="172"/>
      <c r="D746" s="172"/>
      <c r="E746" s="172"/>
      <c r="F746" s="172"/>
      <c r="G746" s="172"/>
      <c r="H746" s="172"/>
      <c r="I746" s="172"/>
      <c r="J746" s="172"/>
      <c r="K746" s="172"/>
      <c r="L746" s="172"/>
      <c r="M746" s="172"/>
      <c r="N746" s="172"/>
      <c r="O746" s="172"/>
      <c r="P746" s="172"/>
      <c r="Q746" s="172"/>
      <c r="R746" s="172"/>
      <c r="S746" s="172"/>
      <c r="T746" s="172"/>
      <c r="U746" s="172"/>
      <c r="V746" s="172"/>
      <c r="W746" s="172"/>
      <c r="X746" s="172"/>
      <c r="Y746" s="172"/>
      <c r="Z746" s="172"/>
    </row>
    <row r="747" spans="1:26" ht="18.75">
      <c r="A747" s="172"/>
      <c r="B747" s="172"/>
      <c r="C747" s="172"/>
      <c r="D747" s="172"/>
      <c r="E747" s="172"/>
      <c r="F747" s="172"/>
      <c r="G747" s="172"/>
      <c r="H747" s="172"/>
      <c r="I747" s="172"/>
      <c r="J747" s="172"/>
      <c r="K747" s="172"/>
      <c r="L747" s="172"/>
      <c r="M747" s="172"/>
      <c r="N747" s="172"/>
      <c r="O747" s="172"/>
      <c r="P747" s="172"/>
      <c r="Q747" s="172"/>
      <c r="R747" s="172"/>
      <c r="S747" s="172"/>
      <c r="T747" s="172"/>
      <c r="U747" s="172"/>
      <c r="V747" s="172"/>
      <c r="W747" s="172"/>
      <c r="X747" s="172"/>
      <c r="Y747" s="172"/>
      <c r="Z747" s="172"/>
    </row>
    <row r="748" spans="1:26" ht="18.75">
      <c r="A748" s="172"/>
      <c r="B748" s="172"/>
      <c r="C748" s="172"/>
      <c r="D748" s="172"/>
      <c r="E748" s="172"/>
      <c r="F748" s="172"/>
      <c r="G748" s="172"/>
      <c r="H748" s="172"/>
      <c r="I748" s="172"/>
      <c r="J748" s="172"/>
      <c r="K748" s="172"/>
      <c r="L748" s="172"/>
      <c r="M748" s="172"/>
      <c r="N748" s="172"/>
      <c r="O748" s="172"/>
      <c r="P748" s="172"/>
      <c r="Q748" s="172"/>
      <c r="R748" s="172"/>
      <c r="S748" s="172"/>
      <c r="T748" s="172"/>
      <c r="U748" s="172"/>
      <c r="V748" s="172"/>
      <c r="W748" s="172"/>
      <c r="X748" s="172"/>
      <c r="Y748" s="172"/>
      <c r="Z748" s="172"/>
    </row>
    <row r="749" spans="1:26" ht="18.75">
      <c r="A749" s="172"/>
      <c r="B749" s="172"/>
      <c r="C749" s="172"/>
      <c r="D749" s="172"/>
      <c r="E749" s="172"/>
      <c r="F749" s="172"/>
      <c r="G749" s="172"/>
      <c r="H749" s="172"/>
      <c r="I749" s="172"/>
      <c r="J749" s="172"/>
      <c r="K749" s="172"/>
      <c r="L749" s="172"/>
      <c r="M749" s="172"/>
      <c r="N749" s="172"/>
      <c r="O749" s="172"/>
      <c r="P749" s="172"/>
      <c r="Q749" s="172"/>
      <c r="R749" s="172"/>
      <c r="S749" s="172"/>
      <c r="T749" s="172"/>
      <c r="U749" s="172"/>
      <c r="V749" s="172"/>
      <c r="W749" s="172"/>
      <c r="X749" s="172"/>
      <c r="Y749" s="172"/>
      <c r="Z749" s="172"/>
    </row>
    <row r="750" spans="1:26" ht="18.75">
      <c r="A750" s="172"/>
      <c r="B750" s="172"/>
      <c r="C750" s="172"/>
      <c r="D750" s="172"/>
      <c r="E750" s="172"/>
      <c r="F750" s="172"/>
      <c r="G750" s="172"/>
      <c r="H750" s="172"/>
      <c r="I750" s="172"/>
      <c r="J750" s="172"/>
      <c r="K750" s="172"/>
      <c r="L750" s="172"/>
      <c r="M750" s="172"/>
      <c r="N750" s="172"/>
      <c r="O750" s="172"/>
      <c r="P750" s="172"/>
      <c r="Q750" s="172"/>
      <c r="R750" s="172"/>
      <c r="S750" s="172"/>
      <c r="T750" s="172"/>
      <c r="U750" s="172"/>
      <c r="V750" s="172"/>
      <c r="W750" s="172"/>
      <c r="X750" s="172"/>
      <c r="Y750" s="172"/>
      <c r="Z750" s="172"/>
    </row>
    <row r="751" spans="1:26" ht="18.75">
      <c r="A751" s="172"/>
      <c r="B751" s="172"/>
      <c r="C751" s="172"/>
      <c r="D751" s="172"/>
      <c r="E751" s="172"/>
      <c r="F751" s="172"/>
      <c r="G751" s="172"/>
      <c r="H751" s="172"/>
      <c r="I751" s="172"/>
      <c r="J751" s="172"/>
      <c r="K751" s="172"/>
      <c r="L751" s="172"/>
      <c r="M751" s="172"/>
      <c r="N751" s="172"/>
      <c r="O751" s="172"/>
      <c r="P751" s="172"/>
      <c r="Q751" s="172"/>
      <c r="R751" s="172"/>
      <c r="S751" s="172"/>
      <c r="T751" s="172"/>
      <c r="U751" s="172"/>
      <c r="V751" s="172"/>
      <c r="W751" s="172"/>
      <c r="X751" s="172"/>
      <c r="Y751" s="172"/>
      <c r="Z751" s="172"/>
    </row>
    <row r="752" spans="1:26" ht="18.75">
      <c r="A752" s="172"/>
      <c r="B752" s="172"/>
      <c r="C752" s="172"/>
      <c r="D752" s="172"/>
      <c r="E752" s="172"/>
      <c r="F752" s="172"/>
      <c r="G752" s="172"/>
      <c r="H752" s="172"/>
      <c r="I752" s="172"/>
      <c r="J752" s="172"/>
      <c r="K752" s="172"/>
      <c r="L752" s="172"/>
      <c r="M752" s="172"/>
      <c r="N752" s="172"/>
      <c r="O752" s="172"/>
      <c r="P752" s="172"/>
      <c r="Q752" s="172"/>
      <c r="R752" s="172"/>
      <c r="S752" s="172"/>
      <c r="T752" s="172"/>
      <c r="U752" s="172"/>
      <c r="V752" s="172"/>
      <c r="W752" s="172"/>
      <c r="X752" s="172"/>
      <c r="Y752" s="172"/>
      <c r="Z752" s="172"/>
    </row>
    <row r="753" spans="1:26" ht="18.75">
      <c r="A753" s="172"/>
      <c r="B753" s="172"/>
      <c r="C753" s="172"/>
      <c r="D753" s="172"/>
      <c r="E753" s="172"/>
      <c r="F753" s="172"/>
      <c r="G753" s="172"/>
      <c r="H753" s="172"/>
      <c r="I753" s="172"/>
      <c r="J753" s="172"/>
      <c r="K753" s="172"/>
      <c r="L753" s="172"/>
      <c r="M753" s="172"/>
      <c r="N753" s="172"/>
      <c r="O753" s="172"/>
      <c r="P753" s="172"/>
      <c r="Q753" s="172"/>
      <c r="R753" s="172"/>
      <c r="S753" s="172"/>
      <c r="T753" s="172"/>
      <c r="U753" s="172"/>
      <c r="V753" s="172"/>
      <c r="W753" s="172"/>
      <c r="X753" s="172"/>
      <c r="Y753" s="172"/>
      <c r="Z753" s="172"/>
    </row>
    <row r="754" spans="1:26" ht="18.75">
      <c r="A754" s="172"/>
      <c r="B754" s="172"/>
      <c r="C754" s="172"/>
      <c r="D754" s="172"/>
      <c r="E754" s="172"/>
      <c r="F754" s="172"/>
      <c r="G754" s="172"/>
      <c r="H754" s="172"/>
      <c r="I754" s="172"/>
      <c r="J754" s="172"/>
      <c r="K754" s="172"/>
      <c r="L754" s="172"/>
      <c r="M754" s="172"/>
      <c r="N754" s="172"/>
      <c r="O754" s="172"/>
      <c r="P754" s="172"/>
      <c r="Q754" s="172"/>
      <c r="R754" s="172"/>
      <c r="S754" s="172"/>
      <c r="T754" s="172"/>
      <c r="U754" s="172"/>
      <c r="V754" s="172"/>
      <c r="W754" s="172"/>
      <c r="X754" s="172"/>
      <c r="Y754" s="172"/>
      <c r="Z754" s="172"/>
    </row>
    <row r="755" spans="1:26" ht="18.75">
      <c r="A755" s="172"/>
      <c r="B755" s="172"/>
      <c r="C755" s="172"/>
      <c r="D755" s="172"/>
      <c r="E755" s="172"/>
      <c r="F755" s="172"/>
      <c r="G755" s="172"/>
      <c r="H755" s="172"/>
      <c r="I755" s="172"/>
      <c r="J755" s="172"/>
      <c r="K755" s="172"/>
      <c r="L755" s="172"/>
      <c r="M755" s="172"/>
      <c r="N755" s="172"/>
      <c r="O755" s="172"/>
      <c r="P755" s="172"/>
      <c r="Q755" s="172"/>
      <c r="R755" s="172"/>
      <c r="S755" s="172"/>
      <c r="T755" s="172"/>
      <c r="U755" s="172"/>
      <c r="V755" s="172"/>
      <c r="W755" s="172"/>
      <c r="X755" s="172"/>
      <c r="Y755" s="172"/>
      <c r="Z755" s="172"/>
    </row>
    <row r="756" spans="1:26" ht="18.75">
      <c r="A756" s="172"/>
      <c r="B756" s="172"/>
      <c r="C756" s="172"/>
      <c r="D756" s="172"/>
      <c r="E756" s="172"/>
      <c r="F756" s="172"/>
      <c r="G756" s="172"/>
      <c r="H756" s="172"/>
      <c r="I756" s="172"/>
      <c r="J756" s="172"/>
      <c r="K756" s="172"/>
      <c r="L756" s="172"/>
      <c r="M756" s="172"/>
      <c r="N756" s="172"/>
      <c r="O756" s="172"/>
      <c r="P756" s="172"/>
      <c r="Q756" s="172"/>
      <c r="R756" s="172"/>
      <c r="S756" s="172"/>
      <c r="T756" s="172"/>
      <c r="U756" s="172"/>
      <c r="V756" s="172"/>
      <c r="W756" s="172"/>
      <c r="X756" s="172"/>
      <c r="Y756" s="172"/>
      <c r="Z756" s="172"/>
    </row>
    <row r="757" spans="1:26" ht="18.75">
      <c r="A757" s="172"/>
      <c r="B757" s="172"/>
      <c r="C757" s="172"/>
      <c r="D757" s="172"/>
      <c r="E757" s="172"/>
      <c r="F757" s="172"/>
      <c r="G757" s="172"/>
      <c r="H757" s="172"/>
      <c r="I757" s="172"/>
      <c r="J757" s="172"/>
      <c r="K757" s="172"/>
      <c r="L757" s="172"/>
      <c r="M757" s="172"/>
      <c r="N757" s="172"/>
      <c r="O757" s="172"/>
      <c r="P757" s="172"/>
      <c r="Q757" s="172"/>
      <c r="R757" s="172"/>
      <c r="S757" s="172"/>
      <c r="T757" s="172"/>
      <c r="U757" s="172"/>
      <c r="V757" s="172"/>
      <c r="W757" s="172"/>
      <c r="X757" s="172"/>
      <c r="Y757" s="172"/>
      <c r="Z757" s="172"/>
    </row>
    <row r="758" spans="1:26" ht="18.75">
      <c r="A758" s="172"/>
      <c r="B758" s="172"/>
      <c r="C758" s="172"/>
      <c r="D758" s="172"/>
      <c r="E758" s="172"/>
      <c r="F758" s="172"/>
      <c r="G758" s="172"/>
      <c r="H758" s="172"/>
      <c r="I758" s="172"/>
      <c r="J758" s="172"/>
      <c r="K758" s="172"/>
      <c r="L758" s="172"/>
      <c r="M758" s="172"/>
      <c r="N758" s="172"/>
      <c r="O758" s="172"/>
      <c r="P758" s="172"/>
      <c r="Q758" s="172"/>
      <c r="R758" s="172"/>
      <c r="S758" s="172"/>
      <c r="T758" s="172"/>
      <c r="U758" s="172"/>
      <c r="V758" s="172"/>
      <c r="W758" s="172"/>
      <c r="X758" s="172"/>
      <c r="Y758" s="172"/>
      <c r="Z758" s="172"/>
    </row>
    <row r="759" spans="1:26" ht="18.75">
      <c r="A759" s="172"/>
      <c r="B759" s="172"/>
      <c r="C759" s="172"/>
      <c r="D759" s="172"/>
      <c r="E759" s="172"/>
      <c r="F759" s="172"/>
      <c r="G759" s="172"/>
      <c r="H759" s="172"/>
      <c r="I759" s="172"/>
      <c r="J759" s="172"/>
      <c r="K759" s="172"/>
      <c r="L759" s="172"/>
      <c r="M759" s="172"/>
      <c r="N759" s="172"/>
      <c r="O759" s="172"/>
      <c r="P759" s="172"/>
      <c r="Q759" s="172"/>
      <c r="R759" s="172"/>
      <c r="S759" s="172"/>
      <c r="T759" s="172"/>
      <c r="U759" s="172"/>
      <c r="V759" s="172"/>
      <c r="W759" s="172"/>
      <c r="X759" s="172"/>
      <c r="Y759" s="172"/>
      <c r="Z759" s="172"/>
    </row>
    <row r="760" spans="1:26" ht="18.75">
      <c r="A760" s="172"/>
      <c r="B760" s="172"/>
      <c r="C760" s="172"/>
      <c r="D760" s="172"/>
      <c r="E760" s="172"/>
      <c r="F760" s="172"/>
      <c r="G760" s="172"/>
      <c r="H760" s="172"/>
      <c r="I760" s="172"/>
      <c r="J760" s="172"/>
      <c r="K760" s="172"/>
      <c r="L760" s="172"/>
      <c r="M760" s="172"/>
      <c r="N760" s="172"/>
      <c r="O760" s="172"/>
      <c r="P760" s="172"/>
      <c r="Q760" s="172"/>
      <c r="R760" s="172"/>
      <c r="S760" s="172"/>
      <c r="T760" s="172"/>
      <c r="U760" s="172"/>
      <c r="V760" s="172"/>
      <c r="W760" s="172"/>
      <c r="X760" s="172"/>
      <c r="Y760" s="172"/>
      <c r="Z760" s="172"/>
    </row>
    <row r="761" spans="1:26" ht="18.75">
      <c r="A761" s="172"/>
      <c r="B761" s="172"/>
      <c r="C761" s="172"/>
      <c r="D761" s="172"/>
      <c r="E761" s="172"/>
      <c r="F761" s="172"/>
      <c r="G761" s="172"/>
      <c r="H761" s="172"/>
      <c r="I761" s="172"/>
      <c r="J761" s="172"/>
      <c r="K761" s="172"/>
      <c r="L761" s="172"/>
      <c r="M761" s="172"/>
      <c r="N761" s="172"/>
      <c r="O761" s="172"/>
      <c r="P761" s="172"/>
      <c r="Q761" s="172"/>
      <c r="R761" s="172"/>
      <c r="S761" s="172"/>
      <c r="T761" s="172"/>
      <c r="U761" s="172"/>
      <c r="V761" s="172"/>
      <c r="W761" s="172"/>
      <c r="X761" s="172"/>
      <c r="Y761" s="172"/>
      <c r="Z761" s="172"/>
    </row>
    <row r="762" spans="1:26" ht="18.75">
      <c r="A762" s="172"/>
      <c r="B762" s="172"/>
      <c r="C762" s="172"/>
      <c r="D762" s="172"/>
      <c r="E762" s="172"/>
      <c r="F762" s="172"/>
      <c r="G762" s="172"/>
      <c r="H762" s="172"/>
      <c r="I762" s="172"/>
      <c r="J762" s="172"/>
      <c r="K762" s="172"/>
      <c r="L762" s="172"/>
      <c r="M762" s="172"/>
      <c r="N762" s="172"/>
      <c r="O762" s="172"/>
      <c r="P762" s="172"/>
      <c r="Q762" s="172"/>
      <c r="R762" s="172"/>
      <c r="S762" s="172"/>
      <c r="T762" s="172"/>
      <c r="U762" s="172"/>
      <c r="V762" s="172"/>
      <c r="W762" s="172"/>
      <c r="X762" s="172"/>
      <c r="Y762" s="172"/>
      <c r="Z762" s="172"/>
    </row>
    <row r="763" spans="1:26" ht="18.75">
      <c r="A763" s="172"/>
      <c r="B763" s="172"/>
      <c r="C763" s="172"/>
      <c r="D763" s="172"/>
      <c r="E763" s="172"/>
      <c r="F763" s="172"/>
      <c r="G763" s="172"/>
      <c r="H763" s="172"/>
      <c r="I763" s="172"/>
      <c r="J763" s="172"/>
      <c r="K763" s="172"/>
      <c r="L763" s="172"/>
      <c r="M763" s="172"/>
      <c r="N763" s="172"/>
      <c r="O763" s="172"/>
      <c r="P763" s="172"/>
      <c r="Q763" s="172"/>
      <c r="R763" s="172"/>
      <c r="S763" s="172"/>
      <c r="T763" s="172"/>
      <c r="U763" s="172"/>
      <c r="V763" s="172"/>
      <c r="W763" s="172"/>
      <c r="X763" s="172"/>
      <c r="Y763" s="172"/>
      <c r="Z763" s="172"/>
    </row>
    <row r="764" spans="1:26" ht="18.75">
      <c r="A764" s="172"/>
      <c r="B764" s="172"/>
      <c r="C764" s="172"/>
      <c r="D764" s="172"/>
      <c r="E764" s="172"/>
      <c r="F764" s="172"/>
      <c r="G764" s="172"/>
      <c r="H764" s="172"/>
      <c r="I764" s="172"/>
      <c r="J764" s="172"/>
      <c r="K764" s="172"/>
      <c r="L764" s="172"/>
      <c r="M764" s="172"/>
      <c r="N764" s="172"/>
      <c r="O764" s="172"/>
      <c r="P764" s="172"/>
      <c r="Q764" s="172"/>
      <c r="R764" s="172"/>
      <c r="S764" s="172"/>
      <c r="T764" s="172"/>
      <c r="U764" s="172"/>
      <c r="V764" s="172"/>
      <c r="W764" s="172"/>
      <c r="X764" s="172"/>
      <c r="Y764" s="172"/>
      <c r="Z764" s="172"/>
    </row>
    <row r="765" spans="1:26" ht="18.75">
      <c r="A765" s="172"/>
      <c r="B765" s="172"/>
      <c r="C765" s="172"/>
      <c r="D765" s="172"/>
      <c r="E765" s="172"/>
      <c r="F765" s="172"/>
      <c r="G765" s="172"/>
      <c r="H765" s="172"/>
      <c r="I765" s="172"/>
      <c r="J765" s="172"/>
      <c r="K765" s="172"/>
      <c r="L765" s="172"/>
      <c r="M765" s="172"/>
      <c r="N765" s="172"/>
      <c r="O765" s="172"/>
      <c r="P765" s="172"/>
      <c r="Q765" s="172"/>
      <c r="R765" s="172"/>
      <c r="S765" s="172"/>
      <c r="T765" s="172"/>
      <c r="U765" s="172"/>
      <c r="V765" s="172"/>
      <c r="W765" s="172"/>
      <c r="X765" s="172"/>
      <c r="Y765" s="172"/>
      <c r="Z765" s="172"/>
    </row>
    <row r="766" spans="1:26" ht="18.75">
      <c r="A766" s="172"/>
      <c r="B766" s="172"/>
      <c r="C766" s="172"/>
      <c r="D766" s="172"/>
      <c r="E766" s="172"/>
      <c r="F766" s="172"/>
      <c r="G766" s="172"/>
      <c r="H766" s="172"/>
      <c r="I766" s="172"/>
      <c r="J766" s="172"/>
      <c r="K766" s="172"/>
      <c r="L766" s="172"/>
      <c r="M766" s="172"/>
      <c r="N766" s="172"/>
      <c r="O766" s="172"/>
      <c r="P766" s="172"/>
      <c r="Q766" s="172"/>
      <c r="R766" s="172"/>
      <c r="S766" s="172"/>
      <c r="T766" s="172"/>
      <c r="U766" s="172"/>
      <c r="V766" s="172"/>
      <c r="W766" s="172"/>
      <c r="X766" s="172"/>
      <c r="Y766" s="172"/>
      <c r="Z766" s="172"/>
    </row>
    <row r="767" spans="1:26" ht="18.75">
      <c r="A767" s="172"/>
      <c r="B767" s="172"/>
      <c r="C767" s="172"/>
      <c r="D767" s="172"/>
      <c r="E767" s="172"/>
      <c r="F767" s="172"/>
      <c r="G767" s="172"/>
      <c r="H767" s="172"/>
      <c r="I767" s="172"/>
      <c r="J767" s="172"/>
      <c r="K767" s="172"/>
      <c r="L767" s="172"/>
      <c r="M767" s="172"/>
      <c r="N767" s="172"/>
      <c r="O767" s="172"/>
      <c r="P767" s="172"/>
      <c r="Q767" s="172"/>
      <c r="R767" s="172"/>
      <c r="S767" s="172"/>
      <c r="T767" s="172"/>
      <c r="U767" s="172"/>
      <c r="V767" s="172"/>
      <c r="W767" s="172"/>
      <c r="X767" s="172"/>
      <c r="Y767" s="172"/>
      <c r="Z767" s="172"/>
    </row>
    <row r="768" spans="1:26" ht="18.75">
      <c r="A768" s="172"/>
      <c r="B768" s="172"/>
      <c r="C768" s="172"/>
      <c r="D768" s="172"/>
      <c r="E768" s="172"/>
      <c r="F768" s="172"/>
      <c r="G768" s="172"/>
      <c r="H768" s="172"/>
      <c r="I768" s="172"/>
      <c r="J768" s="172"/>
      <c r="K768" s="172"/>
      <c r="L768" s="172"/>
      <c r="M768" s="172"/>
      <c r="N768" s="172"/>
      <c r="O768" s="172"/>
      <c r="P768" s="172"/>
      <c r="Q768" s="172"/>
      <c r="R768" s="172"/>
      <c r="S768" s="172"/>
      <c r="T768" s="172"/>
      <c r="U768" s="172"/>
      <c r="V768" s="172"/>
      <c r="W768" s="172"/>
      <c r="X768" s="172"/>
      <c r="Y768" s="172"/>
      <c r="Z768" s="172"/>
    </row>
    <row r="769" spans="1:26" ht="18.75">
      <c r="A769" s="172"/>
      <c r="B769" s="172"/>
      <c r="C769" s="172"/>
      <c r="D769" s="172"/>
      <c r="E769" s="172"/>
      <c r="F769" s="172"/>
      <c r="G769" s="172"/>
      <c r="H769" s="172"/>
      <c r="I769" s="172"/>
      <c r="J769" s="172"/>
      <c r="K769" s="172"/>
      <c r="L769" s="172"/>
      <c r="M769" s="172"/>
      <c r="N769" s="172"/>
      <c r="O769" s="172"/>
      <c r="P769" s="172"/>
      <c r="Q769" s="172"/>
      <c r="R769" s="172"/>
      <c r="S769" s="172"/>
      <c r="T769" s="172"/>
      <c r="U769" s="172"/>
      <c r="V769" s="172"/>
      <c r="W769" s="172"/>
      <c r="X769" s="172"/>
      <c r="Y769" s="172"/>
      <c r="Z769" s="172"/>
    </row>
    <row r="770" spans="1:26" ht="18.75">
      <c r="A770" s="172"/>
      <c r="B770" s="172"/>
      <c r="C770" s="172"/>
      <c r="D770" s="172"/>
      <c r="E770" s="172"/>
      <c r="F770" s="172"/>
      <c r="G770" s="172"/>
      <c r="H770" s="172"/>
      <c r="I770" s="172"/>
      <c r="J770" s="172"/>
      <c r="K770" s="172"/>
      <c r="L770" s="172"/>
      <c r="M770" s="172"/>
      <c r="N770" s="172"/>
      <c r="O770" s="172"/>
      <c r="P770" s="172"/>
      <c r="Q770" s="172"/>
      <c r="R770" s="172"/>
      <c r="S770" s="172"/>
      <c r="T770" s="172"/>
      <c r="U770" s="172"/>
      <c r="V770" s="172"/>
      <c r="W770" s="172"/>
      <c r="X770" s="172"/>
      <c r="Y770" s="172"/>
      <c r="Z770" s="172"/>
    </row>
    <row r="771" spans="1:26" ht="18.75">
      <c r="A771" s="172"/>
      <c r="B771" s="172"/>
      <c r="C771" s="172"/>
      <c r="D771" s="172"/>
      <c r="E771" s="172"/>
      <c r="F771" s="172"/>
      <c r="G771" s="172"/>
      <c r="H771" s="172"/>
      <c r="I771" s="172"/>
      <c r="J771" s="172"/>
      <c r="K771" s="172"/>
      <c r="L771" s="172"/>
      <c r="M771" s="172"/>
      <c r="N771" s="172"/>
      <c r="O771" s="172"/>
      <c r="P771" s="172"/>
      <c r="Q771" s="172"/>
      <c r="R771" s="172"/>
      <c r="S771" s="172"/>
      <c r="T771" s="172"/>
      <c r="U771" s="172"/>
      <c r="V771" s="172"/>
      <c r="W771" s="172"/>
      <c r="X771" s="172"/>
      <c r="Y771" s="172"/>
      <c r="Z771" s="172"/>
    </row>
    <row r="772" spans="1:26" ht="18.75">
      <c r="A772" s="172"/>
      <c r="B772" s="172"/>
      <c r="C772" s="172"/>
      <c r="D772" s="172"/>
      <c r="E772" s="172"/>
      <c r="F772" s="172"/>
      <c r="G772" s="172"/>
      <c r="H772" s="172"/>
      <c r="I772" s="172"/>
      <c r="J772" s="172"/>
      <c r="K772" s="172"/>
      <c r="L772" s="172"/>
      <c r="M772" s="172"/>
      <c r="N772" s="172"/>
      <c r="O772" s="172"/>
      <c r="P772" s="172"/>
      <c r="Q772" s="172"/>
      <c r="R772" s="172"/>
      <c r="S772" s="172"/>
      <c r="T772" s="172"/>
      <c r="U772" s="172"/>
      <c r="V772" s="172"/>
      <c r="W772" s="172"/>
      <c r="X772" s="172"/>
      <c r="Y772" s="172"/>
      <c r="Z772" s="172"/>
    </row>
    <row r="773" spans="1:26" ht="18.75">
      <c r="A773" s="172"/>
      <c r="B773" s="172"/>
      <c r="C773" s="172"/>
      <c r="D773" s="172"/>
      <c r="E773" s="172"/>
      <c r="F773" s="172"/>
      <c r="G773" s="172"/>
      <c r="H773" s="172"/>
      <c r="I773" s="172"/>
      <c r="J773" s="172"/>
      <c r="K773" s="172"/>
      <c r="L773" s="172"/>
      <c r="M773" s="172"/>
      <c r="N773" s="172"/>
      <c r="O773" s="172"/>
      <c r="P773" s="172"/>
      <c r="Q773" s="172"/>
      <c r="R773" s="172"/>
      <c r="S773" s="172"/>
      <c r="T773" s="172"/>
      <c r="U773" s="172"/>
      <c r="V773" s="172"/>
      <c r="W773" s="172"/>
      <c r="X773" s="172"/>
      <c r="Y773" s="172"/>
      <c r="Z773" s="172"/>
    </row>
    <row r="774" spans="1:26" ht="18.75">
      <c r="A774" s="172"/>
      <c r="B774" s="172"/>
      <c r="C774" s="172"/>
      <c r="D774" s="172"/>
      <c r="E774" s="172"/>
      <c r="F774" s="172"/>
      <c r="G774" s="172"/>
      <c r="H774" s="172"/>
      <c r="I774" s="172"/>
      <c r="J774" s="172"/>
      <c r="K774" s="172"/>
      <c r="L774" s="172"/>
      <c r="M774" s="172"/>
      <c r="N774" s="172"/>
      <c r="O774" s="172"/>
      <c r="P774" s="172"/>
      <c r="Q774" s="172"/>
      <c r="R774" s="172"/>
      <c r="S774" s="172"/>
      <c r="T774" s="172"/>
      <c r="U774" s="172"/>
      <c r="V774" s="172"/>
      <c r="W774" s="172"/>
      <c r="X774" s="172"/>
      <c r="Y774" s="172"/>
      <c r="Z774" s="172"/>
    </row>
    <row r="775" spans="1:26" ht="18.75">
      <c r="A775" s="172"/>
      <c r="B775" s="172"/>
      <c r="C775" s="172"/>
      <c r="D775" s="172"/>
      <c r="E775" s="172"/>
      <c r="F775" s="172"/>
      <c r="G775" s="172"/>
      <c r="H775" s="172"/>
      <c r="I775" s="172"/>
      <c r="J775" s="172"/>
      <c r="K775" s="172"/>
      <c r="L775" s="172"/>
      <c r="M775" s="172"/>
      <c r="N775" s="172"/>
      <c r="O775" s="172"/>
      <c r="P775" s="172"/>
      <c r="Q775" s="172"/>
      <c r="R775" s="172"/>
      <c r="S775" s="172"/>
      <c r="T775" s="172"/>
      <c r="U775" s="172"/>
      <c r="V775" s="172"/>
      <c r="W775" s="172"/>
      <c r="X775" s="172"/>
      <c r="Y775" s="172"/>
      <c r="Z775" s="172"/>
    </row>
    <row r="776" spans="1:26" ht="18.75">
      <c r="A776" s="172"/>
      <c r="B776" s="172"/>
      <c r="C776" s="172"/>
      <c r="D776" s="172"/>
      <c r="E776" s="172"/>
      <c r="F776" s="172"/>
      <c r="G776" s="172"/>
      <c r="H776" s="172"/>
      <c r="I776" s="172"/>
      <c r="J776" s="172"/>
      <c r="K776" s="172"/>
      <c r="L776" s="172"/>
      <c r="M776" s="172"/>
      <c r="N776" s="172"/>
      <c r="O776" s="172"/>
      <c r="P776" s="172"/>
      <c r="Q776" s="172"/>
      <c r="R776" s="172"/>
      <c r="S776" s="172"/>
      <c r="T776" s="172"/>
      <c r="U776" s="172"/>
      <c r="V776" s="172"/>
      <c r="W776" s="172"/>
      <c r="X776" s="172"/>
      <c r="Y776" s="172"/>
      <c r="Z776" s="172"/>
    </row>
    <row r="777" spans="1:26" ht="18.75">
      <c r="A777" s="172"/>
      <c r="B777" s="172"/>
      <c r="C777" s="172"/>
      <c r="D777" s="172"/>
      <c r="E777" s="172"/>
      <c r="F777" s="172"/>
      <c r="G777" s="172"/>
      <c r="H777" s="172"/>
      <c r="I777" s="172"/>
      <c r="J777" s="172"/>
      <c r="K777" s="172"/>
      <c r="L777" s="172"/>
      <c r="M777" s="172"/>
      <c r="N777" s="172"/>
      <c r="O777" s="172"/>
      <c r="P777" s="172"/>
      <c r="Q777" s="172"/>
      <c r="R777" s="172"/>
      <c r="S777" s="172"/>
      <c r="T777" s="172"/>
      <c r="U777" s="172"/>
      <c r="V777" s="172"/>
      <c r="W777" s="172"/>
      <c r="X777" s="172"/>
      <c r="Y777" s="172"/>
      <c r="Z777" s="172"/>
    </row>
    <row r="778" spans="1:26" ht="18.75">
      <c r="A778" s="172"/>
      <c r="B778" s="172"/>
      <c r="C778" s="172"/>
      <c r="D778" s="172"/>
      <c r="E778" s="172"/>
      <c r="F778" s="172"/>
      <c r="G778" s="172"/>
      <c r="H778" s="172"/>
      <c r="I778" s="172"/>
      <c r="J778" s="172"/>
      <c r="K778" s="172"/>
      <c r="L778" s="172"/>
      <c r="M778" s="172"/>
      <c r="N778" s="172"/>
      <c r="O778" s="172"/>
      <c r="P778" s="172"/>
      <c r="Q778" s="172"/>
      <c r="R778" s="172"/>
      <c r="S778" s="172"/>
      <c r="T778" s="172"/>
      <c r="U778" s="172"/>
      <c r="V778" s="172"/>
      <c r="W778" s="172"/>
      <c r="X778" s="172"/>
      <c r="Y778" s="172"/>
      <c r="Z778" s="172"/>
    </row>
    <row r="779" spans="1:26" ht="18.75">
      <c r="A779" s="172"/>
      <c r="B779" s="172"/>
      <c r="C779" s="172"/>
      <c r="D779" s="172"/>
      <c r="E779" s="172"/>
      <c r="F779" s="172"/>
      <c r="G779" s="172"/>
      <c r="H779" s="172"/>
      <c r="I779" s="172"/>
      <c r="J779" s="172"/>
      <c r="K779" s="172"/>
      <c r="L779" s="172"/>
      <c r="M779" s="172"/>
      <c r="N779" s="172"/>
      <c r="O779" s="172"/>
      <c r="P779" s="172"/>
      <c r="Q779" s="172"/>
      <c r="R779" s="172"/>
      <c r="S779" s="172"/>
      <c r="T779" s="172"/>
      <c r="U779" s="172"/>
      <c r="V779" s="172"/>
      <c r="W779" s="172"/>
      <c r="X779" s="172"/>
      <c r="Y779" s="172"/>
      <c r="Z779" s="172"/>
    </row>
    <row r="780" spans="1:26" ht="18.75">
      <c r="A780" s="172"/>
      <c r="B780" s="172"/>
      <c r="C780" s="172"/>
      <c r="D780" s="172"/>
      <c r="E780" s="172"/>
      <c r="F780" s="172"/>
      <c r="G780" s="172"/>
      <c r="H780" s="172"/>
      <c r="I780" s="172"/>
      <c r="J780" s="172"/>
      <c r="K780" s="172"/>
      <c r="L780" s="172"/>
      <c r="M780" s="172"/>
      <c r="N780" s="172"/>
      <c r="O780" s="172"/>
      <c r="P780" s="172"/>
      <c r="Q780" s="172"/>
      <c r="R780" s="172"/>
      <c r="S780" s="172"/>
      <c r="T780" s="172"/>
      <c r="U780" s="172"/>
      <c r="V780" s="172"/>
      <c r="W780" s="172"/>
      <c r="X780" s="172"/>
      <c r="Y780" s="172"/>
      <c r="Z780" s="172"/>
    </row>
    <row r="781" spans="1:26" ht="18.75">
      <c r="A781" s="172"/>
      <c r="B781" s="172"/>
      <c r="C781" s="172"/>
      <c r="D781" s="172"/>
      <c r="E781" s="172"/>
      <c r="F781" s="172"/>
      <c r="G781" s="172"/>
      <c r="H781" s="172"/>
      <c r="I781" s="172"/>
      <c r="J781" s="172"/>
      <c r="K781" s="172"/>
      <c r="L781" s="172"/>
      <c r="M781" s="172"/>
      <c r="N781" s="172"/>
      <c r="O781" s="172"/>
      <c r="P781" s="172"/>
      <c r="Q781" s="172"/>
      <c r="R781" s="172"/>
      <c r="S781" s="172"/>
      <c r="T781" s="172"/>
      <c r="U781" s="172"/>
      <c r="V781" s="172"/>
      <c r="W781" s="172"/>
      <c r="X781" s="172"/>
      <c r="Y781" s="172"/>
      <c r="Z781" s="172"/>
    </row>
    <row r="782" spans="1:26" ht="18.75">
      <c r="A782" s="172"/>
      <c r="B782" s="172"/>
      <c r="C782" s="172"/>
      <c r="D782" s="172"/>
      <c r="E782" s="172"/>
      <c r="F782" s="172"/>
      <c r="G782" s="172"/>
      <c r="H782" s="172"/>
      <c r="I782" s="172"/>
      <c r="J782" s="172"/>
      <c r="K782" s="172"/>
      <c r="L782" s="172"/>
      <c r="M782" s="172"/>
      <c r="N782" s="172"/>
      <c r="O782" s="172"/>
      <c r="P782" s="172"/>
      <c r="Q782" s="172"/>
      <c r="R782" s="172"/>
      <c r="S782" s="172"/>
      <c r="T782" s="172"/>
      <c r="U782" s="172"/>
      <c r="V782" s="172"/>
      <c r="W782" s="172"/>
      <c r="X782" s="172"/>
      <c r="Y782" s="172"/>
      <c r="Z782" s="172"/>
    </row>
    <row r="783" spans="1:26" ht="18.75">
      <c r="A783" s="172"/>
      <c r="B783" s="172"/>
      <c r="C783" s="172"/>
      <c r="D783" s="172"/>
      <c r="E783" s="172"/>
      <c r="F783" s="172"/>
      <c r="G783" s="172"/>
      <c r="H783" s="172"/>
      <c r="I783" s="172"/>
      <c r="J783" s="172"/>
      <c r="K783" s="172"/>
      <c r="L783" s="172"/>
      <c r="M783" s="172"/>
      <c r="N783" s="172"/>
      <c r="O783" s="172"/>
      <c r="P783" s="172"/>
      <c r="Q783" s="172"/>
      <c r="R783" s="172"/>
      <c r="S783" s="172"/>
      <c r="T783" s="172"/>
      <c r="U783" s="172"/>
      <c r="V783" s="172"/>
      <c r="W783" s="172"/>
      <c r="X783" s="172"/>
      <c r="Y783" s="172"/>
      <c r="Z783" s="172"/>
    </row>
    <row r="784" spans="1:26" ht="18.75">
      <c r="A784" s="172"/>
      <c r="B784" s="172"/>
      <c r="C784" s="172"/>
      <c r="D784" s="172"/>
      <c r="E784" s="172"/>
      <c r="F784" s="172"/>
      <c r="G784" s="172"/>
      <c r="H784" s="172"/>
      <c r="I784" s="172"/>
      <c r="J784" s="172"/>
      <c r="K784" s="172"/>
      <c r="L784" s="172"/>
      <c r="M784" s="172"/>
      <c r="N784" s="172"/>
      <c r="O784" s="172"/>
      <c r="P784" s="172"/>
      <c r="Q784" s="172"/>
      <c r="R784" s="172"/>
      <c r="S784" s="172"/>
      <c r="T784" s="172"/>
      <c r="U784" s="172"/>
      <c r="V784" s="172"/>
      <c r="W784" s="172"/>
      <c r="X784" s="172"/>
      <c r="Y784" s="172"/>
      <c r="Z784" s="172"/>
    </row>
    <row r="785" spans="1:26" ht="18.75">
      <c r="A785" s="172"/>
      <c r="B785" s="172"/>
      <c r="C785" s="172"/>
      <c r="D785" s="172"/>
      <c r="E785" s="172"/>
      <c r="F785" s="172"/>
      <c r="G785" s="172"/>
      <c r="H785" s="172"/>
      <c r="I785" s="172"/>
      <c r="J785" s="172"/>
      <c r="K785" s="172"/>
      <c r="L785" s="172"/>
      <c r="M785" s="172"/>
      <c r="N785" s="172"/>
      <c r="O785" s="172"/>
      <c r="P785" s="172"/>
      <c r="Q785" s="172"/>
      <c r="R785" s="172"/>
      <c r="S785" s="172"/>
      <c r="T785" s="172"/>
      <c r="U785" s="172"/>
      <c r="V785" s="172"/>
      <c r="W785" s="172"/>
      <c r="X785" s="172"/>
      <c r="Y785" s="172"/>
      <c r="Z785" s="172"/>
    </row>
    <row r="786" spans="1:26" ht="18.75">
      <c r="A786" s="172"/>
      <c r="B786" s="172"/>
      <c r="C786" s="172"/>
      <c r="D786" s="172"/>
      <c r="E786" s="172"/>
      <c r="F786" s="172"/>
      <c r="G786" s="172"/>
      <c r="H786" s="172"/>
      <c r="I786" s="172"/>
      <c r="J786" s="172"/>
      <c r="K786" s="172"/>
      <c r="L786" s="172"/>
      <c r="M786" s="172"/>
      <c r="N786" s="172"/>
      <c r="O786" s="172"/>
      <c r="P786" s="172"/>
      <c r="Q786" s="172"/>
      <c r="R786" s="172"/>
      <c r="S786" s="172"/>
      <c r="T786" s="172"/>
      <c r="U786" s="172"/>
      <c r="V786" s="172"/>
      <c r="W786" s="172"/>
      <c r="X786" s="172"/>
      <c r="Y786" s="172"/>
      <c r="Z786" s="172"/>
    </row>
    <row r="787" spans="1:26" ht="18.75">
      <c r="A787" s="172"/>
      <c r="B787" s="172"/>
      <c r="C787" s="172"/>
      <c r="D787" s="172"/>
      <c r="E787" s="172"/>
      <c r="F787" s="172"/>
      <c r="G787" s="172"/>
      <c r="H787" s="172"/>
      <c r="I787" s="172"/>
      <c r="J787" s="172"/>
      <c r="K787" s="172"/>
      <c r="L787" s="172"/>
      <c r="M787" s="172"/>
      <c r="N787" s="172"/>
      <c r="O787" s="172"/>
      <c r="P787" s="172"/>
      <c r="Q787" s="172"/>
      <c r="R787" s="172"/>
      <c r="S787" s="172"/>
      <c r="T787" s="172"/>
      <c r="U787" s="172"/>
      <c r="V787" s="172"/>
      <c r="W787" s="172"/>
      <c r="X787" s="172"/>
      <c r="Y787" s="172"/>
      <c r="Z787" s="172"/>
    </row>
    <row r="788" spans="1:26" ht="18.75">
      <c r="A788" s="172"/>
      <c r="B788" s="172"/>
      <c r="C788" s="172"/>
      <c r="D788" s="172"/>
      <c r="E788" s="172"/>
      <c r="F788" s="172"/>
      <c r="G788" s="172"/>
      <c r="H788" s="172"/>
      <c r="I788" s="172"/>
      <c r="J788" s="172"/>
      <c r="K788" s="172"/>
      <c r="L788" s="172"/>
      <c r="M788" s="172"/>
      <c r="N788" s="172"/>
      <c r="O788" s="172"/>
      <c r="P788" s="172"/>
      <c r="Q788" s="172"/>
      <c r="R788" s="172"/>
      <c r="S788" s="172"/>
      <c r="T788" s="172"/>
      <c r="U788" s="172"/>
      <c r="V788" s="172"/>
      <c r="W788" s="172"/>
      <c r="X788" s="172"/>
      <c r="Y788" s="172"/>
      <c r="Z788" s="172"/>
    </row>
    <row r="789" spans="1:26" ht="18.75">
      <c r="A789" s="172"/>
      <c r="B789" s="172"/>
      <c r="C789" s="172"/>
      <c r="D789" s="172"/>
      <c r="E789" s="172"/>
      <c r="F789" s="172"/>
      <c r="G789" s="172"/>
      <c r="H789" s="172"/>
      <c r="I789" s="172"/>
      <c r="J789" s="172"/>
      <c r="K789" s="172"/>
      <c r="L789" s="172"/>
      <c r="M789" s="172"/>
      <c r="N789" s="172"/>
      <c r="O789" s="172"/>
      <c r="P789" s="172"/>
      <c r="Q789" s="172"/>
      <c r="R789" s="172"/>
      <c r="S789" s="172"/>
      <c r="T789" s="172"/>
      <c r="U789" s="172"/>
      <c r="V789" s="172"/>
      <c r="W789" s="172"/>
      <c r="X789" s="172"/>
      <c r="Y789" s="172"/>
      <c r="Z789" s="172"/>
    </row>
    <row r="790" spans="1:26" ht="18.75">
      <c r="A790" s="172"/>
      <c r="B790" s="172"/>
      <c r="C790" s="172"/>
      <c r="D790" s="172"/>
      <c r="E790" s="172"/>
      <c r="F790" s="172"/>
      <c r="G790" s="172"/>
      <c r="H790" s="172"/>
      <c r="I790" s="172"/>
      <c r="J790" s="172"/>
      <c r="K790" s="172"/>
      <c r="L790" s="172"/>
      <c r="M790" s="172"/>
      <c r="N790" s="172"/>
      <c r="O790" s="172"/>
      <c r="P790" s="172"/>
      <c r="Q790" s="172"/>
      <c r="R790" s="172"/>
      <c r="S790" s="172"/>
      <c r="T790" s="172"/>
      <c r="U790" s="172"/>
      <c r="V790" s="172"/>
      <c r="W790" s="172"/>
      <c r="X790" s="172"/>
      <c r="Y790" s="172"/>
      <c r="Z790" s="172"/>
    </row>
    <row r="791" spans="1:26" ht="18.75">
      <c r="A791" s="172"/>
      <c r="B791" s="172"/>
      <c r="C791" s="172"/>
      <c r="D791" s="172"/>
      <c r="E791" s="172"/>
      <c r="F791" s="172"/>
      <c r="G791" s="172"/>
      <c r="H791" s="172"/>
      <c r="I791" s="172"/>
      <c r="J791" s="172"/>
      <c r="K791" s="172"/>
      <c r="L791" s="172"/>
      <c r="M791" s="172"/>
      <c r="N791" s="172"/>
      <c r="O791" s="172"/>
      <c r="P791" s="172"/>
      <c r="Q791" s="172"/>
      <c r="R791" s="172"/>
      <c r="S791" s="172"/>
      <c r="T791" s="172"/>
      <c r="U791" s="172"/>
      <c r="V791" s="172"/>
      <c r="W791" s="172"/>
      <c r="X791" s="172"/>
      <c r="Y791" s="172"/>
      <c r="Z791" s="172"/>
    </row>
    <row r="792" spans="1:26" ht="18.75">
      <c r="A792" s="172"/>
      <c r="B792" s="172"/>
      <c r="C792" s="172"/>
      <c r="D792" s="172"/>
      <c r="E792" s="172"/>
      <c r="F792" s="172"/>
      <c r="G792" s="172"/>
      <c r="H792" s="172"/>
      <c r="I792" s="172"/>
      <c r="J792" s="172"/>
      <c r="K792" s="172"/>
      <c r="L792" s="172"/>
      <c r="M792" s="172"/>
      <c r="N792" s="172"/>
      <c r="O792" s="172"/>
      <c r="P792" s="172"/>
      <c r="Q792" s="172"/>
      <c r="R792" s="172"/>
      <c r="S792" s="172"/>
      <c r="T792" s="172"/>
      <c r="U792" s="172"/>
      <c r="V792" s="172"/>
      <c r="W792" s="172"/>
      <c r="X792" s="172"/>
      <c r="Y792" s="172"/>
      <c r="Z792" s="172"/>
    </row>
    <row r="793" spans="1:26" ht="18.75">
      <c r="A793" s="172"/>
      <c r="B793" s="172"/>
      <c r="C793" s="172"/>
      <c r="D793" s="172"/>
      <c r="E793" s="172"/>
      <c r="F793" s="172"/>
      <c r="G793" s="172"/>
      <c r="H793" s="172"/>
      <c r="I793" s="172"/>
      <c r="J793" s="172"/>
      <c r="K793" s="172"/>
      <c r="L793" s="172"/>
      <c r="M793" s="172"/>
      <c r="N793" s="172"/>
      <c r="O793" s="172"/>
      <c r="P793" s="172"/>
      <c r="Q793" s="172"/>
      <c r="R793" s="172"/>
      <c r="S793" s="172"/>
      <c r="T793" s="172"/>
      <c r="U793" s="172"/>
      <c r="V793" s="172"/>
      <c r="W793" s="172"/>
      <c r="X793" s="172"/>
      <c r="Y793" s="172"/>
      <c r="Z793" s="172"/>
    </row>
    <row r="794" spans="1:26" ht="18.75">
      <c r="A794" s="172"/>
      <c r="B794" s="172"/>
      <c r="C794" s="172"/>
      <c r="D794" s="172"/>
      <c r="E794" s="172"/>
      <c r="F794" s="172"/>
      <c r="G794" s="172"/>
      <c r="H794" s="172"/>
      <c r="I794" s="172"/>
      <c r="J794" s="172"/>
      <c r="K794" s="172"/>
      <c r="L794" s="172"/>
      <c r="M794" s="172"/>
      <c r="N794" s="172"/>
      <c r="O794" s="172"/>
      <c r="P794" s="172"/>
      <c r="Q794" s="172"/>
      <c r="R794" s="172"/>
      <c r="S794" s="172"/>
      <c r="T794" s="172"/>
      <c r="U794" s="172"/>
      <c r="V794" s="172"/>
      <c r="W794" s="172"/>
      <c r="X794" s="172"/>
      <c r="Y794" s="172"/>
      <c r="Z794" s="172"/>
    </row>
    <row r="795" spans="1:26" ht="18.75">
      <c r="A795" s="172"/>
      <c r="B795" s="172"/>
      <c r="C795" s="172"/>
      <c r="D795" s="172"/>
      <c r="E795" s="172"/>
      <c r="F795" s="172"/>
      <c r="G795" s="172"/>
      <c r="H795" s="172"/>
      <c r="I795" s="172"/>
      <c r="J795" s="172"/>
      <c r="K795" s="172"/>
      <c r="L795" s="172"/>
      <c r="M795" s="172"/>
      <c r="N795" s="172"/>
      <c r="O795" s="172"/>
      <c r="P795" s="172"/>
      <c r="Q795" s="172"/>
      <c r="R795" s="172"/>
      <c r="S795" s="172"/>
      <c r="T795" s="172"/>
      <c r="U795" s="172"/>
      <c r="V795" s="172"/>
      <c r="W795" s="172"/>
      <c r="X795" s="172"/>
      <c r="Y795" s="172"/>
      <c r="Z795" s="172"/>
    </row>
    <row r="796" spans="1:26" ht="18.75">
      <c r="A796" s="172"/>
      <c r="B796" s="172"/>
      <c r="C796" s="172"/>
      <c r="D796" s="172"/>
      <c r="E796" s="172"/>
      <c r="F796" s="172"/>
      <c r="G796" s="172"/>
      <c r="H796" s="172"/>
      <c r="I796" s="172"/>
      <c r="J796" s="172"/>
      <c r="K796" s="172"/>
      <c r="L796" s="172"/>
      <c r="M796" s="172"/>
      <c r="N796" s="172"/>
      <c r="O796" s="172"/>
      <c r="P796" s="172"/>
      <c r="Q796" s="172"/>
      <c r="R796" s="172"/>
      <c r="S796" s="172"/>
      <c r="T796" s="172"/>
      <c r="U796" s="172"/>
      <c r="V796" s="172"/>
      <c r="W796" s="172"/>
      <c r="X796" s="172"/>
      <c r="Y796" s="172"/>
      <c r="Z796" s="172"/>
    </row>
    <row r="797" spans="1:26" ht="18.75">
      <c r="A797" s="172"/>
      <c r="B797" s="172"/>
      <c r="C797" s="172"/>
      <c r="D797" s="172"/>
      <c r="E797" s="172"/>
      <c r="F797" s="172"/>
      <c r="G797" s="172"/>
      <c r="H797" s="172"/>
      <c r="I797" s="172"/>
      <c r="J797" s="172"/>
      <c r="K797" s="172"/>
      <c r="L797" s="172"/>
      <c r="M797" s="172"/>
      <c r="N797" s="172"/>
      <c r="O797" s="172"/>
      <c r="P797" s="172"/>
      <c r="Q797" s="172"/>
      <c r="R797" s="172"/>
      <c r="S797" s="172"/>
      <c r="T797" s="172"/>
      <c r="U797" s="172"/>
      <c r="V797" s="172"/>
      <c r="W797" s="172"/>
      <c r="X797" s="172"/>
      <c r="Y797" s="172"/>
      <c r="Z797" s="172"/>
    </row>
    <row r="798" spans="1:26" ht="18.75">
      <c r="A798" s="172"/>
      <c r="B798" s="172"/>
      <c r="C798" s="172"/>
      <c r="D798" s="172"/>
      <c r="E798" s="172"/>
      <c r="F798" s="172"/>
      <c r="G798" s="172"/>
      <c r="H798" s="172"/>
      <c r="I798" s="172"/>
      <c r="J798" s="172"/>
      <c r="K798" s="172"/>
      <c r="L798" s="172"/>
      <c r="M798" s="172"/>
      <c r="N798" s="172"/>
      <c r="O798" s="172"/>
      <c r="P798" s="172"/>
      <c r="Q798" s="172"/>
      <c r="R798" s="172"/>
      <c r="S798" s="172"/>
      <c r="T798" s="172"/>
      <c r="U798" s="172"/>
      <c r="V798" s="172"/>
      <c r="W798" s="172"/>
      <c r="X798" s="172"/>
      <c r="Y798" s="172"/>
      <c r="Z798" s="172"/>
    </row>
    <row r="799" spans="1:26" ht="18.75">
      <c r="A799" s="172"/>
      <c r="B799" s="172"/>
      <c r="C799" s="172"/>
      <c r="D799" s="172"/>
      <c r="E799" s="172"/>
      <c r="F799" s="172"/>
      <c r="G799" s="172"/>
      <c r="H799" s="172"/>
      <c r="I799" s="172"/>
      <c r="J799" s="172"/>
      <c r="K799" s="172"/>
      <c r="L799" s="172"/>
      <c r="M799" s="172"/>
      <c r="N799" s="172"/>
      <c r="O799" s="172"/>
      <c r="P799" s="172"/>
      <c r="Q799" s="172"/>
      <c r="R799" s="172"/>
      <c r="S799" s="172"/>
      <c r="T799" s="172"/>
      <c r="U799" s="172"/>
      <c r="V799" s="172"/>
      <c r="W799" s="172"/>
      <c r="X799" s="172"/>
      <c r="Y799" s="172"/>
      <c r="Z799" s="172"/>
    </row>
    <row r="800" spans="1:26" ht="18.75">
      <c r="A800" s="172"/>
      <c r="B800" s="172"/>
      <c r="C800" s="172"/>
      <c r="D800" s="172"/>
      <c r="E800" s="172"/>
      <c r="F800" s="172"/>
      <c r="G800" s="172"/>
      <c r="H800" s="172"/>
      <c r="I800" s="172"/>
      <c r="J800" s="172"/>
      <c r="K800" s="172"/>
      <c r="L800" s="172"/>
      <c r="M800" s="172"/>
      <c r="N800" s="172"/>
      <c r="O800" s="172"/>
      <c r="P800" s="172"/>
      <c r="Q800" s="172"/>
      <c r="R800" s="172"/>
      <c r="S800" s="172"/>
      <c r="T800" s="172"/>
      <c r="U800" s="172"/>
      <c r="V800" s="172"/>
      <c r="W800" s="172"/>
      <c r="X800" s="172"/>
      <c r="Y800" s="172"/>
      <c r="Z800" s="172"/>
    </row>
    <row r="801" spans="1:26" ht="18.75">
      <c r="A801" s="172"/>
      <c r="B801" s="172"/>
      <c r="C801" s="172"/>
      <c r="D801" s="172"/>
      <c r="E801" s="172"/>
      <c r="F801" s="172"/>
      <c r="G801" s="172"/>
      <c r="H801" s="172"/>
      <c r="I801" s="172"/>
      <c r="J801" s="172"/>
      <c r="K801" s="172"/>
      <c r="L801" s="172"/>
      <c r="M801" s="172"/>
      <c r="N801" s="172"/>
      <c r="O801" s="172"/>
      <c r="P801" s="172"/>
      <c r="Q801" s="172"/>
      <c r="R801" s="172"/>
      <c r="S801" s="172"/>
      <c r="T801" s="172"/>
      <c r="U801" s="172"/>
      <c r="V801" s="172"/>
      <c r="W801" s="172"/>
      <c r="X801" s="172"/>
      <c r="Y801" s="172"/>
      <c r="Z801" s="172"/>
    </row>
    <row r="802" spans="1:26" ht="18.75">
      <c r="A802" s="172"/>
      <c r="B802" s="172"/>
      <c r="C802" s="172"/>
      <c r="D802" s="172"/>
      <c r="E802" s="172"/>
      <c r="F802" s="172"/>
      <c r="G802" s="172"/>
      <c r="H802" s="172"/>
      <c r="I802" s="172"/>
      <c r="J802" s="172"/>
      <c r="K802" s="172"/>
      <c r="L802" s="172"/>
      <c r="M802" s="172"/>
      <c r="N802" s="172"/>
      <c r="O802" s="172"/>
      <c r="P802" s="172"/>
      <c r="Q802" s="172"/>
      <c r="R802" s="172"/>
      <c r="S802" s="172"/>
      <c r="T802" s="172"/>
      <c r="U802" s="172"/>
      <c r="V802" s="172"/>
      <c r="W802" s="172"/>
      <c r="X802" s="172"/>
      <c r="Y802" s="172"/>
      <c r="Z802" s="172"/>
    </row>
    <row r="803" spans="1:26" ht="18.75">
      <c r="A803" s="172"/>
      <c r="B803" s="172"/>
      <c r="C803" s="172"/>
      <c r="D803" s="172"/>
      <c r="E803" s="172"/>
      <c r="F803" s="172"/>
      <c r="G803" s="172"/>
      <c r="H803" s="172"/>
      <c r="I803" s="172"/>
      <c r="J803" s="172"/>
      <c r="K803" s="172"/>
      <c r="L803" s="172"/>
      <c r="M803" s="172"/>
      <c r="N803" s="172"/>
      <c r="O803" s="172"/>
      <c r="P803" s="172"/>
      <c r="Q803" s="172"/>
      <c r="R803" s="172"/>
      <c r="S803" s="172"/>
      <c r="T803" s="172"/>
      <c r="U803" s="172"/>
      <c r="V803" s="172"/>
      <c r="W803" s="172"/>
      <c r="X803" s="172"/>
      <c r="Y803" s="172"/>
      <c r="Z803" s="172"/>
    </row>
    <row r="804" spans="1:26" ht="18.75">
      <c r="A804" s="172"/>
      <c r="B804" s="172"/>
      <c r="C804" s="172"/>
      <c r="D804" s="172"/>
      <c r="E804" s="172"/>
      <c r="F804" s="172"/>
      <c r="G804" s="172"/>
      <c r="H804" s="172"/>
      <c r="I804" s="172"/>
      <c r="J804" s="172"/>
      <c r="K804" s="172"/>
      <c r="L804" s="172"/>
      <c r="M804" s="172"/>
      <c r="N804" s="172"/>
      <c r="O804" s="172"/>
      <c r="P804" s="172"/>
      <c r="Q804" s="172"/>
      <c r="R804" s="172"/>
      <c r="S804" s="172"/>
      <c r="T804" s="172"/>
      <c r="U804" s="172"/>
      <c r="V804" s="172"/>
      <c r="W804" s="172"/>
      <c r="X804" s="172"/>
      <c r="Y804" s="172"/>
      <c r="Z804" s="172"/>
    </row>
    <row r="805" spans="1:26" ht="18.75">
      <c r="A805" s="172"/>
      <c r="B805" s="172"/>
      <c r="C805" s="172"/>
      <c r="D805" s="172"/>
      <c r="E805" s="172"/>
      <c r="F805" s="172"/>
      <c r="G805" s="172"/>
      <c r="H805" s="172"/>
      <c r="I805" s="172"/>
      <c r="J805" s="172"/>
      <c r="K805" s="172"/>
      <c r="L805" s="172"/>
      <c r="M805" s="172"/>
      <c r="N805" s="172"/>
      <c r="O805" s="172"/>
      <c r="P805" s="172"/>
      <c r="Q805" s="172"/>
      <c r="R805" s="172"/>
      <c r="S805" s="172"/>
      <c r="T805" s="172"/>
      <c r="U805" s="172"/>
      <c r="V805" s="172"/>
      <c r="W805" s="172"/>
      <c r="X805" s="172"/>
      <c r="Y805" s="172"/>
      <c r="Z805" s="172"/>
    </row>
    <row r="806" spans="1:26" ht="18.75">
      <c r="A806" s="172"/>
      <c r="B806" s="172"/>
      <c r="C806" s="172"/>
      <c r="D806" s="172"/>
      <c r="E806" s="172"/>
      <c r="F806" s="172"/>
      <c r="G806" s="172"/>
      <c r="H806" s="172"/>
      <c r="I806" s="172"/>
      <c r="J806" s="172"/>
      <c r="K806" s="172"/>
      <c r="L806" s="172"/>
      <c r="M806" s="172"/>
      <c r="N806" s="172"/>
      <c r="O806" s="172"/>
      <c r="P806" s="172"/>
      <c r="Q806" s="172"/>
      <c r="R806" s="172"/>
      <c r="S806" s="172"/>
      <c r="T806" s="172"/>
      <c r="U806" s="172"/>
      <c r="V806" s="172"/>
      <c r="W806" s="172"/>
      <c r="X806" s="172"/>
      <c r="Y806" s="172"/>
      <c r="Z806" s="172"/>
    </row>
    <row r="807" spans="1:26" ht="18.75">
      <c r="A807" s="172"/>
      <c r="B807" s="172"/>
      <c r="C807" s="172"/>
      <c r="D807" s="172"/>
      <c r="E807" s="172"/>
      <c r="F807" s="172"/>
      <c r="G807" s="172"/>
      <c r="H807" s="172"/>
      <c r="I807" s="172"/>
      <c r="J807" s="172"/>
      <c r="K807" s="172"/>
      <c r="L807" s="172"/>
      <c r="M807" s="172"/>
      <c r="N807" s="172"/>
      <c r="O807" s="172"/>
      <c r="P807" s="172"/>
      <c r="Q807" s="172"/>
      <c r="R807" s="172"/>
      <c r="S807" s="172"/>
      <c r="T807" s="172"/>
      <c r="U807" s="172"/>
      <c r="V807" s="172"/>
      <c r="W807" s="172"/>
      <c r="X807" s="172"/>
      <c r="Y807" s="172"/>
      <c r="Z807" s="172"/>
    </row>
    <row r="808" spans="1:26" ht="18.75">
      <c r="A808" s="172"/>
      <c r="B808" s="172"/>
      <c r="C808" s="172"/>
      <c r="D808" s="172"/>
      <c r="E808" s="172"/>
      <c r="F808" s="172"/>
      <c r="G808" s="172"/>
      <c r="H808" s="172"/>
      <c r="I808" s="172"/>
      <c r="J808" s="172"/>
      <c r="K808" s="172"/>
      <c r="L808" s="172"/>
      <c r="M808" s="172"/>
      <c r="N808" s="172"/>
      <c r="O808" s="172"/>
      <c r="P808" s="172"/>
      <c r="Q808" s="172"/>
      <c r="R808" s="172"/>
      <c r="S808" s="172"/>
      <c r="T808" s="172"/>
      <c r="U808" s="172"/>
      <c r="V808" s="172"/>
      <c r="W808" s="172"/>
      <c r="X808" s="172"/>
      <c r="Y808" s="172"/>
      <c r="Z808" s="172"/>
    </row>
    <row r="809" spans="1:26" ht="18.75">
      <c r="A809" s="172"/>
      <c r="B809" s="172"/>
      <c r="C809" s="172"/>
      <c r="D809" s="172"/>
      <c r="E809" s="172"/>
      <c r="F809" s="172"/>
      <c r="G809" s="172"/>
      <c r="H809" s="172"/>
      <c r="I809" s="172"/>
      <c r="J809" s="172"/>
      <c r="K809" s="172"/>
      <c r="L809" s="172"/>
      <c r="M809" s="172"/>
      <c r="N809" s="172"/>
      <c r="O809" s="172"/>
      <c r="P809" s="172"/>
      <c r="Q809" s="172"/>
      <c r="R809" s="172"/>
      <c r="S809" s="172"/>
      <c r="T809" s="172"/>
      <c r="U809" s="172"/>
      <c r="V809" s="172"/>
      <c r="W809" s="172"/>
      <c r="X809" s="172"/>
      <c r="Y809" s="172"/>
      <c r="Z809" s="172"/>
    </row>
    <row r="810" spans="1:26" ht="18.75">
      <c r="A810" s="172"/>
      <c r="B810" s="172"/>
      <c r="C810" s="172"/>
      <c r="D810" s="172"/>
      <c r="E810" s="172"/>
      <c r="F810" s="172"/>
      <c r="G810" s="172"/>
      <c r="H810" s="172"/>
      <c r="I810" s="172"/>
      <c r="J810" s="172"/>
      <c r="K810" s="172"/>
      <c r="L810" s="172"/>
      <c r="M810" s="172"/>
      <c r="N810" s="172"/>
      <c r="O810" s="172"/>
      <c r="P810" s="172"/>
      <c r="Q810" s="172"/>
      <c r="R810" s="172"/>
      <c r="S810" s="172"/>
      <c r="T810" s="172"/>
      <c r="U810" s="172"/>
      <c r="V810" s="172"/>
      <c r="W810" s="172"/>
      <c r="X810" s="172"/>
      <c r="Y810" s="172"/>
      <c r="Z810" s="172"/>
    </row>
    <row r="811" spans="1:26" ht="18.75">
      <c r="A811" s="172"/>
      <c r="B811" s="172"/>
      <c r="C811" s="172"/>
      <c r="D811" s="172"/>
      <c r="E811" s="172"/>
      <c r="F811" s="172"/>
      <c r="G811" s="172"/>
      <c r="H811" s="172"/>
      <c r="I811" s="172"/>
      <c r="J811" s="172"/>
      <c r="K811" s="172"/>
      <c r="L811" s="172"/>
      <c r="M811" s="172"/>
      <c r="N811" s="172"/>
      <c r="O811" s="172"/>
      <c r="P811" s="172"/>
      <c r="Q811" s="172"/>
      <c r="R811" s="172"/>
      <c r="S811" s="172"/>
      <c r="T811" s="172"/>
      <c r="U811" s="172"/>
      <c r="V811" s="172"/>
      <c r="W811" s="172"/>
      <c r="X811" s="172"/>
      <c r="Y811" s="172"/>
      <c r="Z811" s="172"/>
    </row>
    <row r="812" spans="1:26" ht="18.75">
      <c r="A812" s="172"/>
      <c r="B812" s="172"/>
      <c r="C812" s="172"/>
      <c r="D812" s="172"/>
      <c r="E812" s="172"/>
      <c r="F812" s="172"/>
      <c r="G812" s="172"/>
      <c r="H812" s="172"/>
      <c r="I812" s="172"/>
      <c r="J812" s="172"/>
      <c r="K812" s="172"/>
      <c r="L812" s="172"/>
      <c r="M812" s="172"/>
      <c r="N812" s="172"/>
      <c r="O812" s="172"/>
      <c r="P812" s="172"/>
      <c r="Q812" s="172"/>
      <c r="R812" s="172"/>
      <c r="S812" s="172"/>
      <c r="T812" s="172"/>
      <c r="U812" s="172"/>
      <c r="V812" s="172"/>
      <c r="W812" s="172"/>
      <c r="X812" s="172"/>
      <c r="Y812" s="172"/>
      <c r="Z812" s="172"/>
    </row>
    <row r="813" spans="1:26" ht="18.75">
      <c r="A813" s="172"/>
      <c r="B813" s="172"/>
      <c r="C813" s="172"/>
      <c r="D813" s="172"/>
      <c r="E813" s="172"/>
      <c r="F813" s="172"/>
      <c r="G813" s="172"/>
      <c r="H813" s="172"/>
      <c r="I813" s="172"/>
      <c r="J813" s="172"/>
      <c r="K813" s="172"/>
      <c r="L813" s="172"/>
      <c r="M813" s="172"/>
      <c r="N813" s="172"/>
      <c r="O813" s="172"/>
      <c r="P813" s="172"/>
      <c r="Q813" s="172"/>
      <c r="R813" s="172"/>
      <c r="S813" s="172"/>
      <c r="T813" s="172"/>
      <c r="U813" s="172"/>
      <c r="V813" s="172"/>
      <c r="W813" s="172"/>
      <c r="X813" s="172"/>
      <c r="Y813" s="172"/>
      <c r="Z813" s="172"/>
    </row>
    <row r="814" spans="1:26" ht="18.75">
      <c r="A814" s="172"/>
      <c r="B814" s="172"/>
      <c r="C814" s="172"/>
      <c r="D814" s="172"/>
      <c r="E814" s="172"/>
      <c r="F814" s="172"/>
      <c r="G814" s="172"/>
      <c r="H814" s="172"/>
      <c r="I814" s="172"/>
      <c r="J814" s="172"/>
      <c r="K814" s="172"/>
      <c r="L814" s="172"/>
      <c r="M814" s="172"/>
      <c r="N814" s="172"/>
      <c r="O814" s="172"/>
      <c r="P814" s="172"/>
      <c r="Q814" s="172"/>
      <c r="R814" s="172"/>
      <c r="S814" s="172"/>
      <c r="T814" s="172"/>
      <c r="U814" s="172"/>
      <c r="V814" s="172"/>
      <c r="W814" s="172"/>
      <c r="X814" s="172"/>
      <c r="Y814" s="172"/>
      <c r="Z814" s="172"/>
    </row>
    <row r="815" spans="1:26" ht="18.75">
      <c r="A815" s="172"/>
      <c r="B815" s="172"/>
      <c r="C815" s="172"/>
      <c r="D815" s="172"/>
      <c r="E815" s="172"/>
      <c r="F815" s="172"/>
      <c r="G815" s="172"/>
      <c r="H815" s="172"/>
      <c r="I815" s="172"/>
      <c r="J815" s="172"/>
      <c r="K815" s="172"/>
      <c r="L815" s="172"/>
      <c r="M815" s="172"/>
      <c r="N815" s="172"/>
      <c r="O815" s="172"/>
      <c r="P815" s="172"/>
      <c r="Q815" s="172"/>
      <c r="R815" s="172"/>
      <c r="S815" s="172"/>
      <c r="T815" s="172"/>
      <c r="U815" s="172"/>
      <c r="V815" s="172"/>
      <c r="W815" s="172"/>
      <c r="X815" s="172"/>
      <c r="Y815" s="172"/>
      <c r="Z815" s="172"/>
    </row>
    <row r="816" spans="1:26" ht="18.75">
      <c r="A816" s="172"/>
      <c r="B816" s="172"/>
      <c r="C816" s="172"/>
      <c r="D816" s="172"/>
      <c r="E816" s="172"/>
      <c r="F816" s="172"/>
      <c r="G816" s="172"/>
      <c r="H816" s="172"/>
      <c r="I816" s="172"/>
      <c r="J816" s="172"/>
      <c r="K816" s="172"/>
      <c r="L816" s="172"/>
      <c r="M816" s="172"/>
      <c r="N816" s="172"/>
      <c r="O816" s="172"/>
      <c r="P816" s="172"/>
      <c r="Q816" s="172"/>
      <c r="R816" s="172"/>
      <c r="S816" s="172"/>
      <c r="T816" s="172"/>
      <c r="U816" s="172"/>
      <c r="V816" s="172"/>
      <c r="W816" s="172"/>
      <c r="X816" s="172"/>
      <c r="Y816" s="172"/>
      <c r="Z816" s="172"/>
    </row>
    <row r="817" spans="1:26" ht="18.75">
      <c r="A817" s="172"/>
      <c r="B817" s="172"/>
      <c r="C817" s="172"/>
      <c r="D817" s="172"/>
      <c r="E817" s="172"/>
      <c r="F817" s="172"/>
      <c r="G817" s="172"/>
      <c r="H817" s="172"/>
      <c r="I817" s="172"/>
      <c r="J817" s="172"/>
      <c r="K817" s="172"/>
      <c r="L817" s="172"/>
      <c r="M817" s="172"/>
      <c r="N817" s="172"/>
      <c r="O817" s="172"/>
      <c r="P817" s="172"/>
      <c r="Q817" s="172"/>
      <c r="R817" s="172"/>
      <c r="S817" s="172"/>
      <c r="T817" s="172"/>
      <c r="U817" s="172"/>
      <c r="V817" s="172"/>
      <c r="W817" s="172"/>
      <c r="X817" s="172"/>
      <c r="Y817" s="172"/>
      <c r="Z817" s="172"/>
    </row>
    <row r="818" spans="1:26" ht="18.75">
      <c r="A818" s="172"/>
      <c r="B818" s="172"/>
      <c r="C818" s="172"/>
      <c r="D818" s="172"/>
      <c r="E818" s="172"/>
      <c r="F818" s="172"/>
      <c r="G818" s="172"/>
      <c r="H818" s="172"/>
      <c r="I818" s="172"/>
      <c r="J818" s="172"/>
      <c r="K818" s="172"/>
      <c r="L818" s="172"/>
      <c r="M818" s="172"/>
      <c r="N818" s="172"/>
      <c r="O818" s="172"/>
      <c r="P818" s="172"/>
      <c r="Q818" s="172"/>
      <c r="R818" s="172"/>
      <c r="S818" s="172"/>
      <c r="T818" s="172"/>
      <c r="U818" s="172"/>
      <c r="V818" s="172"/>
      <c r="W818" s="172"/>
      <c r="X818" s="172"/>
      <c r="Y818" s="172"/>
      <c r="Z818" s="172"/>
    </row>
    <row r="819" spans="1:26" ht="18.75">
      <c r="A819" s="172"/>
      <c r="B819" s="172"/>
      <c r="C819" s="172"/>
      <c r="D819" s="172"/>
      <c r="E819" s="172"/>
      <c r="F819" s="172"/>
      <c r="G819" s="172"/>
      <c r="H819" s="172"/>
      <c r="I819" s="172"/>
      <c r="J819" s="172"/>
      <c r="K819" s="172"/>
      <c r="L819" s="172"/>
      <c r="M819" s="172"/>
      <c r="N819" s="172"/>
      <c r="O819" s="172"/>
      <c r="P819" s="172"/>
      <c r="Q819" s="172"/>
      <c r="R819" s="172"/>
      <c r="S819" s="172"/>
      <c r="T819" s="172"/>
      <c r="U819" s="172"/>
      <c r="V819" s="172"/>
      <c r="W819" s="172"/>
      <c r="X819" s="172"/>
      <c r="Y819" s="172"/>
      <c r="Z819" s="172"/>
    </row>
    <row r="820" spans="1:26" ht="18.75">
      <c r="A820" s="172"/>
      <c r="B820" s="172"/>
      <c r="C820" s="172"/>
      <c r="D820" s="172"/>
      <c r="E820" s="172"/>
      <c r="F820" s="172"/>
      <c r="G820" s="172"/>
      <c r="H820" s="172"/>
      <c r="I820" s="172"/>
      <c r="J820" s="172"/>
      <c r="K820" s="172"/>
      <c r="L820" s="172"/>
      <c r="M820" s="172"/>
      <c r="N820" s="172"/>
      <c r="O820" s="172"/>
      <c r="P820" s="172"/>
      <c r="Q820" s="172"/>
      <c r="R820" s="172"/>
      <c r="S820" s="172"/>
      <c r="T820" s="172"/>
      <c r="U820" s="172"/>
      <c r="V820" s="172"/>
      <c r="W820" s="172"/>
      <c r="X820" s="172"/>
      <c r="Y820" s="172"/>
      <c r="Z820" s="172"/>
    </row>
    <row r="821" spans="1:26" ht="18.75">
      <c r="A821" s="172"/>
      <c r="B821" s="172"/>
      <c r="C821" s="172"/>
      <c r="D821" s="172"/>
      <c r="E821" s="172"/>
      <c r="F821" s="172"/>
      <c r="G821" s="172"/>
      <c r="H821" s="172"/>
      <c r="I821" s="172"/>
      <c r="J821" s="172"/>
      <c r="K821" s="172"/>
      <c r="L821" s="172"/>
      <c r="M821" s="172"/>
      <c r="N821" s="172"/>
      <c r="O821" s="172"/>
      <c r="P821" s="172"/>
      <c r="Q821" s="172"/>
      <c r="R821" s="172"/>
      <c r="S821" s="172"/>
      <c r="T821" s="172"/>
      <c r="U821" s="172"/>
      <c r="V821" s="172"/>
      <c r="W821" s="172"/>
      <c r="X821" s="172"/>
      <c r="Y821" s="172"/>
      <c r="Z821" s="172"/>
    </row>
    <row r="822" spans="1:26" ht="18.75">
      <c r="A822" s="172"/>
      <c r="B822" s="172"/>
      <c r="C822" s="172"/>
      <c r="D822" s="172"/>
      <c r="E822" s="172"/>
      <c r="F822" s="172"/>
      <c r="G822" s="172"/>
      <c r="H822" s="172"/>
      <c r="I822" s="172"/>
      <c r="J822" s="172"/>
      <c r="K822" s="172"/>
      <c r="L822" s="172"/>
      <c r="M822" s="172"/>
      <c r="N822" s="172"/>
      <c r="O822" s="172"/>
      <c r="P822" s="172"/>
      <c r="Q822" s="172"/>
      <c r="R822" s="172"/>
      <c r="S822" s="172"/>
      <c r="T822" s="172"/>
      <c r="U822" s="172"/>
      <c r="V822" s="172"/>
      <c r="W822" s="172"/>
      <c r="X822" s="172"/>
      <c r="Y822" s="172"/>
      <c r="Z822" s="172"/>
    </row>
    <row r="823" spans="1:26" ht="18.75">
      <c r="A823" s="172"/>
      <c r="B823" s="172"/>
      <c r="C823" s="172"/>
      <c r="D823" s="172"/>
      <c r="E823" s="172"/>
      <c r="F823" s="172"/>
      <c r="G823" s="172"/>
      <c r="H823" s="172"/>
      <c r="I823" s="172"/>
      <c r="J823" s="172"/>
      <c r="K823" s="172"/>
      <c r="L823" s="172"/>
      <c r="M823" s="172"/>
      <c r="N823" s="172"/>
      <c r="O823" s="172"/>
      <c r="P823" s="172"/>
      <c r="Q823" s="172"/>
      <c r="R823" s="172"/>
      <c r="S823" s="172"/>
      <c r="T823" s="172"/>
      <c r="U823" s="172"/>
      <c r="V823" s="172"/>
      <c r="W823" s="172"/>
      <c r="X823" s="172"/>
      <c r="Y823" s="172"/>
      <c r="Z823" s="172"/>
    </row>
    <row r="824" spans="1:26" ht="18.75">
      <c r="A824" s="172"/>
      <c r="B824" s="172"/>
      <c r="C824" s="172"/>
      <c r="D824" s="172"/>
      <c r="E824" s="172"/>
      <c r="F824" s="172"/>
      <c r="G824" s="172"/>
      <c r="H824" s="172"/>
      <c r="I824" s="172"/>
      <c r="J824" s="172"/>
      <c r="K824" s="172"/>
      <c r="L824" s="172"/>
      <c r="M824" s="172"/>
      <c r="N824" s="172"/>
      <c r="O824" s="172"/>
      <c r="P824" s="172"/>
      <c r="Q824" s="172"/>
      <c r="R824" s="172"/>
      <c r="S824" s="172"/>
      <c r="T824" s="172"/>
      <c r="U824" s="172"/>
      <c r="V824" s="172"/>
      <c r="W824" s="172"/>
      <c r="X824" s="172"/>
      <c r="Y824" s="172"/>
      <c r="Z824" s="172"/>
    </row>
    <row r="825" spans="1:26" ht="18.75">
      <c r="A825" s="172"/>
      <c r="B825" s="172"/>
      <c r="C825" s="172"/>
      <c r="D825" s="172"/>
      <c r="E825" s="172"/>
      <c r="F825" s="172"/>
      <c r="G825" s="172"/>
      <c r="H825" s="172"/>
      <c r="I825" s="172"/>
      <c r="J825" s="172"/>
      <c r="K825" s="172"/>
      <c r="L825" s="172"/>
      <c r="M825" s="172"/>
      <c r="N825" s="172"/>
      <c r="O825" s="172"/>
      <c r="P825" s="172"/>
      <c r="Q825" s="172"/>
      <c r="R825" s="172"/>
      <c r="S825" s="172"/>
      <c r="T825" s="172"/>
      <c r="U825" s="172"/>
      <c r="V825" s="172"/>
      <c r="W825" s="172"/>
      <c r="X825" s="172"/>
      <c r="Y825" s="172"/>
      <c r="Z825" s="172"/>
    </row>
    <row r="826" spans="1:26" ht="18.75">
      <c r="A826" s="172"/>
      <c r="B826" s="172"/>
      <c r="C826" s="172"/>
      <c r="D826" s="172"/>
      <c r="E826" s="172"/>
      <c r="F826" s="172"/>
      <c r="G826" s="172"/>
      <c r="H826" s="172"/>
      <c r="I826" s="172"/>
      <c r="J826" s="172"/>
      <c r="K826" s="172"/>
      <c r="L826" s="172"/>
      <c r="M826" s="172"/>
      <c r="N826" s="172"/>
      <c r="O826" s="172"/>
      <c r="P826" s="172"/>
      <c r="Q826" s="172"/>
      <c r="R826" s="172"/>
      <c r="S826" s="172"/>
      <c r="T826" s="172"/>
      <c r="U826" s="172"/>
      <c r="V826" s="172"/>
      <c r="W826" s="172"/>
      <c r="X826" s="172"/>
      <c r="Y826" s="172"/>
      <c r="Z826" s="172"/>
    </row>
    <row r="827" spans="1:26" ht="18.75">
      <c r="A827" s="172"/>
      <c r="B827" s="172"/>
      <c r="C827" s="172"/>
      <c r="D827" s="172"/>
      <c r="E827" s="172"/>
      <c r="F827" s="172"/>
      <c r="G827" s="172"/>
      <c r="H827" s="172"/>
      <c r="I827" s="172"/>
      <c r="J827" s="172"/>
      <c r="K827" s="172"/>
      <c r="L827" s="172"/>
      <c r="M827" s="172"/>
      <c r="N827" s="172"/>
      <c r="O827" s="172"/>
      <c r="P827" s="172"/>
      <c r="Q827" s="172"/>
      <c r="R827" s="172"/>
      <c r="S827" s="172"/>
      <c r="T827" s="172"/>
      <c r="U827" s="172"/>
      <c r="V827" s="172"/>
      <c r="W827" s="172"/>
      <c r="X827" s="172"/>
      <c r="Y827" s="172"/>
      <c r="Z827" s="172"/>
    </row>
    <row r="828" spans="1:26" ht="18.75">
      <c r="A828" s="172"/>
      <c r="B828" s="172"/>
      <c r="C828" s="172"/>
      <c r="D828" s="172"/>
      <c r="E828" s="172"/>
      <c r="F828" s="172"/>
      <c r="G828" s="172"/>
      <c r="H828" s="172"/>
      <c r="I828" s="172"/>
      <c r="J828" s="172"/>
      <c r="K828" s="172"/>
      <c r="L828" s="172"/>
      <c r="M828" s="172"/>
      <c r="N828" s="172"/>
      <c r="O828" s="172"/>
      <c r="P828" s="172"/>
      <c r="Q828" s="172"/>
      <c r="R828" s="172"/>
      <c r="S828" s="172"/>
      <c r="T828" s="172"/>
      <c r="U828" s="172"/>
      <c r="V828" s="172"/>
      <c r="W828" s="172"/>
      <c r="X828" s="172"/>
      <c r="Y828" s="172"/>
      <c r="Z828" s="172"/>
    </row>
    <row r="829" spans="1:26" ht="18.75">
      <c r="A829" s="172"/>
      <c r="B829" s="172"/>
      <c r="C829" s="172"/>
      <c r="D829" s="172"/>
      <c r="E829" s="172"/>
      <c r="F829" s="172"/>
      <c r="G829" s="172"/>
      <c r="H829" s="172"/>
      <c r="I829" s="172"/>
      <c r="J829" s="172"/>
      <c r="K829" s="172"/>
      <c r="L829" s="172"/>
      <c r="M829" s="172"/>
      <c r="N829" s="172"/>
      <c r="O829" s="172"/>
      <c r="P829" s="172"/>
      <c r="Q829" s="172"/>
      <c r="R829" s="172"/>
      <c r="S829" s="172"/>
      <c r="T829" s="172"/>
      <c r="U829" s="172"/>
      <c r="V829" s="172"/>
      <c r="W829" s="172"/>
      <c r="X829" s="172"/>
      <c r="Y829" s="172"/>
      <c r="Z829" s="172"/>
    </row>
    <row r="830" spans="1:26" ht="18.75">
      <c r="A830" s="172"/>
      <c r="B830" s="172"/>
      <c r="C830" s="172"/>
      <c r="D830" s="172"/>
      <c r="E830" s="172"/>
      <c r="F830" s="172"/>
      <c r="G830" s="172"/>
      <c r="H830" s="172"/>
      <c r="I830" s="172"/>
      <c r="J830" s="172"/>
      <c r="K830" s="172"/>
      <c r="L830" s="172"/>
      <c r="M830" s="172"/>
      <c r="N830" s="172"/>
      <c r="O830" s="172"/>
      <c r="P830" s="172"/>
      <c r="Q830" s="172"/>
      <c r="R830" s="172"/>
      <c r="S830" s="172"/>
      <c r="T830" s="172"/>
      <c r="U830" s="172"/>
      <c r="V830" s="172"/>
      <c r="W830" s="172"/>
      <c r="X830" s="172"/>
      <c r="Y830" s="172"/>
      <c r="Z830" s="172"/>
    </row>
    <row r="831" spans="1:26" ht="18.75">
      <c r="A831" s="172"/>
      <c r="B831" s="172"/>
      <c r="C831" s="172"/>
      <c r="D831" s="172"/>
      <c r="E831" s="172"/>
      <c r="F831" s="172"/>
      <c r="G831" s="172"/>
      <c r="H831" s="172"/>
      <c r="I831" s="172"/>
      <c r="J831" s="172"/>
      <c r="K831" s="172"/>
      <c r="L831" s="172"/>
      <c r="M831" s="172"/>
      <c r="N831" s="172"/>
      <c r="O831" s="172"/>
      <c r="P831" s="172"/>
      <c r="Q831" s="172"/>
      <c r="R831" s="172"/>
      <c r="S831" s="172"/>
      <c r="T831" s="172"/>
      <c r="U831" s="172"/>
      <c r="V831" s="172"/>
      <c r="W831" s="172"/>
      <c r="X831" s="172"/>
      <c r="Y831" s="172"/>
      <c r="Z831" s="172"/>
    </row>
    <row r="832" spans="1:26" ht="18.75">
      <c r="A832" s="172"/>
      <c r="B832" s="172"/>
      <c r="C832" s="172"/>
      <c r="D832" s="172"/>
      <c r="E832" s="172"/>
      <c r="F832" s="172"/>
      <c r="G832" s="172"/>
      <c r="H832" s="172"/>
      <c r="I832" s="172"/>
      <c r="J832" s="172"/>
      <c r="K832" s="172"/>
      <c r="L832" s="172"/>
      <c r="M832" s="172"/>
      <c r="N832" s="172"/>
      <c r="O832" s="172"/>
      <c r="P832" s="172"/>
      <c r="Q832" s="172"/>
      <c r="R832" s="172"/>
      <c r="S832" s="172"/>
      <c r="T832" s="172"/>
      <c r="U832" s="172"/>
      <c r="V832" s="172"/>
      <c r="W832" s="172"/>
      <c r="X832" s="172"/>
      <c r="Y832" s="172"/>
      <c r="Z832" s="172"/>
    </row>
    <row r="833" spans="1:26" ht="18.75">
      <c r="A833" s="172"/>
      <c r="B833" s="172"/>
      <c r="C833" s="172"/>
      <c r="D833" s="172"/>
      <c r="E833" s="172"/>
      <c r="F833" s="172"/>
      <c r="G833" s="172"/>
      <c r="H833" s="172"/>
      <c r="I833" s="172"/>
      <c r="J833" s="172"/>
      <c r="K833" s="172"/>
      <c r="L833" s="172"/>
      <c r="M833" s="172"/>
      <c r="N833" s="172"/>
      <c r="O833" s="172"/>
      <c r="P833" s="172"/>
      <c r="Q833" s="172"/>
      <c r="R833" s="172"/>
      <c r="S833" s="172"/>
      <c r="T833" s="172"/>
      <c r="U833" s="172"/>
      <c r="V833" s="172"/>
      <c r="W833" s="172"/>
      <c r="X833" s="172"/>
      <c r="Y833" s="172"/>
      <c r="Z833" s="172"/>
    </row>
    <row r="834" spans="1:26" ht="18.75">
      <c r="A834" s="172"/>
      <c r="B834" s="172"/>
      <c r="C834" s="172"/>
      <c r="D834" s="172"/>
      <c r="E834" s="172"/>
      <c r="F834" s="172"/>
      <c r="G834" s="172"/>
      <c r="H834" s="172"/>
      <c r="I834" s="172"/>
      <c r="J834" s="172"/>
      <c r="K834" s="172"/>
      <c r="L834" s="172"/>
      <c r="M834" s="172"/>
      <c r="N834" s="172"/>
      <c r="O834" s="172"/>
      <c r="P834" s="172"/>
      <c r="Q834" s="172"/>
      <c r="R834" s="172"/>
      <c r="S834" s="172"/>
      <c r="T834" s="172"/>
      <c r="U834" s="172"/>
      <c r="V834" s="172"/>
      <c r="W834" s="172"/>
      <c r="X834" s="172"/>
      <c r="Y834" s="172"/>
      <c r="Z834" s="172"/>
    </row>
    <row r="835" spans="1:26" ht="18.75">
      <c r="A835" s="172"/>
      <c r="B835" s="172"/>
      <c r="C835" s="172"/>
      <c r="D835" s="172"/>
      <c r="E835" s="172"/>
      <c r="F835" s="172"/>
      <c r="G835" s="172"/>
      <c r="H835" s="172"/>
      <c r="I835" s="172"/>
      <c r="J835" s="172"/>
      <c r="K835" s="172"/>
      <c r="L835" s="172"/>
      <c r="M835" s="172"/>
      <c r="N835" s="172"/>
      <c r="O835" s="172"/>
      <c r="P835" s="172"/>
      <c r="Q835" s="172"/>
      <c r="R835" s="172"/>
      <c r="S835" s="172"/>
      <c r="T835" s="172"/>
      <c r="U835" s="172"/>
      <c r="V835" s="172"/>
      <c r="W835" s="172"/>
      <c r="X835" s="172"/>
      <c r="Y835" s="172"/>
      <c r="Z835" s="172"/>
    </row>
    <row r="836" spans="1:26" ht="18.75">
      <c r="A836" s="172"/>
      <c r="B836" s="172"/>
      <c r="C836" s="172"/>
      <c r="D836" s="172"/>
      <c r="E836" s="172"/>
      <c r="F836" s="172"/>
      <c r="G836" s="172"/>
      <c r="H836" s="172"/>
      <c r="I836" s="172"/>
      <c r="J836" s="172"/>
      <c r="K836" s="172"/>
      <c r="L836" s="172"/>
      <c r="M836" s="172"/>
      <c r="N836" s="172"/>
      <c r="O836" s="172"/>
      <c r="P836" s="172"/>
      <c r="Q836" s="172"/>
      <c r="R836" s="172"/>
      <c r="S836" s="172"/>
      <c r="T836" s="172"/>
      <c r="U836" s="172"/>
      <c r="V836" s="172"/>
      <c r="W836" s="172"/>
      <c r="X836" s="172"/>
      <c r="Y836" s="172"/>
      <c r="Z836" s="172"/>
    </row>
    <row r="837" spans="1:26" ht="18.75">
      <c r="A837" s="172"/>
      <c r="B837" s="172"/>
      <c r="C837" s="172"/>
      <c r="D837" s="172"/>
      <c r="E837" s="172"/>
      <c r="F837" s="172"/>
      <c r="G837" s="172"/>
      <c r="H837" s="172"/>
      <c r="I837" s="172"/>
      <c r="J837" s="172"/>
      <c r="K837" s="172"/>
      <c r="L837" s="172"/>
      <c r="M837" s="172"/>
      <c r="N837" s="172"/>
      <c r="O837" s="172"/>
      <c r="P837" s="172"/>
      <c r="Q837" s="172"/>
      <c r="R837" s="172"/>
      <c r="S837" s="172"/>
      <c r="T837" s="172"/>
      <c r="U837" s="172"/>
      <c r="V837" s="172"/>
      <c r="W837" s="172"/>
      <c r="X837" s="172"/>
      <c r="Y837" s="172"/>
      <c r="Z837" s="172"/>
    </row>
    <row r="838" spans="1:26" ht="18.75">
      <c r="A838" s="172"/>
      <c r="B838" s="172"/>
      <c r="C838" s="172"/>
      <c r="D838" s="172"/>
      <c r="E838" s="172"/>
      <c r="F838" s="172"/>
      <c r="G838" s="172"/>
      <c r="H838" s="172"/>
      <c r="I838" s="172"/>
      <c r="J838" s="172"/>
      <c r="K838" s="172"/>
      <c r="L838" s="172"/>
      <c r="M838" s="172"/>
      <c r="N838" s="172"/>
      <c r="O838" s="172"/>
      <c r="P838" s="172"/>
      <c r="Q838" s="172"/>
      <c r="R838" s="172"/>
      <c r="S838" s="172"/>
      <c r="T838" s="172"/>
      <c r="U838" s="172"/>
      <c r="V838" s="172"/>
      <c r="W838" s="172"/>
      <c r="X838" s="172"/>
      <c r="Y838" s="172"/>
      <c r="Z838" s="172"/>
    </row>
    <row r="839" spans="1:26" ht="18.75">
      <c r="A839" s="172"/>
      <c r="B839" s="172"/>
      <c r="C839" s="172"/>
      <c r="D839" s="172"/>
      <c r="E839" s="172"/>
      <c r="F839" s="172"/>
      <c r="G839" s="172"/>
      <c r="H839" s="172"/>
      <c r="I839" s="172"/>
      <c r="J839" s="172"/>
      <c r="K839" s="172"/>
      <c r="L839" s="172"/>
      <c r="M839" s="172"/>
      <c r="N839" s="172"/>
      <c r="O839" s="172"/>
      <c r="P839" s="172"/>
      <c r="Q839" s="172"/>
      <c r="R839" s="172"/>
      <c r="S839" s="172"/>
      <c r="T839" s="172"/>
      <c r="U839" s="172"/>
      <c r="V839" s="172"/>
      <c r="W839" s="172"/>
      <c r="X839" s="172"/>
      <c r="Y839" s="172"/>
      <c r="Z839" s="172"/>
    </row>
    <row r="840" spans="1:26" ht="18.75">
      <c r="A840" s="172"/>
      <c r="B840" s="172"/>
      <c r="C840" s="172"/>
      <c r="D840" s="172"/>
      <c r="E840" s="172"/>
      <c r="F840" s="172"/>
      <c r="G840" s="172"/>
      <c r="H840" s="172"/>
      <c r="I840" s="172"/>
      <c r="J840" s="172"/>
      <c r="K840" s="172"/>
      <c r="L840" s="172"/>
      <c r="M840" s="172"/>
      <c r="N840" s="172"/>
      <c r="O840" s="172"/>
      <c r="P840" s="172"/>
      <c r="Q840" s="172"/>
      <c r="R840" s="172"/>
      <c r="S840" s="172"/>
      <c r="T840" s="172"/>
      <c r="U840" s="172"/>
      <c r="V840" s="172"/>
      <c r="W840" s="172"/>
      <c r="X840" s="172"/>
      <c r="Y840" s="172"/>
      <c r="Z840" s="172"/>
    </row>
    <row r="841" spans="1:26" ht="18.75">
      <c r="A841" s="172"/>
      <c r="B841" s="172"/>
      <c r="C841" s="172"/>
      <c r="D841" s="172"/>
      <c r="E841" s="172"/>
      <c r="F841" s="172"/>
      <c r="G841" s="172"/>
      <c r="H841" s="172"/>
      <c r="I841" s="172"/>
      <c r="J841" s="172"/>
      <c r="K841" s="172"/>
      <c r="L841" s="172"/>
      <c r="M841" s="172"/>
      <c r="N841" s="172"/>
      <c r="O841" s="172"/>
      <c r="P841" s="172"/>
      <c r="Q841" s="172"/>
      <c r="R841" s="172"/>
      <c r="S841" s="172"/>
      <c r="T841" s="172"/>
      <c r="U841" s="172"/>
      <c r="V841" s="172"/>
      <c r="W841" s="172"/>
      <c r="X841" s="172"/>
      <c r="Y841" s="172"/>
      <c r="Z841" s="172"/>
    </row>
    <row r="842" spans="1:26" ht="18.75">
      <c r="A842" s="172"/>
      <c r="B842" s="172"/>
      <c r="C842" s="172"/>
      <c r="D842" s="172"/>
      <c r="E842" s="172"/>
      <c r="F842" s="172"/>
      <c r="G842" s="172"/>
      <c r="H842" s="172"/>
      <c r="I842" s="172"/>
      <c r="J842" s="172"/>
      <c r="K842" s="172"/>
      <c r="L842" s="172"/>
      <c r="M842" s="172"/>
      <c r="N842" s="172"/>
      <c r="O842" s="172"/>
      <c r="P842" s="172"/>
      <c r="Q842" s="172"/>
      <c r="R842" s="172"/>
      <c r="S842" s="172"/>
      <c r="T842" s="172"/>
      <c r="U842" s="172"/>
      <c r="V842" s="172"/>
      <c r="W842" s="172"/>
      <c r="X842" s="172"/>
      <c r="Y842" s="172"/>
      <c r="Z842" s="172"/>
    </row>
    <row r="843" spans="1:26" ht="18.75">
      <c r="A843" s="172"/>
      <c r="B843" s="172"/>
      <c r="C843" s="172"/>
      <c r="D843" s="172"/>
      <c r="E843" s="172"/>
      <c r="F843" s="172"/>
      <c r="G843" s="172"/>
      <c r="H843" s="172"/>
      <c r="I843" s="172"/>
      <c r="J843" s="172"/>
      <c r="K843" s="172"/>
      <c r="L843" s="172"/>
      <c r="M843" s="172"/>
      <c r="N843" s="172"/>
      <c r="O843" s="172"/>
      <c r="P843" s="172"/>
      <c r="Q843" s="172"/>
      <c r="R843" s="172"/>
      <c r="S843" s="172"/>
      <c r="T843" s="172"/>
      <c r="U843" s="172"/>
      <c r="V843" s="172"/>
      <c r="W843" s="172"/>
      <c r="X843" s="172"/>
      <c r="Y843" s="172"/>
      <c r="Z843" s="172"/>
    </row>
    <row r="844" spans="1:26" ht="18.75">
      <c r="A844" s="172"/>
      <c r="B844" s="172"/>
      <c r="C844" s="172"/>
      <c r="D844" s="172"/>
      <c r="E844" s="172"/>
      <c r="F844" s="172"/>
      <c r="G844" s="172"/>
      <c r="H844" s="172"/>
      <c r="I844" s="172"/>
      <c r="J844" s="172"/>
      <c r="K844" s="172"/>
      <c r="L844" s="172"/>
      <c r="M844" s="172"/>
      <c r="N844" s="172"/>
      <c r="O844" s="172"/>
      <c r="P844" s="172"/>
      <c r="Q844" s="172"/>
      <c r="R844" s="172"/>
      <c r="S844" s="172"/>
      <c r="T844" s="172"/>
      <c r="U844" s="172"/>
      <c r="V844" s="172"/>
      <c r="W844" s="172"/>
      <c r="X844" s="172"/>
      <c r="Y844" s="172"/>
      <c r="Z844" s="172"/>
    </row>
    <row r="845" spans="1:26" ht="18.75">
      <c r="A845" s="172"/>
      <c r="B845" s="172"/>
      <c r="C845" s="172"/>
      <c r="D845" s="172"/>
      <c r="E845" s="172"/>
      <c r="F845" s="172"/>
      <c r="G845" s="172"/>
      <c r="H845" s="172"/>
      <c r="I845" s="172"/>
      <c r="J845" s="172"/>
      <c r="K845" s="172"/>
      <c r="L845" s="172"/>
      <c r="M845" s="172"/>
      <c r="N845" s="172"/>
      <c r="O845" s="172"/>
      <c r="P845" s="172"/>
      <c r="Q845" s="172"/>
      <c r="R845" s="172"/>
      <c r="S845" s="172"/>
      <c r="T845" s="172"/>
      <c r="U845" s="172"/>
      <c r="V845" s="172"/>
      <c r="W845" s="172"/>
      <c r="X845" s="172"/>
      <c r="Y845" s="172"/>
      <c r="Z845" s="172"/>
    </row>
    <row r="846" spans="1:26" ht="18.75">
      <c r="A846" s="172"/>
      <c r="B846" s="172"/>
      <c r="C846" s="172"/>
      <c r="D846" s="172"/>
      <c r="E846" s="172"/>
      <c r="F846" s="172"/>
      <c r="G846" s="172"/>
      <c r="H846" s="172"/>
      <c r="I846" s="172"/>
      <c r="J846" s="172"/>
      <c r="K846" s="172"/>
      <c r="L846" s="172"/>
      <c r="M846" s="172"/>
      <c r="N846" s="172"/>
      <c r="O846" s="172"/>
      <c r="P846" s="172"/>
      <c r="Q846" s="172"/>
      <c r="R846" s="172"/>
      <c r="S846" s="172"/>
      <c r="T846" s="172"/>
      <c r="U846" s="172"/>
      <c r="V846" s="172"/>
      <c r="W846" s="172"/>
      <c r="X846" s="172"/>
      <c r="Y846" s="172"/>
      <c r="Z846" s="172"/>
    </row>
    <row r="847" spans="1:26" ht="18.75">
      <c r="A847" s="172"/>
      <c r="B847" s="172"/>
      <c r="C847" s="172"/>
      <c r="D847" s="172"/>
      <c r="E847" s="172"/>
      <c r="F847" s="172"/>
      <c r="G847" s="172"/>
      <c r="H847" s="172"/>
      <c r="I847" s="172"/>
      <c r="J847" s="172"/>
      <c r="K847" s="172"/>
      <c r="L847" s="172"/>
      <c r="M847" s="172"/>
      <c r="N847" s="172"/>
      <c r="O847" s="172"/>
      <c r="P847" s="172"/>
      <c r="Q847" s="172"/>
      <c r="R847" s="172"/>
      <c r="S847" s="172"/>
      <c r="T847" s="172"/>
      <c r="U847" s="172"/>
      <c r="V847" s="172"/>
      <c r="W847" s="172"/>
      <c r="X847" s="172"/>
      <c r="Y847" s="172"/>
      <c r="Z847" s="172"/>
    </row>
    <row r="848" spans="1:26" ht="18.75">
      <c r="A848" s="172"/>
      <c r="B848" s="172"/>
      <c r="C848" s="172"/>
      <c r="D848" s="172"/>
      <c r="E848" s="172"/>
      <c r="F848" s="172"/>
      <c r="G848" s="172"/>
      <c r="H848" s="172"/>
      <c r="I848" s="172"/>
      <c r="J848" s="172"/>
      <c r="K848" s="172"/>
      <c r="L848" s="172"/>
      <c r="M848" s="172"/>
      <c r="N848" s="172"/>
      <c r="O848" s="172"/>
      <c r="P848" s="172"/>
      <c r="Q848" s="172"/>
      <c r="R848" s="172"/>
      <c r="S848" s="172"/>
      <c r="T848" s="172"/>
      <c r="U848" s="172"/>
      <c r="V848" s="172"/>
      <c r="W848" s="172"/>
      <c r="X848" s="172"/>
      <c r="Y848" s="172"/>
      <c r="Z848" s="172"/>
    </row>
    <row r="849" spans="1:26" ht="18.75">
      <c r="A849" s="172"/>
      <c r="B849" s="172"/>
      <c r="C849" s="172"/>
      <c r="D849" s="172"/>
      <c r="E849" s="172"/>
      <c r="F849" s="172"/>
      <c r="G849" s="172"/>
      <c r="H849" s="172"/>
      <c r="I849" s="172"/>
      <c r="J849" s="172"/>
      <c r="K849" s="172"/>
      <c r="L849" s="172"/>
      <c r="M849" s="172"/>
      <c r="N849" s="172"/>
      <c r="O849" s="172"/>
      <c r="P849" s="172"/>
      <c r="Q849" s="172"/>
      <c r="R849" s="172"/>
      <c r="S849" s="172"/>
      <c r="T849" s="172"/>
      <c r="U849" s="172"/>
      <c r="V849" s="172"/>
      <c r="W849" s="172"/>
      <c r="X849" s="172"/>
      <c r="Y849" s="172"/>
      <c r="Z849" s="172"/>
    </row>
    <row r="850" spans="1:26" ht="18.75">
      <c r="A850" s="172"/>
      <c r="B850" s="172"/>
      <c r="C850" s="172"/>
      <c r="D850" s="172"/>
      <c r="E850" s="172"/>
      <c r="F850" s="172"/>
      <c r="G850" s="172"/>
      <c r="H850" s="172"/>
      <c r="I850" s="172"/>
      <c r="J850" s="172"/>
      <c r="K850" s="172"/>
      <c r="L850" s="172"/>
      <c r="M850" s="172"/>
      <c r="N850" s="172"/>
      <c r="O850" s="172"/>
      <c r="P850" s="172"/>
      <c r="Q850" s="172"/>
      <c r="R850" s="172"/>
      <c r="S850" s="172"/>
      <c r="T850" s="172"/>
      <c r="U850" s="172"/>
      <c r="V850" s="172"/>
      <c r="W850" s="172"/>
      <c r="X850" s="172"/>
      <c r="Y850" s="172"/>
      <c r="Z850" s="172"/>
    </row>
    <row r="851" spans="1:26" ht="18.75">
      <c r="A851" s="172"/>
      <c r="B851" s="172"/>
      <c r="C851" s="172"/>
      <c r="D851" s="172"/>
      <c r="E851" s="172"/>
      <c r="F851" s="172"/>
      <c r="G851" s="172"/>
      <c r="H851" s="172"/>
      <c r="I851" s="172"/>
      <c r="J851" s="172"/>
      <c r="K851" s="172"/>
      <c r="L851" s="172"/>
      <c r="M851" s="172"/>
      <c r="N851" s="172"/>
      <c r="O851" s="172"/>
      <c r="P851" s="172"/>
      <c r="Q851" s="172"/>
      <c r="R851" s="172"/>
      <c r="S851" s="172"/>
      <c r="T851" s="172"/>
      <c r="U851" s="172"/>
      <c r="V851" s="172"/>
      <c r="W851" s="172"/>
      <c r="X851" s="172"/>
      <c r="Y851" s="172"/>
      <c r="Z851" s="172"/>
    </row>
    <row r="852" spans="1:26" ht="18.75">
      <c r="A852" s="172"/>
      <c r="B852" s="172"/>
      <c r="C852" s="172"/>
      <c r="D852" s="172"/>
      <c r="E852" s="172"/>
      <c r="F852" s="172"/>
      <c r="G852" s="172"/>
      <c r="H852" s="172"/>
      <c r="I852" s="172"/>
      <c r="J852" s="172"/>
      <c r="K852" s="172"/>
      <c r="L852" s="172"/>
      <c r="M852" s="172"/>
      <c r="N852" s="172"/>
      <c r="O852" s="172"/>
      <c r="P852" s="172"/>
      <c r="Q852" s="172"/>
      <c r="R852" s="172"/>
      <c r="S852" s="172"/>
      <c r="T852" s="172"/>
      <c r="U852" s="172"/>
      <c r="V852" s="172"/>
      <c r="W852" s="172"/>
      <c r="X852" s="172"/>
      <c r="Y852" s="172"/>
      <c r="Z852" s="172"/>
    </row>
    <row r="853" spans="1:26" ht="18.75">
      <c r="A853" s="172"/>
      <c r="B853" s="172"/>
      <c r="C853" s="172"/>
      <c r="D853" s="172"/>
      <c r="E853" s="172"/>
      <c r="F853" s="172"/>
      <c r="G853" s="172"/>
      <c r="H853" s="172"/>
      <c r="I853" s="172"/>
      <c r="J853" s="172"/>
      <c r="K853" s="172"/>
      <c r="L853" s="172"/>
      <c r="M853" s="172"/>
      <c r="N853" s="172"/>
      <c r="O853" s="172"/>
      <c r="P853" s="172"/>
      <c r="Q853" s="172"/>
      <c r="R853" s="172"/>
      <c r="S853" s="172"/>
      <c r="T853" s="172"/>
      <c r="U853" s="172"/>
      <c r="V853" s="172"/>
      <c r="W853" s="172"/>
      <c r="X853" s="172"/>
      <c r="Y853" s="172"/>
      <c r="Z853" s="172"/>
    </row>
    <row r="854" spans="1:26" ht="18.75">
      <c r="A854" s="172"/>
      <c r="B854" s="172"/>
      <c r="C854" s="172"/>
      <c r="D854" s="172"/>
      <c r="E854" s="172"/>
      <c r="F854" s="172"/>
      <c r="G854" s="172"/>
      <c r="H854" s="172"/>
      <c r="I854" s="172"/>
      <c r="J854" s="172"/>
      <c r="K854" s="172"/>
      <c r="L854" s="172"/>
      <c r="M854" s="172"/>
      <c r="N854" s="172"/>
      <c r="O854" s="172"/>
      <c r="P854" s="172"/>
      <c r="Q854" s="172"/>
      <c r="R854" s="172"/>
      <c r="S854" s="172"/>
      <c r="T854" s="172"/>
      <c r="U854" s="172"/>
      <c r="V854" s="172"/>
      <c r="W854" s="172"/>
      <c r="X854" s="172"/>
      <c r="Y854" s="172"/>
      <c r="Z854" s="172"/>
    </row>
    <row r="855" spans="1:26" ht="18.75">
      <c r="A855" s="172"/>
      <c r="B855" s="172"/>
      <c r="C855" s="172"/>
      <c r="D855" s="172"/>
      <c r="E855" s="172"/>
      <c r="F855" s="172"/>
      <c r="G855" s="172"/>
      <c r="H855" s="172"/>
      <c r="I855" s="172"/>
      <c r="J855" s="172"/>
      <c r="K855" s="172"/>
      <c r="L855" s="172"/>
      <c r="M855" s="172"/>
      <c r="N855" s="172"/>
      <c r="O855" s="172"/>
      <c r="P855" s="172"/>
      <c r="Q855" s="172"/>
      <c r="R855" s="172"/>
      <c r="S855" s="172"/>
      <c r="T855" s="172"/>
      <c r="U855" s="172"/>
      <c r="V855" s="172"/>
      <c r="W855" s="172"/>
      <c r="X855" s="172"/>
      <c r="Y855" s="172"/>
      <c r="Z855" s="172"/>
    </row>
    <row r="856" spans="1:26" ht="18.75">
      <c r="A856" s="172"/>
      <c r="B856" s="172"/>
      <c r="C856" s="172"/>
      <c r="D856" s="172"/>
      <c r="E856" s="172"/>
      <c r="F856" s="172"/>
      <c r="G856" s="172"/>
      <c r="H856" s="172"/>
      <c r="I856" s="172"/>
      <c r="J856" s="172"/>
      <c r="K856" s="172"/>
      <c r="L856" s="172"/>
      <c r="M856" s="172"/>
      <c r="N856" s="172"/>
      <c r="O856" s="172"/>
      <c r="P856" s="172"/>
      <c r="Q856" s="172"/>
      <c r="R856" s="172"/>
      <c r="S856" s="172"/>
      <c r="T856" s="172"/>
      <c r="U856" s="172"/>
      <c r="V856" s="172"/>
      <c r="W856" s="172"/>
      <c r="X856" s="172"/>
      <c r="Y856" s="172"/>
      <c r="Z856" s="172"/>
    </row>
    <row r="857" spans="1:26" ht="18.75">
      <c r="A857" s="172"/>
      <c r="B857" s="172"/>
      <c r="C857" s="172"/>
      <c r="D857" s="172"/>
      <c r="E857" s="172"/>
      <c r="F857" s="172"/>
      <c r="G857" s="172"/>
      <c r="H857" s="172"/>
      <c r="I857" s="172"/>
      <c r="J857" s="172"/>
      <c r="K857" s="172"/>
      <c r="L857" s="172"/>
      <c r="M857" s="172"/>
      <c r="N857" s="172"/>
      <c r="O857" s="172"/>
      <c r="P857" s="172"/>
      <c r="Q857" s="172"/>
      <c r="R857" s="172"/>
      <c r="S857" s="172"/>
      <c r="T857" s="172"/>
      <c r="U857" s="172"/>
      <c r="V857" s="172"/>
      <c r="W857" s="172"/>
      <c r="X857" s="172"/>
      <c r="Y857" s="172"/>
      <c r="Z857" s="172"/>
    </row>
    <row r="858" spans="1:26" ht="18.75">
      <c r="A858" s="172"/>
      <c r="B858" s="172"/>
      <c r="C858" s="172"/>
      <c r="D858" s="172"/>
      <c r="E858" s="172"/>
      <c r="F858" s="172"/>
      <c r="G858" s="172"/>
      <c r="H858" s="172"/>
      <c r="I858" s="172"/>
      <c r="J858" s="172"/>
      <c r="K858" s="172"/>
      <c r="L858" s="172"/>
      <c r="M858" s="172"/>
      <c r="N858" s="172"/>
      <c r="O858" s="172"/>
      <c r="P858" s="172"/>
      <c r="Q858" s="172"/>
      <c r="R858" s="172"/>
      <c r="S858" s="172"/>
      <c r="T858" s="172"/>
      <c r="U858" s="172"/>
      <c r="V858" s="172"/>
      <c r="W858" s="172"/>
      <c r="X858" s="172"/>
      <c r="Y858" s="172"/>
      <c r="Z858" s="172"/>
    </row>
    <row r="859" spans="1:26" ht="18.75">
      <c r="A859" s="172"/>
      <c r="B859" s="172"/>
      <c r="C859" s="172"/>
      <c r="D859" s="172"/>
      <c r="E859" s="172"/>
      <c r="F859" s="172"/>
      <c r="G859" s="172"/>
      <c r="H859" s="172"/>
      <c r="I859" s="172"/>
      <c r="J859" s="172"/>
      <c r="K859" s="172"/>
      <c r="L859" s="172"/>
      <c r="M859" s="172"/>
      <c r="N859" s="172"/>
      <c r="O859" s="172"/>
      <c r="P859" s="172"/>
      <c r="Q859" s="172"/>
      <c r="R859" s="172"/>
      <c r="S859" s="172"/>
      <c r="T859" s="172"/>
      <c r="U859" s="172"/>
      <c r="V859" s="172"/>
      <c r="W859" s="172"/>
      <c r="X859" s="172"/>
      <c r="Y859" s="172"/>
      <c r="Z859" s="172"/>
    </row>
    <row r="860" spans="1:26" ht="18.75">
      <c r="A860" s="172"/>
      <c r="B860" s="172"/>
      <c r="C860" s="172"/>
      <c r="D860" s="172"/>
      <c r="E860" s="172"/>
      <c r="F860" s="172"/>
      <c r="G860" s="172"/>
      <c r="H860" s="172"/>
      <c r="I860" s="172"/>
      <c r="J860" s="172"/>
      <c r="K860" s="172"/>
      <c r="L860" s="172"/>
      <c r="M860" s="172"/>
      <c r="N860" s="172"/>
      <c r="O860" s="172"/>
      <c r="P860" s="172"/>
      <c r="Q860" s="172"/>
      <c r="R860" s="172"/>
      <c r="S860" s="172"/>
      <c r="T860" s="172"/>
      <c r="U860" s="172"/>
      <c r="V860" s="172"/>
      <c r="W860" s="172"/>
      <c r="X860" s="172"/>
      <c r="Y860" s="172"/>
      <c r="Z860" s="172"/>
    </row>
    <row r="861" spans="1:26" ht="18.75">
      <c r="A861" s="172"/>
      <c r="B861" s="172"/>
      <c r="C861" s="172"/>
      <c r="D861" s="172"/>
      <c r="E861" s="172"/>
      <c r="F861" s="172"/>
      <c r="G861" s="172"/>
      <c r="H861" s="172"/>
      <c r="I861" s="172"/>
      <c r="J861" s="172"/>
      <c r="K861" s="172"/>
      <c r="L861" s="172"/>
      <c r="M861" s="172"/>
      <c r="N861" s="172"/>
      <c r="O861" s="172"/>
      <c r="P861" s="172"/>
      <c r="Q861" s="172"/>
      <c r="R861" s="172"/>
      <c r="S861" s="172"/>
      <c r="T861" s="172"/>
      <c r="U861" s="172"/>
      <c r="V861" s="172"/>
      <c r="W861" s="172"/>
      <c r="X861" s="172"/>
      <c r="Y861" s="172"/>
      <c r="Z861" s="172"/>
    </row>
    <row r="862" spans="1:26" ht="18.75">
      <c r="A862" s="172"/>
      <c r="B862" s="172"/>
      <c r="C862" s="172"/>
      <c r="D862" s="172"/>
      <c r="E862" s="172"/>
      <c r="F862" s="172"/>
      <c r="G862" s="172"/>
      <c r="H862" s="172"/>
      <c r="I862" s="172"/>
      <c r="J862" s="172"/>
      <c r="K862" s="172"/>
      <c r="L862" s="172"/>
      <c r="M862" s="172"/>
      <c r="N862" s="172"/>
      <c r="O862" s="172"/>
      <c r="P862" s="172"/>
      <c r="Q862" s="172"/>
      <c r="R862" s="172"/>
      <c r="S862" s="172"/>
      <c r="T862" s="172"/>
      <c r="U862" s="172"/>
      <c r="V862" s="172"/>
      <c r="W862" s="172"/>
      <c r="X862" s="172"/>
      <c r="Y862" s="172"/>
      <c r="Z862" s="172"/>
    </row>
    <row r="863" spans="1:26" ht="18.75">
      <c r="A863" s="172"/>
      <c r="B863" s="172"/>
      <c r="C863" s="172"/>
      <c r="D863" s="172"/>
      <c r="E863" s="172"/>
      <c r="F863" s="172"/>
      <c r="G863" s="172"/>
      <c r="H863" s="172"/>
      <c r="I863" s="172"/>
      <c r="J863" s="172"/>
      <c r="K863" s="172"/>
      <c r="L863" s="172"/>
      <c r="M863" s="172"/>
      <c r="N863" s="172"/>
      <c r="O863" s="172"/>
      <c r="P863" s="172"/>
      <c r="Q863" s="172"/>
      <c r="R863" s="172"/>
      <c r="S863" s="172"/>
      <c r="T863" s="172"/>
      <c r="U863" s="172"/>
      <c r="V863" s="172"/>
      <c r="W863" s="172"/>
      <c r="X863" s="172"/>
      <c r="Y863" s="172"/>
      <c r="Z863" s="172"/>
    </row>
    <row r="864" spans="1:26" ht="18.75">
      <c r="A864" s="172"/>
      <c r="B864" s="172"/>
      <c r="C864" s="172"/>
      <c r="D864" s="172"/>
      <c r="E864" s="172"/>
      <c r="F864" s="172"/>
      <c r="G864" s="172"/>
      <c r="H864" s="172"/>
      <c r="I864" s="172"/>
      <c r="J864" s="172"/>
      <c r="K864" s="172"/>
      <c r="L864" s="172"/>
      <c r="M864" s="172"/>
      <c r="N864" s="172"/>
      <c r="O864" s="172"/>
      <c r="P864" s="172"/>
      <c r="Q864" s="172"/>
      <c r="R864" s="172"/>
      <c r="S864" s="172"/>
      <c r="T864" s="172"/>
      <c r="U864" s="172"/>
      <c r="V864" s="172"/>
      <c r="W864" s="172"/>
      <c r="X864" s="172"/>
      <c r="Y864" s="172"/>
      <c r="Z864" s="172"/>
    </row>
    <row r="865" spans="1:26" ht="18.75">
      <c r="A865" s="172"/>
      <c r="B865" s="172"/>
      <c r="C865" s="172"/>
      <c r="D865" s="172"/>
      <c r="E865" s="172"/>
      <c r="F865" s="172"/>
      <c r="G865" s="172"/>
      <c r="H865" s="172"/>
      <c r="I865" s="172"/>
      <c r="J865" s="172"/>
      <c r="K865" s="172"/>
      <c r="L865" s="172"/>
      <c r="M865" s="172"/>
      <c r="N865" s="172"/>
      <c r="O865" s="172"/>
      <c r="P865" s="172"/>
      <c r="Q865" s="172"/>
      <c r="R865" s="172"/>
      <c r="S865" s="172"/>
      <c r="T865" s="172"/>
      <c r="U865" s="172"/>
      <c r="V865" s="172"/>
      <c r="W865" s="172"/>
      <c r="X865" s="172"/>
      <c r="Y865" s="172"/>
      <c r="Z865" s="172"/>
    </row>
    <row r="866" spans="1:26" ht="18.75">
      <c r="A866" s="172"/>
      <c r="B866" s="172"/>
      <c r="C866" s="172"/>
      <c r="D866" s="172"/>
      <c r="E866" s="172"/>
      <c r="F866" s="172"/>
      <c r="G866" s="172"/>
      <c r="H866" s="172"/>
      <c r="I866" s="172"/>
      <c r="J866" s="172"/>
      <c r="K866" s="172"/>
      <c r="L866" s="172"/>
      <c r="M866" s="172"/>
      <c r="N866" s="172"/>
      <c r="O866" s="172"/>
      <c r="P866" s="172"/>
      <c r="Q866" s="172"/>
      <c r="R866" s="172"/>
      <c r="S866" s="172"/>
      <c r="T866" s="172"/>
      <c r="U866" s="172"/>
      <c r="V866" s="172"/>
      <c r="W866" s="172"/>
      <c r="X866" s="172"/>
      <c r="Y866" s="172"/>
      <c r="Z866" s="172"/>
    </row>
    <row r="867" spans="1:26" ht="18.75">
      <c r="A867" s="172"/>
      <c r="B867" s="172"/>
      <c r="C867" s="172"/>
      <c r="D867" s="172"/>
      <c r="E867" s="172"/>
      <c r="F867" s="172"/>
      <c r="G867" s="172"/>
      <c r="H867" s="172"/>
      <c r="I867" s="172"/>
      <c r="J867" s="172"/>
      <c r="K867" s="172"/>
      <c r="L867" s="172"/>
      <c r="M867" s="172"/>
      <c r="N867" s="172"/>
      <c r="O867" s="172"/>
      <c r="P867" s="172"/>
      <c r="Q867" s="172"/>
      <c r="R867" s="172"/>
      <c r="S867" s="172"/>
      <c r="T867" s="172"/>
      <c r="U867" s="172"/>
      <c r="V867" s="172"/>
      <c r="W867" s="172"/>
      <c r="X867" s="172"/>
      <c r="Y867" s="172"/>
      <c r="Z867" s="172"/>
    </row>
    <row r="868" spans="1:26" ht="18.75">
      <c r="A868" s="172"/>
      <c r="B868" s="172"/>
      <c r="C868" s="172"/>
      <c r="D868" s="172"/>
      <c r="E868" s="172"/>
      <c r="F868" s="172"/>
      <c r="G868" s="172"/>
      <c r="H868" s="172"/>
      <c r="I868" s="172"/>
      <c r="J868" s="172"/>
      <c r="K868" s="172"/>
      <c r="L868" s="172"/>
      <c r="M868" s="172"/>
      <c r="N868" s="172"/>
      <c r="O868" s="172"/>
      <c r="P868" s="172"/>
      <c r="Q868" s="172"/>
      <c r="R868" s="172"/>
      <c r="S868" s="172"/>
      <c r="T868" s="172"/>
      <c r="U868" s="172"/>
      <c r="V868" s="172"/>
      <c r="W868" s="172"/>
      <c r="X868" s="172"/>
      <c r="Y868" s="172"/>
      <c r="Z868" s="172"/>
    </row>
    <row r="869" spans="1:26" ht="18.75">
      <c r="A869" s="172"/>
      <c r="B869" s="172"/>
      <c r="C869" s="172"/>
      <c r="D869" s="172"/>
      <c r="E869" s="172"/>
      <c r="F869" s="172"/>
      <c r="G869" s="172"/>
      <c r="H869" s="172"/>
      <c r="I869" s="172"/>
      <c r="J869" s="172"/>
      <c r="K869" s="172"/>
      <c r="L869" s="172"/>
      <c r="M869" s="172"/>
      <c r="N869" s="172"/>
      <c r="O869" s="172"/>
      <c r="P869" s="172"/>
      <c r="Q869" s="172"/>
      <c r="R869" s="172"/>
      <c r="S869" s="172"/>
      <c r="T869" s="172"/>
      <c r="U869" s="172"/>
      <c r="V869" s="172"/>
      <c r="W869" s="172"/>
      <c r="X869" s="172"/>
      <c r="Y869" s="172"/>
      <c r="Z869" s="172"/>
    </row>
    <row r="870" spans="1:26" ht="18.75">
      <c r="A870" s="172"/>
      <c r="B870" s="172"/>
      <c r="C870" s="172"/>
      <c r="D870" s="172"/>
      <c r="E870" s="172"/>
      <c r="F870" s="172"/>
      <c r="G870" s="172"/>
      <c r="H870" s="172"/>
      <c r="I870" s="172"/>
      <c r="J870" s="172"/>
      <c r="K870" s="172"/>
      <c r="L870" s="172"/>
      <c r="M870" s="172"/>
      <c r="N870" s="172"/>
      <c r="O870" s="172"/>
      <c r="P870" s="172"/>
      <c r="Q870" s="172"/>
      <c r="R870" s="172"/>
      <c r="S870" s="172"/>
      <c r="T870" s="172"/>
      <c r="U870" s="172"/>
      <c r="V870" s="172"/>
      <c r="W870" s="172"/>
      <c r="X870" s="172"/>
      <c r="Y870" s="172"/>
      <c r="Z870" s="172"/>
    </row>
    <row r="871" spans="1:26" ht="18.75">
      <c r="A871" s="172"/>
      <c r="B871" s="172"/>
      <c r="C871" s="172"/>
      <c r="D871" s="172"/>
      <c r="E871" s="172"/>
      <c r="F871" s="172"/>
      <c r="G871" s="172"/>
      <c r="H871" s="172"/>
      <c r="I871" s="172"/>
      <c r="J871" s="172"/>
      <c r="K871" s="172"/>
      <c r="L871" s="172"/>
      <c r="M871" s="172"/>
      <c r="N871" s="172"/>
      <c r="O871" s="172"/>
      <c r="P871" s="172"/>
      <c r="Q871" s="172"/>
      <c r="R871" s="172"/>
      <c r="S871" s="172"/>
      <c r="T871" s="172"/>
      <c r="U871" s="172"/>
      <c r="V871" s="172"/>
      <c r="W871" s="172"/>
      <c r="X871" s="172"/>
      <c r="Y871" s="172"/>
      <c r="Z871" s="172"/>
    </row>
    <row r="872" spans="1:26" ht="18.75">
      <c r="A872" s="172"/>
      <c r="B872" s="172"/>
      <c r="C872" s="172"/>
      <c r="D872" s="172"/>
      <c r="E872" s="172"/>
      <c r="F872" s="172"/>
      <c r="G872" s="172"/>
      <c r="H872" s="172"/>
      <c r="I872" s="172"/>
      <c r="J872" s="172"/>
      <c r="K872" s="172"/>
      <c r="L872" s="172"/>
      <c r="M872" s="172"/>
      <c r="N872" s="172"/>
      <c r="O872" s="172"/>
      <c r="P872" s="172"/>
      <c r="Q872" s="172"/>
      <c r="R872" s="172"/>
      <c r="S872" s="172"/>
      <c r="T872" s="172"/>
      <c r="U872" s="172"/>
      <c r="V872" s="172"/>
      <c r="W872" s="172"/>
      <c r="X872" s="172"/>
      <c r="Y872" s="172"/>
      <c r="Z872" s="172"/>
    </row>
    <row r="873" spans="1:26" ht="18.75">
      <c r="A873" s="172"/>
      <c r="B873" s="172"/>
      <c r="C873" s="172"/>
      <c r="D873" s="172"/>
      <c r="E873" s="172"/>
      <c r="F873" s="172"/>
      <c r="G873" s="172"/>
      <c r="H873" s="172"/>
      <c r="I873" s="172"/>
      <c r="J873" s="172"/>
      <c r="K873" s="172"/>
      <c r="L873" s="172"/>
      <c r="M873" s="172"/>
      <c r="N873" s="172"/>
      <c r="O873" s="172"/>
      <c r="P873" s="172"/>
      <c r="Q873" s="172"/>
      <c r="R873" s="172"/>
      <c r="S873" s="172"/>
      <c r="T873" s="172"/>
      <c r="U873" s="172"/>
      <c r="V873" s="172"/>
      <c r="W873" s="172"/>
      <c r="X873" s="172"/>
      <c r="Y873" s="172"/>
      <c r="Z873" s="172"/>
    </row>
    <row r="874" spans="1:26" ht="18.75">
      <c r="A874" s="172"/>
      <c r="B874" s="172"/>
      <c r="C874" s="172"/>
      <c r="D874" s="172"/>
      <c r="E874" s="172"/>
      <c r="F874" s="172"/>
      <c r="G874" s="172"/>
      <c r="H874" s="172"/>
      <c r="I874" s="172"/>
      <c r="J874" s="172"/>
      <c r="K874" s="172"/>
      <c r="L874" s="172"/>
      <c r="M874" s="172"/>
      <c r="N874" s="172"/>
      <c r="O874" s="172"/>
      <c r="P874" s="172"/>
      <c r="Q874" s="172"/>
      <c r="R874" s="172"/>
      <c r="S874" s="172"/>
      <c r="T874" s="172"/>
      <c r="U874" s="172"/>
      <c r="V874" s="172"/>
      <c r="W874" s="172"/>
      <c r="X874" s="172"/>
      <c r="Y874" s="172"/>
      <c r="Z874" s="172"/>
    </row>
    <row r="875" spans="1:26" ht="18.75">
      <c r="A875" s="172"/>
      <c r="B875" s="172"/>
      <c r="C875" s="172"/>
      <c r="D875" s="172"/>
      <c r="E875" s="172"/>
      <c r="F875" s="172"/>
      <c r="G875" s="172"/>
      <c r="H875" s="172"/>
      <c r="I875" s="172"/>
      <c r="J875" s="172"/>
      <c r="K875" s="172"/>
      <c r="L875" s="172"/>
      <c r="M875" s="172"/>
      <c r="N875" s="172"/>
      <c r="O875" s="172"/>
      <c r="P875" s="172"/>
      <c r="Q875" s="172"/>
      <c r="R875" s="172"/>
      <c r="S875" s="172"/>
      <c r="T875" s="172"/>
      <c r="U875" s="172"/>
      <c r="V875" s="172"/>
      <c r="W875" s="172"/>
      <c r="X875" s="172"/>
      <c r="Y875" s="172"/>
      <c r="Z875" s="172"/>
    </row>
    <row r="876" spans="1:26" ht="18.75">
      <c r="A876" s="172"/>
      <c r="B876" s="172"/>
      <c r="C876" s="172"/>
      <c r="D876" s="172"/>
      <c r="E876" s="172"/>
      <c r="F876" s="172"/>
      <c r="G876" s="172"/>
      <c r="H876" s="172"/>
      <c r="I876" s="172"/>
      <c r="J876" s="172"/>
      <c r="K876" s="172"/>
      <c r="L876" s="172"/>
      <c r="M876" s="172"/>
      <c r="N876" s="172"/>
      <c r="O876" s="172"/>
      <c r="P876" s="172"/>
      <c r="Q876" s="172"/>
      <c r="R876" s="172"/>
      <c r="S876" s="172"/>
      <c r="T876" s="172"/>
      <c r="U876" s="172"/>
      <c r="V876" s="172"/>
      <c r="W876" s="172"/>
      <c r="X876" s="172"/>
      <c r="Y876" s="172"/>
      <c r="Z876" s="172"/>
    </row>
    <row r="877" spans="1:26" ht="18.75">
      <c r="A877" s="172"/>
      <c r="B877" s="172"/>
      <c r="C877" s="172"/>
      <c r="D877" s="172"/>
      <c r="E877" s="172"/>
      <c r="F877" s="172"/>
      <c r="G877" s="172"/>
      <c r="H877" s="172"/>
      <c r="I877" s="172"/>
      <c r="J877" s="172"/>
      <c r="K877" s="172"/>
      <c r="L877" s="172"/>
      <c r="M877" s="172"/>
      <c r="N877" s="172"/>
      <c r="O877" s="172"/>
      <c r="P877" s="172"/>
      <c r="Q877" s="172"/>
      <c r="R877" s="172"/>
      <c r="S877" s="172"/>
      <c r="T877" s="172"/>
      <c r="U877" s="172"/>
      <c r="V877" s="172"/>
      <c r="W877" s="172"/>
      <c r="X877" s="172"/>
      <c r="Y877" s="172"/>
      <c r="Z877" s="172"/>
    </row>
    <row r="878" spans="1:26" ht="18.75">
      <c r="A878" s="172"/>
      <c r="B878" s="172"/>
      <c r="C878" s="172"/>
      <c r="D878" s="172"/>
      <c r="E878" s="172"/>
      <c r="F878" s="172"/>
      <c r="G878" s="172"/>
      <c r="H878" s="172"/>
      <c r="I878" s="172"/>
      <c r="J878" s="172"/>
      <c r="K878" s="172"/>
      <c r="L878" s="172"/>
      <c r="M878" s="172"/>
      <c r="N878" s="172"/>
      <c r="O878" s="172"/>
      <c r="P878" s="172"/>
      <c r="Q878" s="172"/>
      <c r="R878" s="172"/>
      <c r="S878" s="172"/>
      <c r="T878" s="172"/>
      <c r="U878" s="172"/>
      <c r="V878" s="172"/>
      <c r="W878" s="172"/>
      <c r="X878" s="172"/>
      <c r="Y878" s="172"/>
      <c r="Z878" s="172"/>
    </row>
    <row r="879" spans="1:26" ht="18.75">
      <c r="A879" s="172"/>
      <c r="B879" s="172"/>
      <c r="C879" s="172"/>
      <c r="D879" s="172"/>
      <c r="E879" s="172"/>
      <c r="F879" s="172"/>
      <c r="G879" s="172"/>
      <c r="H879" s="172"/>
      <c r="I879" s="172"/>
      <c r="J879" s="172"/>
      <c r="K879" s="172"/>
      <c r="L879" s="172"/>
      <c r="M879" s="172"/>
      <c r="N879" s="172"/>
      <c r="O879" s="172"/>
      <c r="P879" s="172"/>
      <c r="Q879" s="172"/>
      <c r="R879" s="172"/>
      <c r="S879" s="172"/>
      <c r="T879" s="172"/>
      <c r="U879" s="172"/>
      <c r="V879" s="172"/>
      <c r="W879" s="172"/>
      <c r="X879" s="172"/>
      <c r="Y879" s="172"/>
      <c r="Z879" s="172"/>
    </row>
    <row r="880" spans="1:26" ht="18.75">
      <c r="A880" s="172"/>
      <c r="B880" s="172"/>
      <c r="C880" s="172"/>
      <c r="D880" s="172"/>
      <c r="E880" s="172"/>
      <c r="F880" s="172"/>
      <c r="G880" s="172"/>
      <c r="H880" s="172"/>
      <c r="I880" s="172"/>
      <c r="J880" s="172"/>
      <c r="K880" s="172"/>
      <c r="L880" s="172"/>
      <c r="M880" s="172"/>
      <c r="N880" s="172"/>
      <c r="O880" s="172"/>
      <c r="P880" s="172"/>
      <c r="Q880" s="172"/>
      <c r="R880" s="172"/>
      <c r="S880" s="172"/>
      <c r="T880" s="172"/>
      <c r="U880" s="172"/>
      <c r="V880" s="172"/>
      <c r="W880" s="172"/>
      <c r="X880" s="172"/>
      <c r="Y880" s="172"/>
      <c r="Z880" s="172"/>
    </row>
    <row r="881" spans="1:26" ht="18.75">
      <c r="A881" s="172"/>
      <c r="B881" s="172"/>
      <c r="C881" s="172"/>
      <c r="D881" s="172"/>
      <c r="E881" s="172"/>
      <c r="F881" s="172"/>
      <c r="G881" s="172"/>
      <c r="H881" s="172"/>
      <c r="I881" s="172"/>
      <c r="J881" s="172"/>
      <c r="K881" s="172"/>
      <c r="L881" s="172"/>
      <c r="M881" s="172"/>
      <c r="N881" s="172"/>
      <c r="O881" s="172"/>
      <c r="P881" s="172"/>
      <c r="Q881" s="172"/>
      <c r="R881" s="172"/>
      <c r="S881" s="172"/>
      <c r="T881" s="172"/>
      <c r="U881" s="172"/>
      <c r="V881" s="172"/>
      <c r="W881" s="172"/>
      <c r="X881" s="172"/>
      <c r="Y881" s="172"/>
      <c r="Z881" s="172"/>
    </row>
    <row r="882" spans="1:26" ht="18.75">
      <c r="A882" s="172"/>
      <c r="B882" s="172"/>
      <c r="C882" s="172"/>
      <c r="D882" s="172"/>
      <c r="E882" s="172"/>
      <c r="F882" s="172"/>
      <c r="G882" s="172"/>
      <c r="H882" s="172"/>
      <c r="I882" s="172"/>
      <c r="J882" s="172"/>
      <c r="K882" s="172"/>
      <c r="L882" s="172"/>
      <c r="M882" s="172"/>
      <c r="N882" s="172"/>
      <c r="O882" s="172"/>
      <c r="P882" s="172"/>
      <c r="Q882" s="172"/>
      <c r="R882" s="172"/>
      <c r="S882" s="172"/>
      <c r="T882" s="172"/>
      <c r="U882" s="172"/>
      <c r="V882" s="172"/>
      <c r="W882" s="172"/>
      <c r="X882" s="172"/>
      <c r="Y882" s="172"/>
      <c r="Z882" s="172"/>
    </row>
    <row r="883" spans="1:26" ht="18.75">
      <c r="A883" s="172"/>
      <c r="B883" s="172"/>
      <c r="C883" s="172"/>
      <c r="D883" s="172"/>
      <c r="E883" s="172"/>
      <c r="F883" s="172"/>
      <c r="G883" s="172"/>
      <c r="H883" s="172"/>
      <c r="I883" s="172"/>
      <c r="J883" s="172"/>
      <c r="K883" s="172"/>
      <c r="L883" s="172"/>
      <c r="M883" s="172"/>
      <c r="N883" s="172"/>
      <c r="O883" s="172"/>
      <c r="P883" s="172"/>
      <c r="Q883" s="172"/>
      <c r="R883" s="172"/>
      <c r="S883" s="172"/>
      <c r="T883" s="172"/>
      <c r="U883" s="172"/>
      <c r="V883" s="172"/>
      <c r="W883" s="172"/>
      <c r="X883" s="172"/>
      <c r="Y883" s="172"/>
      <c r="Z883" s="172"/>
    </row>
    <row r="884" spans="1:26" ht="18.75">
      <c r="A884" s="172"/>
      <c r="B884" s="172"/>
      <c r="C884" s="172"/>
      <c r="D884" s="172"/>
      <c r="E884" s="172"/>
      <c r="F884" s="172"/>
      <c r="G884" s="172"/>
      <c r="H884" s="172"/>
      <c r="I884" s="172"/>
      <c r="J884" s="172"/>
      <c r="K884" s="172"/>
      <c r="L884" s="172"/>
      <c r="M884" s="172"/>
      <c r="N884" s="172"/>
      <c r="O884" s="172"/>
      <c r="P884" s="172"/>
      <c r="Q884" s="172"/>
      <c r="R884" s="172"/>
      <c r="S884" s="172"/>
      <c r="T884" s="172"/>
      <c r="U884" s="172"/>
      <c r="V884" s="172"/>
      <c r="W884" s="172"/>
      <c r="X884" s="172"/>
      <c r="Y884" s="172"/>
      <c r="Z884" s="172"/>
    </row>
    <row r="885" spans="1:26" ht="18.75">
      <c r="A885" s="172"/>
      <c r="B885" s="172"/>
      <c r="C885" s="172"/>
      <c r="D885" s="172"/>
      <c r="E885" s="172"/>
      <c r="F885" s="172"/>
      <c r="G885" s="172"/>
      <c r="H885" s="172"/>
      <c r="I885" s="172"/>
      <c r="J885" s="172"/>
      <c r="K885" s="172"/>
      <c r="L885" s="172"/>
      <c r="M885" s="172"/>
      <c r="N885" s="172"/>
      <c r="O885" s="172"/>
      <c r="P885" s="172"/>
      <c r="Q885" s="172"/>
      <c r="R885" s="172"/>
      <c r="S885" s="172"/>
      <c r="T885" s="172"/>
      <c r="U885" s="172"/>
      <c r="V885" s="172"/>
      <c r="W885" s="172"/>
      <c r="X885" s="172"/>
      <c r="Y885" s="172"/>
      <c r="Z885" s="172"/>
    </row>
    <row r="886" spans="1:26" ht="18.75">
      <c r="A886" s="172"/>
      <c r="B886" s="172"/>
      <c r="C886" s="172"/>
      <c r="D886" s="172"/>
      <c r="E886" s="172"/>
      <c r="F886" s="172"/>
      <c r="G886" s="172"/>
      <c r="H886" s="172"/>
      <c r="I886" s="172"/>
      <c r="J886" s="172"/>
      <c r="K886" s="172"/>
      <c r="L886" s="172"/>
      <c r="M886" s="172"/>
      <c r="N886" s="172"/>
      <c r="O886" s="172"/>
      <c r="P886" s="172"/>
      <c r="Q886" s="172"/>
      <c r="R886" s="172"/>
      <c r="S886" s="172"/>
      <c r="T886" s="172"/>
      <c r="U886" s="172"/>
      <c r="V886" s="172"/>
      <c r="W886" s="172"/>
      <c r="X886" s="172"/>
      <c r="Y886" s="172"/>
      <c r="Z886" s="172"/>
    </row>
    <row r="887" spans="1:26" ht="18.75">
      <c r="A887" s="172"/>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row>
    <row r="888" spans="1:26" ht="18.75">
      <c r="A888" s="172"/>
      <c r="B888" s="172"/>
      <c r="C888" s="172"/>
      <c r="D888" s="172"/>
      <c r="E888" s="172"/>
      <c r="F888" s="172"/>
      <c r="G888" s="172"/>
      <c r="H888" s="172"/>
      <c r="I888" s="172"/>
      <c r="J888" s="172"/>
      <c r="K888" s="172"/>
      <c r="L888" s="172"/>
      <c r="M888" s="172"/>
      <c r="N888" s="172"/>
      <c r="O888" s="172"/>
      <c r="P888" s="172"/>
      <c r="Q888" s="172"/>
      <c r="R888" s="172"/>
      <c r="S888" s="172"/>
      <c r="T888" s="172"/>
      <c r="U888" s="172"/>
      <c r="V888" s="172"/>
      <c r="W888" s="172"/>
      <c r="X888" s="172"/>
      <c r="Y888" s="172"/>
      <c r="Z888" s="172"/>
    </row>
    <row r="889" spans="1:26" ht="18.75">
      <c r="A889" s="172"/>
      <c r="B889" s="172"/>
      <c r="C889" s="172"/>
      <c r="D889" s="172"/>
      <c r="E889" s="172"/>
      <c r="F889" s="172"/>
      <c r="G889" s="172"/>
      <c r="H889" s="172"/>
      <c r="I889" s="172"/>
      <c r="J889" s="172"/>
      <c r="K889" s="172"/>
      <c r="L889" s="172"/>
      <c r="M889" s="172"/>
      <c r="N889" s="172"/>
      <c r="O889" s="172"/>
      <c r="P889" s="172"/>
      <c r="Q889" s="172"/>
      <c r="R889" s="172"/>
      <c r="S889" s="172"/>
      <c r="T889" s="172"/>
      <c r="U889" s="172"/>
      <c r="V889" s="172"/>
      <c r="W889" s="172"/>
      <c r="X889" s="172"/>
      <c r="Y889" s="172"/>
      <c r="Z889" s="172"/>
    </row>
    <row r="890" spans="1:26" ht="18.75">
      <c r="A890" s="172"/>
      <c r="B890" s="172"/>
      <c r="C890" s="172"/>
      <c r="D890" s="172"/>
      <c r="E890" s="172"/>
      <c r="F890" s="172"/>
      <c r="G890" s="172"/>
      <c r="H890" s="172"/>
      <c r="I890" s="172"/>
      <c r="J890" s="172"/>
      <c r="K890" s="172"/>
      <c r="L890" s="172"/>
      <c r="M890" s="172"/>
      <c r="N890" s="172"/>
      <c r="O890" s="172"/>
      <c r="P890" s="172"/>
      <c r="Q890" s="172"/>
      <c r="R890" s="172"/>
      <c r="S890" s="172"/>
      <c r="T890" s="172"/>
      <c r="U890" s="172"/>
      <c r="V890" s="172"/>
      <c r="W890" s="172"/>
      <c r="X890" s="172"/>
      <c r="Y890" s="172"/>
      <c r="Z890" s="172"/>
    </row>
    <row r="891" spans="1:26" ht="18.75">
      <c r="A891" s="172"/>
      <c r="B891" s="172"/>
      <c r="C891" s="172"/>
      <c r="D891" s="172"/>
      <c r="E891" s="172"/>
      <c r="F891" s="172"/>
      <c r="G891" s="172"/>
      <c r="H891" s="172"/>
      <c r="I891" s="172"/>
      <c r="J891" s="172"/>
      <c r="K891" s="172"/>
      <c r="L891" s="172"/>
      <c r="M891" s="172"/>
      <c r="N891" s="172"/>
      <c r="O891" s="172"/>
      <c r="P891" s="172"/>
      <c r="Q891" s="172"/>
      <c r="R891" s="172"/>
      <c r="S891" s="172"/>
      <c r="T891" s="172"/>
      <c r="U891" s="172"/>
      <c r="V891" s="172"/>
      <c r="W891" s="172"/>
      <c r="X891" s="172"/>
      <c r="Y891" s="172"/>
      <c r="Z891" s="172"/>
    </row>
    <row r="892" spans="1:26" ht="18.75">
      <c r="A892" s="172"/>
      <c r="B892" s="172"/>
      <c r="C892" s="172"/>
      <c r="D892" s="172"/>
      <c r="E892" s="172"/>
      <c r="F892" s="172"/>
      <c r="G892" s="172"/>
      <c r="H892" s="172"/>
      <c r="I892" s="172"/>
      <c r="J892" s="172"/>
      <c r="K892" s="172"/>
      <c r="L892" s="172"/>
      <c r="M892" s="172"/>
      <c r="N892" s="172"/>
      <c r="O892" s="172"/>
      <c r="P892" s="172"/>
      <c r="Q892" s="172"/>
      <c r="R892" s="172"/>
      <c r="S892" s="172"/>
      <c r="T892" s="172"/>
      <c r="U892" s="172"/>
      <c r="V892" s="172"/>
      <c r="W892" s="172"/>
      <c r="X892" s="172"/>
      <c r="Y892" s="172"/>
      <c r="Z892" s="172"/>
    </row>
    <row r="893" spans="1:26" ht="18.75">
      <c r="A893" s="172"/>
      <c r="B893" s="172"/>
      <c r="C893" s="172"/>
      <c r="D893" s="172"/>
      <c r="E893" s="172"/>
      <c r="F893" s="172"/>
      <c r="G893" s="172"/>
      <c r="H893" s="172"/>
      <c r="I893" s="172"/>
      <c r="J893" s="172"/>
      <c r="K893" s="172"/>
      <c r="L893" s="172"/>
      <c r="M893" s="172"/>
      <c r="N893" s="172"/>
      <c r="O893" s="172"/>
      <c r="P893" s="172"/>
      <c r="Q893" s="172"/>
      <c r="R893" s="172"/>
      <c r="S893" s="172"/>
      <c r="T893" s="172"/>
      <c r="U893" s="172"/>
      <c r="V893" s="172"/>
      <c r="W893" s="172"/>
      <c r="X893" s="172"/>
      <c r="Y893" s="172"/>
      <c r="Z893" s="172"/>
    </row>
    <row r="894" spans="1:26" ht="18.75">
      <c r="A894" s="172"/>
      <c r="B894" s="172"/>
      <c r="C894" s="172"/>
      <c r="D894" s="172"/>
      <c r="E894" s="172"/>
      <c r="F894" s="172"/>
      <c r="G894" s="172"/>
      <c r="H894" s="172"/>
      <c r="I894" s="172"/>
      <c r="J894" s="172"/>
      <c r="K894" s="172"/>
      <c r="L894" s="172"/>
      <c r="M894" s="172"/>
      <c r="N894" s="172"/>
      <c r="O894" s="172"/>
      <c r="P894" s="172"/>
      <c r="Q894" s="172"/>
      <c r="R894" s="172"/>
      <c r="S894" s="172"/>
      <c r="T894" s="172"/>
      <c r="U894" s="172"/>
      <c r="V894" s="172"/>
      <c r="W894" s="172"/>
      <c r="X894" s="172"/>
      <c r="Y894" s="172"/>
      <c r="Z894" s="172"/>
    </row>
    <row r="895" spans="1:26" ht="18.75">
      <c r="A895" s="172"/>
      <c r="B895" s="172"/>
      <c r="C895" s="172"/>
      <c r="D895" s="172"/>
      <c r="E895" s="172"/>
      <c r="F895" s="172"/>
      <c r="G895" s="172"/>
      <c r="H895" s="172"/>
      <c r="I895" s="172"/>
      <c r="J895" s="172"/>
      <c r="K895" s="172"/>
      <c r="L895" s="172"/>
      <c r="M895" s="172"/>
      <c r="N895" s="172"/>
      <c r="O895" s="172"/>
      <c r="P895" s="172"/>
      <c r="Q895" s="172"/>
      <c r="R895" s="172"/>
      <c r="S895" s="172"/>
      <c r="T895" s="172"/>
      <c r="U895" s="172"/>
      <c r="V895" s="172"/>
      <c r="W895" s="172"/>
      <c r="X895" s="172"/>
      <c r="Y895" s="172"/>
      <c r="Z895" s="172"/>
    </row>
    <row r="896" spans="1:26" ht="18.75">
      <c r="A896" s="172"/>
      <c r="B896" s="172"/>
      <c r="C896" s="172"/>
      <c r="D896" s="172"/>
      <c r="E896" s="172"/>
      <c r="F896" s="172"/>
      <c r="G896" s="172"/>
      <c r="H896" s="172"/>
      <c r="I896" s="172"/>
      <c r="J896" s="172"/>
      <c r="K896" s="172"/>
      <c r="L896" s="172"/>
      <c r="M896" s="172"/>
      <c r="N896" s="172"/>
      <c r="O896" s="172"/>
      <c r="P896" s="172"/>
      <c r="Q896" s="172"/>
      <c r="R896" s="172"/>
      <c r="S896" s="172"/>
      <c r="T896" s="172"/>
      <c r="U896" s="172"/>
      <c r="V896" s="172"/>
      <c r="W896" s="172"/>
      <c r="X896" s="172"/>
      <c r="Y896" s="172"/>
      <c r="Z896" s="172"/>
    </row>
    <row r="897" spans="1:26" ht="18.75">
      <c r="A897" s="172"/>
      <c r="B897" s="172"/>
      <c r="C897" s="172"/>
      <c r="D897" s="172"/>
      <c r="E897" s="172"/>
      <c r="F897" s="172"/>
      <c r="G897" s="172"/>
      <c r="H897" s="172"/>
      <c r="I897" s="172"/>
      <c r="J897" s="172"/>
      <c r="K897" s="172"/>
      <c r="L897" s="172"/>
      <c r="M897" s="172"/>
      <c r="N897" s="172"/>
      <c r="O897" s="172"/>
      <c r="P897" s="172"/>
      <c r="Q897" s="172"/>
      <c r="R897" s="172"/>
      <c r="S897" s="172"/>
      <c r="T897" s="172"/>
      <c r="U897" s="172"/>
      <c r="V897" s="172"/>
      <c r="W897" s="172"/>
      <c r="X897" s="172"/>
      <c r="Y897" s="172"/>
      <c r="Z897" s="172"/>
    </row>
    <row r="898" spans="1:26" ht="18.75">
      <c r="A898" s="172"/>
      <c r="B898" s="172"/>
      <c r="C898" s="172"/>
      <c r="D898" s="172"/>
      <c r="E898" s="172"/>
      <c r="F898" s="172"/>
      <c r="G898" s="172"/>
      <c r="H898" s="172"/>
      <c r="I898" s="172"/>
      <c r="J898" s="172"/>
      <c r="K898" s="172"/>
      <c r="L898" s="172"/>
      <c r="M898" s="172"/>
      <c r="N898" s="172"/>
      <c r="O898" s="172"/>
      <c r="P898" s="172"/>
      <c r="Q898" s="172"/>
      <c r="R898" s="172"/>
      <c r="S898" s="172"/>
      <c r="T898" s="172"/>
      <c r="U898" s="172"/>
      <c r="V898" s="172"/>
      <c r="W898" s="172"/>
      <c r="X898" s="172"/>
      <c r="Y898" s="172"/>
      <c r="Z898" s="172"/>
    </row>
    <row r="899" spans="1:26" ht="18.75">
      <c r="A899" s="172"/>
      <c r="B899" s="172"/>
      <c r="C899" s="172"/>
      <c r="D899" s="172"/>
      <c r="E899" s="172"/>
      <c r="F899" s="172"/>
      <c r="G899" s="172"/>
      <c r="H899" s="172"/>
      <c r="I899" s="172"/>
      <c r="J899" s="172"/>
      <c r="K899" s="172"/>
      <c r="L899" s="172"/>
      <c r="M899" s="172"/>
      <c r="N899" s="172"/>
      <c r="O899" s="172"/>
      <c r="P899" s="172"/>
      <c r="Q899" s="172"/>
      <c r="R899" s="172"/>
      <c r="S899" s="172"/>
      <c r="T899" s="172"/>
      <c r="U899" s="172"/>
      <c r="V899" s="172"/>
      <c r="W899" s="172"/>
      <c r="X899" s="172"/>
      <c r="Y899" s="172"/>
      <c r="Z899" s="172"/>
    </row>
    <row r="900" spans="1:26" ht="18.75">
      <c r="A900" s="172"/>
      <c r="B900" s="172"/>
      <c r="C900" s="172"/>
      <c r="D900" s="172"/>
      <c r="E900" s="172"/>
      <c r="F900" s="172"/>
      <c r="G900" s="172"/>
      <c r="H900" s="172"/>
      <c r="I900" s="172"/>
      <c r="J900" s="172"/>
      <c r="K900" s="172"/>
      <c r="L900" s="172"/>
      <c r="M900" s="172"/>
      <c r="N900" s="172"/>
      <c r="O900" s="172"/>
      <c r="P900" s="172"/>
      <c r="Q900" s="172"/>
      <c r="R900" s="172"/>
      <c r="S900" s="172"/>
      <c r="T900" s="172"/>
      <c r="U900" s="172"/>
      <c r="V900" s="172"/>
      <c r="W900" s="172"/>
      <c r="X900" s="172"/>
      <c r="Y900" s="172"/>
      <c r="Z900" s="172"/>
    </row>
    <row r="901" spans="1:26" ht="18.75">
      <c r="A901" s="172"/>
      <c r="B901" s="172"/>
      <c r="C901" s="172"/>
      <c r="D901" s="172"/>
      <c r="E901" s="172"/>
      <c r="F901" s="172"/>
      <c r="G901" s="172"/>
      <c r="H901" s="172"/>
      <c r="I901" s="172"/>
      <c r="J901" s="172"/>
      <c r="K901" s="172"/>
      <c r="L901" s="172"/>
      <c r="M901" s="172"/>
      <c r="N901" s="172"/>
      <c r="O901" s="172"/>
      <c r="P901" s="172"/>
      <c r="Q901" s="172"/>
      <c r="R901" s="172"/>
      <c r="S901" s="172"/>
      <c r="T901" s="172"/>
      <c r="U901" s="172"/>
      <c r="V901" s="172"/>
      <c r="W901" s="172"/>
      <c r="X901" s="172"/>
      <c r="Y901" s="172"/>
      <c r="Z901" s="172"/>
    </row>
    <row r="902" spans="1:26" ht="18.75">
      <c r="A902" s="172"/>
      <c r="B902" s="172"/>
      <c r="C902" s="172"/>
      <c r="D902" s="172"/>
      <c r="E902" s="172"/>
      <c r="F902" s="172"/>
      <c r="G902" s="172"/>
      <c r="H902" s="172"/>
      <c r="I902" s="172"/>
      <c r="J902" s="172"/>
      <c r="K902" s="172"/>
      <c r="L902" s="172"/>
      <c r="M902" s="172"/>
      <c r="N902" s="172"/>
      <c r="O902" s="172"/>
      <c r="P902" s="172"/>
      <c r="Q902" s="172"/>
      <c r="R902" s="172"/>
      <c r="S902" s="172"/>
      <c r="T902" s="172"/>
      <c r="U902" s="172"/>
      <c r="V902" s="172"/>
      <c r="W902" s="172"/>
      <c r="X902" s="172"/>
      <c r="Y902" s="172"/>
      <c r="Z902" s="172"/>
    </row>
    <row r="903" spans="1:26" ht="18.75">
      <c r="A903" s="172"/>
      <c r="B903" s="172"/>
      <c r="C903" s="172"/>
      <c r="D903" s="172"/>
      <c r="E903" s="172"/>
      <c r="F903" s="172"/>
      <c r="G903" s="172"/>
      <c r="H903" s="172"/>
      <c r="I903" s="172"/>
      <c r="J903" s="172"/>
      <c r="K903" s="172"/>
      <c r="L903" s="172"/>
      <c r="M903" s="172"/>
      <c r="N903" s="172"/>
      <c r="O903" s="172"/>
      <c r="P903" s="172"/>
      <c r="Q903" s="172"/>
      <c r="R903" s="172"/>
      <c r="S903" s="172"/>
      <c r="T903" s="172"/>
      <c r="U903" s="172"/>
      <c r="V903" s="172"/>
      <c r="W903" s="172"/>
      <c r="X903" s="172"/>
      <c r="Y903" s="172"/>
      <c r="Z903" s="172"/>
    </row>
    <row r="904" spans="1:26" ht="18.75">
      <c r="A904" s="172"/>
      <c r="B904" s="172"/>
      <c r="C904" s="172"/>
      <c r="D904" s="172"/>
      <c r="E904" s="172"/>
      <c r="F904" s="172"/>
      <c r="G904" s="172"/>
      <c r="H904" s="172"/>
      <c r="I904" s="172"/>
      <c r="J904" s="172"/>
      <c r="K904" s="172"/>
      <c r="L904" s="172"/>
      <c r="M904" s="172"/>
      <c r="N904" s="172"/>
      <c r="O904" s="172"/>
      <c r="P904" s="172"/>
      <c r="Q904" s="172"/>
      <c r="R904" s="172"/>
      <c r="S904" s="172"/>
      <c r="T904" s="172"/>
      <c r="U904" s="172"/>
      <c r="V904" s="172"/>
      <c r="W904" s="172"/>
      <c r="X904" s="172"/>
      <c r="Y904" s="172"/>
      <c r="Z904" s="172"/>
    </row>
    <row r="905" spans="1:26" ht="18.75">
      <c r="A905" s="172"/>
      <c r="B905" s="172"/>
      <c r="C905" s="172"/>
      <c r="D905" s="172"/>
      <c r="E905" s="172"/>
      <c r="F905" s="172"/>
      <c r="G905" s="172"/>
      <c r="H905" s="172"/>
      <c r="I905" s="172"/>
      <c r="J905" s="172"/>
      <c r="K905" s="172"/>
      <c r="L905" s="172"/>
      <c r="M905" s="172"/>
      <c r="N905" s="172"/>
      <c r="O905" s="172"/>
      <c r="P905" s="172"/>
      <c r="Q905" s="172"/>
      <c r="R905" s="172"/>
      <c r="S905" s="172"/>
      <c r="T905" s="172"/>
      <c r="U905" s="172"/>
      <c r="V905" s="172"/>
      <c r="W905" s="172"/>
      <c r="X905" s="172"/>
      <c r="Y905" s="172"/>
      <c r="Z905" s="172"/>
    </row>
    <row r="906" spans="1:26" ht="18.75">
      <c r="A906" s="172"/>
      <c r="B906" s="172"/>
      <c r="C906" s="172"/>
      <c r="D906" s="172"/>
      <c r="E906" s="172"/>
      <c r="F906" s="172"/>
      <c r="G906" s="172"/>
      <c r="H906" s="172"/>
      <c r="I906" s="172"/>
      <c r="J906" s="172"/>
      <c r="K906" s="172"/>
      <c r="L906" s="172"/>
      <c r="M906" s="172"/>
      <c r="N906" s="172"/>
      <c r="O906" s="172"/>
      <c r="P906" s="172"/>
      <c r="Q906" s="172"/>
      <c r="R906" s="172"/>
      <c r="S906" s="172"/>
      <c r="T906" s="172"/>
      <c r="U906" s="172"/>
      <c r="V906" s="172"/>
      <c r="W906" s="172"/>
      <c r="X906" s="172"/>
      <c r="Y906" s="172"/>
      <c r="Z906" s="172"/>
    </row>
    <row r="907" spans="1:26" ht="18.75">
      <c r="A907" s="172"/>
      <c r="B907" s="172"/>
      <c r="C907" s="172"/>
      <c r="D907" s="172"/>
      <c r="E907" s="172"/>
      <c r="F907" s="172"/>
      <c r="G907" s="172"/>
      <c r="H907" s="172"/>
      <c r="I907" s="172"/>
      <c r="J907" s="172"/>
      <c r="K907" s="172"/>
      <c r="L907" s="172"/>
      <c r="M907" s="172"/>
      <c r="N907" s="172"/>
      <c r="O907" s="172"/>
      <c r="P907" s="172"/>
      <c r="Q907" s="172"/>
      <c r="R907" s="172"/>
      <c r="S907" s="172"/>
      <c r="T907" s="172"/>
      <c r="U907" s="172"/>
      <c r="V907" s="172"/>
      <c r="W907" s="172"/>
      <c r="X907" s="172"/>
      <c r="Y907" s="172"/>
      <c r="Z907" s="172"/>
    </row>
    <row r="908" spans="1:26" ht="18.75">
      <c r="A908" s="172"/>
      <c r="B908" s="172"/>
      <c r="C908" s="172"/>
      <c r="D908" s="172"/>
      <c r="E908" s="172"/>
      <c r="F908" s="172"/>
      <c r="G908" s="172"/>
      <c r="H908" s="172"/>
      <c r="I908" s="172"/>
      <c r="J908" s="172"/>
      <c r="K908" s="172"/>
      <c r="L908" s="172"/>
      <c r="M908" s="172"/>
      <c r="N908" s="172"/>
      <c r="O908" s="172"/>
      <c r="P908" s="172"/>
      <c r="Q908" s="172"/>
      <c r="R908" s="172"/>
      <c r="S908" s="172"/>
      <c r="T908" s="172"/>
      <c r="U908" s="172"/>
      <c r="V908" s="172"/>
      <c r="W908" s="172"/>
      <c r="X908" s="172"/>
      <c r="Y908" s="172"/>
      <c r="Z908" s="172"/>
    </row>
    <row r="909" spans="1:26" ht="18.75">
      <c r="A909" s="172"/>
      <c r="B909" s="172"/>
      <c r="C909" s="172"/>
      <c r="D909" s="172"/>
      <c r="E909" s="172"/>
      <c r="F909" s="172"/>
      <c r="G909" s="172"/>
      <c r="H909" s="172"/>
      <c r="I909" s="172"/>
      <c r="J909" s="172"/>
      <c r="K909" s="172"/>
      <c r="L909" s="172"/>
      <c r="M909" s="172"/>
      <c r="N909" s="172"/>
      <c r="O909" s="172"/>
      <c r="P909" s="172"/>
      <c r="Q909" s="172"/>
      <c r="R909" s="172"/>
      <c r="S909" s="172"/>
      <c r="T909" s="172"/>
      <c r="U909" s="172"/>
      <c r="V909" s="172"/>
      <c r="W909" s="172"/>
      <c r="X909" s="172"/>
      <c r="Y909" s="172"/>
      <c r="Z909" s="172"/>
    </row>
    <row r="910" spans="1:26" ht="18.75">
      <c r="A910" s="172"/>
      <c r="B910" s="172"/>
      <c r="C910" s="172"/>
      <c r="D910" s="172"/>
      <c r="E910" s="172"/>
      <c r="F910" s="172"/>
      <c r="G910" s="172"/>
      <c r="H910" s="172"/>
      <c r="I910" s="172"/>
      <c r="J910" s="172"/>
      <c r="K910" s="172"/>
      <c r="L910" s="172"/>
      <c r="M910" s="172"/>
      <c r="N910" s="172"/>
      <c r="O910" s="172"/>
      <c r="P910" s="172"/>
      <c r="Q910" s="172"/>
      <c r="R910" s="172"/>
      <c r="S910" s="172"/>
      <c r="T910" s="172"/>
      <c r="U910" s="172"/>
      <c r="V910" s="172"/>
      <c r="W910" s="172"/>
      <c r="X910" s="172"/>
      <c r="Y910" s="172"/>
      <c r="Z910" s="172"/>
    </row>
    <row r="911" spans="1:26" ht="18.75">
      <c r="A911" s="172"/>
      <c r="B911" s="172"/>
      <c r="C911" s="172"/>
      <c r="D911" s="172"/>
      <c r="E911" s="172"/>
      <c r="F911" s="172"/>
      <c r="G911" s="172"/>
      <c r="H911" s="172"/>
      <c r="I911" s="172"/>
      <c r="J911" s="172"/>
      <c r="K911" s="172"/>
      <c r="L911" s="172"/>
      <c r="M911" s="172"/>
      <c r="N911" s="172"/>
      <c r="O911" s="172"/>
      <c r="P911" s="172"/>
      <c r="Q911" s="172"/>
      <c r="R911" s="172"/>
      <c r="S911" s="172"/>
      <c r="T911" s="172"/>
      <c r="U911" s="172"/>
      <c r="V911" s="172"/>
      <c r="W911" s="172"/>
      <c r="X911" s="172"/>
      <c r="Y911" s="172"/>
      <c r="Z911" s="172"/>
    </row>
    <row r="912" spans="1:26" ht="18.75">
      <c r="A912" s="172"/>
      <c r="B912" s="172"/>
      <c r="C912" s="172"/>
      <c r="D912" s="172"/>
      <c r="E912" s="172"/>
      <c r="F912" s="172"/>
      <c r="G912" s="172"/>
      <c r="H912" s="172"/>
      <c r="I912" s="172"/>
      <c r="J912" s="172"/>
      <c r="K912" s="172"/>
      <c r="L912" s="172"/>
      <c r="M912" s="172"/>
      <c r="N912" s="172"/>
      <c r="O912" s="172"/>
      <c r="P912" s="172"/>
      <c r="Q912" s="172"/>
      <c r="R912" s="172"/>
      <c r="S912" s="172"/>
      <c r="T912" s="172"/>
      <c r="U912" s="172"/>
      <c r="V912" s="172"/>
      <c r="W912" s="172"/>
      <c r="X912" s="172"/>
      <c r="Y912" s="172"/>
      <c r="Z912" s="172"/>
    </row>
    <row r="913" spans="1:26" ht="18.75">
      <c r="A913" s="172"/>
      <c r="B913" s="172"/>
      <c r="C913" s="172"/>
      <c r="D913" s="172"/>
      <c r="E913" s="172"/>
      <c r="F913" s="172"/>
      <c r="G913" s="172"/>
      <c r="H913" s="172"/>
      <c r="I913" s="172"/>
      <c r="J913" s="172"/>
      <c r="K913" s="172"/>
      <c r="L913" s="172"/>
      <c r="M913" s="172"/>
      <c r="N913" s="172"/>
      <c r="O913" s="172"/>
      <c r="P913" s="172"/>
      <c r="Q913" s="172"/>
      <c r="R913" s="172"/>
      <c r="S913" s="172"/>
      <c r="T913" s="172"/>
      <c r="U913" s="172"/>
      <c r="V913" s="172"/>
      <c r="W913" s="172"/>
      <c r="X913" s="172"/>
      <c r="Y913" s="172"/>
      <c r="Z913" s="172"/>
    </row>
    <row r="914" spans="1:26" ht="18.75">
      <c r="A914" s="172"/>
      <c r="B914" s="172"/>
      <c r="C914" s="172"/>
      <c r="D914" s="172"/>
      <c r="E914" s="172"/>
      <c r="F914" s="172"/>
      <c r="G914" s="172"/>
      <c r="H914" s="172"/>
      <c r="I914" s="172"/>
      <c r="J914" s="172"/>
      <c r="K914" s="172"/>
      <c r="L914" s="172"/>
      <c r="M914" s="172"/>
      <c r="N914" s="172"/>
      <c r="O914" s="172"/>
      <c r="P914" s="172"/>
      <c r="Q914" s="172"/>
      <c r="R914" s="172"/>
      <c r="S914" s="172"/>
      <c r="T914" s="172"/>
      <c r="U914" s="172"/>
      <c r="V914" s="172"/>
      <c r="W914" s="172"/>
      <c r="X914" s="172"/>
      <c r="Y914" s="172"/>
      <c r="Z914" s="172"/>
    </row>
    <row r="915" spans="1:26" ht="18.75">
      <c r="A915" s="172"/>
      <c r="B915" s="172"/>
      <c r="C915" s="172"/>
      <c r="D915" s="172"/>
      <c r="E915" s="172"/>
      <c r="F915" s="172"/>
      <c r="G915" s="172"/>
      <c r="H915" s="172"/>
      <c r="I915" s="172"/>
      <c r="J915" s="172"/>
      <c r="K915" s="172"/>
      <c r="L915" s="172"/>
      <c r="M915" s="172"/>
      <c r="N915" s="172"/>
      <c r="O915" s="172"/>
      <c r="P915" s="172"/>
      <c r="Q915" s="172"/>
      <c r="R915" s="172"/>
      <c r="S915" s="172"/>
      <c r="T915" s="172"/>
      <c r="U915" s="172"/>
      <c r="V915" s="172"/>
      <c r="W915" s="172"/>
      <c r="X915" s="172"/>
      <c r="Y915" s="172"/>
      <c r="Z915" s="172"/>
    </row>
    <row r="916" spans="1:26" ht="18.75">
      <c r="A916" s="172"/>
      <c r="B916" s="172"/>
      <c r="C916" s="172"/>
      <c r="D916" s="172"/>
      <c r="E916" s="172"/>
      <c r="F916" s="172"/>
      <c r="G916" s="172"/>
      <c r="H916" s="172"/>
      <c r="I916" s="172"/>
      <c r="J916" s="172"/>
      <c r="K916" s="172"/>
      <c r="L916" s="172"/>
      <c r="M916" s="172"/>
      <c r="N916" s="172"/>
      <c r="O916" s="172"/>
      <c r="P916" s="172"/>
      <c r="Q916" s="172"/>
      <c r="R916" s="172"/>
      <c r="S916" s="172"/>
      <c r="T916" s="172"/>
      <c r="U916" s="172"/>
      <c r="V916" s="172"/>
      <c r="W916" s="172"/>
      <c r="X916" s="172"/>
      <c r="Y916" s="172"/>
      <c r="Z916" s="172"/>
    </row>
    <row r="917" spans="1:26" ht="18.75">
      <c r="A917" s="172"/>
      <c r="B917" s="172"/>
      <c r="C917" s="172"/>
      <c r="D917" s="172"/>
      <c r="E917" s="172"/>
      <c r="F917" s="172"/>
      <c r="G917" s="172"/>
      <c r="H917" s="172"/>
      <c r="I917" s="172"/>
      <c r="J917" s="172"/>
      <c r="K917" s="172"/>
      <c r="L917" s="172"/>
      <c r="M917" s="172"/>
      <c r="N917" s="172"/>
      <c r="O917" s="172"/>
      <c r="P917" s="172"/>
      <c r="Q917" s="172"/>
      <c r="R917" s="172"/>
      <c r="S917" s="172"/>
      <c r="T917" s="172"/>
      <c r="U917" s="172"/>
      <c r="V917" s="172"/>
      <c r="W917" s="172"/>
      <c r="X917" s="172"/>
      <c r="Y917" s="172"/>
      <c r="Z917" s="172"/>
    </row>
    <row r="918" spans="1:26" ht="18.75">
      <c r="A918" s="172"/>
      <c r="B918" s="172"/>
      <c r="C918" s="172"/>
      <c r="D918" s="172"/>
      <c r="E918" s="172"/>
      <c r="F918" s="172"/>
      <c r="G918" s="172"/>
      <c r="H918" s="172"/>
      <c r="I918" s="172"/>
      <c r="J918" s="172"/>
      <c r="K918" s="172"/>
      <c r="L918" s="172"/>
      <c r="M918" s="172"/>
      <c r="N918" s="172"/>
      <c r="O918" s="172"/>
      <c r="P918" s="172"/>
      <c r="Q918" s="172"/>
      <c r="R918" s="172"/>
      <c r="S918" s="172"/>
      <c r="T918" s="172"/>
      <c r="U918" s="172"/>
      <c r="V918" s="172"/>
      <c r="W918" s="172"/>
      <c r="X918" s="172"/>
      <c r="Y918" s="172"/>
      <c r="Z918" s="172"/>
    </row>
    <row r="919" spans="1:26" ht="18.75">
      <c r="A919" s="172"/>
      <c r="B919" s="172"/>
      <c r="C919" s="172"/>
      <c r="D919" s="172"/>
      <c r="E919" s="172"/>
      <c r="F919" s="172"/>
      <c r="G919" s="172"/>
      <c r="H919" s="172"/>
      <c r="I919" s="172"/>
      <c r="J919" s="172"/>
      <c r="K919" s="172"/>
      <c r="L919" s="172"/>
      <c r="M919" s="172"/>
      <c r="N919" s="172"/>
      <c r="O919" s="172"/>
      <c r="P919" s="172"/>
      <c r="Q919" s="172"/>
      <c r="R919" s="172"/>
      <c r="S919" s="172"/>
      <c r="T919" s="172"/>
      <c r="U919" s="172"/>
      <c r="V919" s="172"/>
      <c r="W919" s="172"/>
      <c r="X919" s="172"/>
      <c r="Y919" s="172"/>
      <c r="Z919" s="172"/>
    </row>
    <row r="920" spans="1:26" ht="18.75">
      <c r="A920" s="172"/>
      <c r="B920" s="172"/>
      <c r="C920" s="172"/>
      <c r="D920" s="172"/>
      <c r="E920" s="172"/>
      <c r="F920" s="172"/>
      <c r="G920" s="172"/>
      <c r="H920" s="172"/>
      <c r="I920" s="172"/>
      <c r="J920" s="172"/>
      <c r="K920" s="172"/>
      <c r="L920" s="172"/>
      <c r="M920" s="172"/>
      <c r="N920" s="172"/>
      <c r="O920" s="172"/>
      <c r="P920" s="172"/>
      <c r="Q920" s="172"/>
      <c r="R920" s="172"/>
      <c r="S920" s="172"/>
      <c r="T920" s="172"/>
      <c r="U920" s="172"/>
      <c r="V920" s="172"/>
      <c r="W920" s="172"/>
      <c r="X920" s="172"/>
      <c r="Y920" s="172"/>
      <c r="Z920" s="172"/>
    </row>
    <row r="921" spans="1:26" ht="18.75">
      <c r="A921" s="172"/>
      <c r="B921" s="172"/>
      <c r="C921" s="172"/>
      <c r="D921" s="172"/>
      <c r="E921" s="172"/>
      <c r="F921" s="172"/>
      <c r="G921" s="172"/>
      <c r="H921" s="172"/>
      <c r="I921" s="172"/>
      <c r="J921" s="172"/>
      <c r="K921" s="172"/>
      <c r="L921" s="172"/>
      <c r="M921" s="172"/>
      <c r="N921" s="172"/>
      <c r="O921" s="172"/>
      <c r="P921" s="172"/>
      <c r="Q921" s="172"/>
      <c r="R921" s="172"/>
      <c r="S921" s="172"/>
      <c r="T921" s="172"/>
      <c r="U921" s="172"/>
      <c r="V921" s="172"/>
      <c r="W921" s="172"/>
      <c r="X921" s="172"/>
      <c r="Y921" s="172"/>
      <c r="Z921" s="172"/>
    </row>
    <row r="922" spans="1:26" ht="18.75">
      <c r="A922" s="172"/>
      <c r="B922" s="172"/>
      <c r="C922" s="172"/>
      <c r="D922" s="172"/>
      <c r="E922" s="172"/>
      <c r="F922" s="172"/>
      <c r="G922" s="172"/>
      <c r="H922" s="172"/>
      <c r="I922" s="172"/>
      <c r="J922" s="172"/>
      <c r="K922" s="172"/>
      <c r="L922" s="172"/>
      <c r="M922" s="172"/>
      <c r="N922" s="172"/>
      <c r="O922" s="172"/>
      <c r="P922" s="172"/>
      <c r="Q922" s="172"/>
      <c r="R922" s="172"/>
      <c r="S922" s="172"/>
      <c r="T922" s="172"/>
      <c r="U922" s="172"/>
      <c r="V922" s="172"/>
      <c r="W922" s="172"/>
      <c r="X922" s="172"/>
      <c r="Y922" s="172"/>
      <c r="Z922" s="172"/>
    </row>
    <row r="923" spans="1:26" ht="18.75">
      <c r="A923" s="172"/>
      <c r="B923" s="172"/>
      <c r="C923" s="172"/>
      <c r="D923" s="172"/>
      <c r="E923" s="172"/>
      <c r="F923" s="172"/>
      <c r="G923" s="172"/>
      <c r="H923" s="172"/>
      <c r="I923" s="172"/>
      <c r="J923" s="172"/>
      <c r="K923" s="172"/>
      <c r="L923" s="172"/>
      <c r="M923" s="172"/>
      <c r="N923" s="172"/>
      <c r="O923" s="172"/>
      <c r="P923" s="172"/>
      <c r="Q923" s="172"/>
      <c r="R923" s="172"/>
      <c r="S923" s="172"/>
      <c r="T923" s="172"/>
      <c r="U923" s="172"/>
      <c r="V923" s="172"/>
      <c r="W923" s="172"/>
      <c r="X923" s="172"/>
      <c r="Y923" s="172"/>
      <c r="Z923" s="172"/>
    </row>
    <row r="924" spans="1:26" ht="18.75">
      <c r="A924" s="172"/>
      <c r="B924" s="172"/>
      <c r="C924" s="172"/>
      <c r="D924" s="172"/>
      <c r="E924" s="172"/>
      <c r="F924" s="172"/>
      <c r="G924" s="172"/>
      <c r="H924" s="172"/>
      <c r="I924" s="172"/>
      <c r="J924" s="172"/>
      <c r="K924" s="172"/>
      <c r="L924" s="172"/>
      <c r="M924" s="172"/>
      <c r="N924" s="172"/>
      <c r="O924" s="172"/>
      <c r="P924" s="172"/>
      <c r="Q924" s="172"/>
      <c r="R924" s="172"/>
      <c r="S924" s="172"/>
      <c r="T924" s="172"/>
      <c r="U924" s="172"/>
      <c r="V924" s="172"/>
      <c r="W924" s="172"/>
      <c r="X924" s="172"/>
      <c r="Y924" s="172"/>
      <c r="Z924" s="172"/>
    </row>
    <row r="925" spans="1:26" ht="18.75">
      <c r="A925" s="172"/>
      <c r="B925" s="172"/>
      <c r="C925" s="172"/>
      <c r="D925" s="172"/>
      <c r="E925" s="172"/>
      <c r="F925" s="172"/>
      <c r="G925" s="172"/>
      <c r="H925" s="172"/>
      <c r="I925" s="172"/>
      <c r="J925" s="172"/>
      <c r="K925" s="172"/>
      <c r="L925" s="172"/>
      <c r="M925" s="172"/>
      <c r="N925" s="172"/>
      <c r="O925" s="172"/>
      <c r="P925" s="172"/>
      <c r="Q925" s="172"/>
      <c r="R925" s="172"/>
      <c r="S925" s="172"/>
      <c r="T925" s="172"/>
      <c r="U925" s="172"/>
      <c r="V925" s="172"/>
      <c r="W925" s="172"/>
      <c r="X925" s="172"/>
      <c r="Y925" s="172"/>
      <c r="Z925" s="172"/>
    </row>
    <row r="926" spans="1:26" ht="18.75">
      <c r="A926" s="172"/>
      <c r="B926" s="172"/>
      <c r="C926" s="172"/>
      <c r="D926" s="172"/>
      <c r="E926" s="172"/>
      <c r="F926" s="172"/>
      <c r="G926" s="172"/>
      <c r="H926" s="172"/>
      <c r="I926" s="172"/>
      <c r="J926" s="172"/>
      <c r="K926" s="172"/>
      <c r="L926" s="172"/>
      <c r="M926" s="172"/>
      <c r="N926" s="172"/>
      <c r="O926" s="172"/>
      <c r="P926" s="172"/>
      <c r="Q926" s="172"/>
      <c r="R926" s="172"/>
      <c r="S926" s="172"/>
      <c r="T926" s="172"/>
      <c r="U926" s="172"/>
      <c r="V926" s="172"/>
      <c r="W926" s="172"/>
      <c r="X926" s="172"/>
      <c r="Y926" s="172"/>
      <c r="Z926" s="172"/>
    </row>
    <row r="927" spans="1:26" ht="18.75">
      <c r="A927" s="172"/>
      <c r="B927" s="172"/>
      <c r="C927" s="172"/>
      <c r="D927" s="172"/>
      <c r="E927" s="172"/>
      <c r="F927" s="172"/>
      <c r="G927" s="172"/>
      <c r="H927" s="172"/>
      <c r="I927" s="172"/>
      <c r="J927" s="172"/>
      <c r="K927" s="172"/>
      <c r="L927" s="172"/>
      <c r="M927" s="172"/>
      <c r="N927" s="172"/>
      <c r="O927" s="172"/>
      <c r="P927" s="172"/>
      <c r="Q927" s="172"/>
      <c r="R927" s="172"/>
      <c r="S927" s="172"/>
      <c r="T927" s="172"/>
      <c r="U927" s="172"/>
      <c r="V927" s="172"/>
      <c r="W927" s="172"/>
      <c r="X927" s="172"/>
      <c r="Y927" s="172"/>
      <c r="Z927" s="172"/>
    </row>
    <row r="928" spans="1:26" ht="18.75">
      <c r="A928" s="172"/>
      <c r="B928" s="172"/>
      <c r="C928" s="172"/>
      <c r="D928" s="172"/>
      <c r="E928" s="172"/>
      <c r="F928" s="172"/>
      <c r="G928" s="172"/>
      <c r="H928" s="172"/>
      <c r="I928" s="172"/>
      <c r="J928" s="172"/>
      <c r="K928" s="172"/>
      <c r="L928" s="172"/>
      <c r="M928" s="172"/>
      <c r="N928" s="172"/>
      <c r="O928" s="172"/>
      <c r="P928" s="172"/>
      <c r="Q928" s="172"/>
      <c r="R928" s="172"/>
      <c r="S928" s="172"/>
      <c r="T928" s="172"/>
      <c r="U928" s="172"/>
      <c r="V928" s="172"/>
      <c r="W928" s="172"/>
      <c r="X928" s="172"/>
      <c r="Y928" s="172"/>
      <c r="Z928" s="172"/>
    </row>
    <row r="929" spans="1:26" ht="18.75">
      <c r="A929" s="172"/>
      <c r="B929" s="172"/>
      <c r="C929" s="172"/>
      <c r="D929" s="172"/>
      <c r="E929" s="172"/>
      <c r="F929" s="172"/>
      <c r="G929" s="172"/>
      <c r="H929" s="172"/>
      <c r="I929" s="172"/>
      <c r="J929" s="172"/>
      <c r="K929" s="172"/>
      <c r="L929" s="172"/>
      <c r="M929" s="172"/>
      <c r="N929" s="172"/>
      <c r="O929" s="172"/>
      <c r="P929" s="172"/>
      <c r="Q929" s="172"/>
      <c r="R929" s="172"/>
      <c r="S929" s="172"/>
      <c r="T929" s="172"/>
      <c r="U929" s="172"/>
      <c r="V929" s="172"/>
      <c r="W929" s="172"/>
      <c r="X929" s="172"/>
      <c r="Y929" s="172"/>
      <c r="Z929" s="172"/>
    </row>
    <row r="930" spans="1:26" ht="18.75">
      <c r="A930" s="172"/>
      <c r="B930" s="172"/>
      <c r="C930" s="172"/>
      <c r="D930" s="172"/>
      <c r="E930" s="172"/>
      <c r="F930" s="172"/>
      <c r="G930" s="172"/>
      <c r="H930" s="172"/>
      <c r="I930" s="172"/>
      <c r="J930" s="172"/>
      <c r="K930" s="172"/>
      <c r="L930" s="172"/>
      <c r="M930" s="172"/>
      <c r="N930" s="172"/>
      <c r="O930" s="172"/>
      <c r="P930" s="172"/>
      <c r="Q930" s="172"/>
      <c r="R930" s="172"/>
      <c r="S930" s="172"/>
      <c r="T930" s="172"/>
      <c r="U930" s="172"/>
      <c r="V930" s="172"/>
      <c r="W930" s="172"/>
      <c r="X930" s="172"/>
      <c r="Y930" s="172"/>
      <c r="Z930" s="172"/>
    </row>
    <row r="931" spans="1:26" ht="18.75">
      <c r="A931" s="172"/>
      <c r="B931" s="172"/>
      <c r="C931" s="172"/>
      <c r="D931" s="172"/>
      <c r="E931" s="172"/>
      <c r="F931" s="172"/>
      <c r="G931" s="172"/>
      <c r="H931" s="172"/>
      <c r="I931" s="172"/>
      <c r="J931" s="172"/>
      <c r="K931" s="172"/>
      <c r="L931" s="172"/>
      <c r="M931" s="172"/>
      <c r="N931" s="172"/>
      <c r="O931" s="172"/>
      <c r="P931" s="172"/>
      <c r="Q931" s="172"/>
      <c r="R931" s="172"/>
      <c r="S931" s="172"/>
      <c r="T931" s="172"/>
      <c r="U931" s="172"/>
      <c r="V931" s="172"/>
      <c r="W931" s="172"/>
      <c r="X931" s="172"/>
      <c r="Y931" s="172"/>
      <c r="Z931" s="172"/>
    </row>
    <row r="932" spans="1:26" ht="18.75">
      <c r="A932" s="172"/>
      <c r="B932" s="172"/>
      <c r="C932" s="172"/>
      <c r="D932" s="172"/>
      <c r="E932" s="172"/>
      <c r="F932" s="172"/>
      <c r="G932" s="172"/>
      <c r="H932" s="172"/>
      <c r="I932" s="172"/>
      <c r="J932" s="172"/>
      <c r="K932" s="172"/>
      <c r="L932" s="172"/>
      <c r="M932" s="172"/>
      <c r="N932" s="172"/>
      <c r="O932" s="172"/>
      <c r="P932" s="172"/>
      <c r="Q932" s="172"/>
      <c r="R932" s="172"/>
      <c r="S932" s="172"/>
      <c r="T932" s="172"/>
      <c r="U932" s="172"/>
      <c r="V932" s="172"/>
      <c r="W932" s="172"/>
      <c r="X932" s="172"/>
      <c r="Y932" s="172"/>
      <c r="Z932" s="172"/>
    </row>
    <row r="933" spans="1:26" ht="18.75">
      <c r="A933" s="172"/>
      <c r="B933" s="172"/>
      <c r="C933" s="172"/>
      <c r="D933" s="172"/>
      <c r="E933" s="172"/>
      <c r="F933" s="172"/>
      <c r="G933" s="172"/>
      <c r="H933" s="172"/>
      <c r="I933" s="172"/>
      <c r="J933" s="172"/>
      <c r="K933" s="172"/>
      <c r="L933" s="172"/>
      <c r="M933" s="172"/>
      <c r="N933" s="172"/>
      <c r="O933" s="172"/>
      <c r="P933" s="172"/>
      <c r="Q933" s="172"/>
      <c r="R933" s="172"/>
      <c r="S933" s="172"/>
      <c r="T933" s="172"/>
      <c r="U933" s="172"/>
      <c r="V933" s="172"/>
      <c r="W933" s="172"/>
      <c r="X933" s="172"/>
      <c r="Y933" s="172"/>
      <c r="Z933" s="172"/>
    </row>
    <row r="934" spans="1:26" ht="18.75">
      <c r="A934" s="172"/>
      <c r="B934" s="172"/>
      <c r="C934" s="172"/>
      <c r="D934" s="172"/>
      <c r="E934" s="172"/>
      <c r="F934" s="172"/>
      <c r="G934" s="172"/>
      <c r="H934" s="172"/>
      <c r="I934" s="172"/>
      <c r="J934" s="172"/>
      <c r="K934" s="172"/>
      <c r="L934" s="172"/>
      <c r="M934" s="172"/>
      <c r="N934" s="172"/>
      <c r="O934" s="172"/>
      <c r="P934" s="172"/>
      <c r="Q934" s="172"/>
      <c r="R934" s="172"/>
      <c r="S934" s="172"/>
      <c r="T934" s="172"/>
      <c r="U934" s="172"/>
      <c r="V934" s="172"/>
      <c r="W934" s="172"/>
      <c r="X934" s="172"/>
      <c r="Y934" s="172"/>
      <c r="Z934" s="172"/>
    </row>
    <row r="935" spans="1:26" ht="18.75">
      <c r="A935" s="172"/>
      <c r="B935" s="172"/>
      <c r="C935" s="172"/>
      <c r="D935" s="172"/>
      <c r="E935" s="172"/>
      <c r="F935" s="172"/>
      <c r="G935" s="172"/>
      <c r="H935" s="172"/>
      <c r="I935" s="172"/>
      <c r="J935" s="172"/>
      <c r="K935" s="172"/>
      <c r="L935" s="172"/>
      <c r="M935" s="172"/>
      <c r="N935" s="172"/>
      <c r="O935" s="172"/>
      <c r="P935" s="172"/>
      <c r="Q935" s="172"/>
      <c r="R935" s="172"/>
      <c r="S935" s="172"/>
      <c r="T935" s="172"/>
      <c r="U935" s="172"/>
      <c r="V935" s="172"/>
      <c r="W935" s="172"/>
      <c r="X935" s="172"/>
      <c r="Y935" s="172"/>
      <c r="Z935" s="172"/>
    </row>
    <row r="936" spans="1:26" ht="18.75">
      <c r="A936" s="172"/>
      <c r="B936" s="172"/>
      <c r="C936" s="172"/>
      <c r="D936" s="172"/>
      <c r="E936" s="172"/>
      <c r="F936" s="172"/>
      <c r="G936" s="172"/>
      <c r="H936" s="172"/>
      <c r="I936" s="172"/>
      <c r="J936" s="172"/>
      <c r="K936" s="172"/>
      <c r="L936" s="172"/>
      <c r="M936" s="172"/>
      <c r="N936" s="172"/>
      <c r="O936" s="172"/>
      <c r="P936" s="172"/>
      <c r="Q936" s="172"/>
      <c r="R936" s="172"/>
      <c r="S936" s="172"/>
      <c r="T936" s="172"/>
      <c r="U936" s="172"/>
      <c r="V936" s="172"/>
      <c r="W936" s="172"/>
      <c r="X936" s="172"/>
      <c r="Y936" s="172"/>
      <c r="Z936" s="172"/>
    </row>
    <row r="937" spans="1:26" ht="18.75">
      <c r="A937" s="172"/>
      <c r="B937" s="172"/>
      <c r="C937" s="172"/>
      <c r="D937" s="172"/>
      <c r="E937" s="172"/>
      <c r="F937" s="172"/>
      <c r="G937" s="172"/>
      <c r="H937" s="172"/>
      <c r="I937" s="172"/>
      <c r="J937" s="172"/>
      <c r="K937" s="172"/>
      <c r="L937" s="172"/>
      <c r="M937" s="172"/>
      <c r="N937" s="172"/>
      <c r="O937" s="172"/>
      <c r="P937" s="172"/>
      <c r="Q937" s="172"/>
      <c r="R937" s="172"/>
      <c r="S937" s="172"/>
      <c r="T937" s="172"/>
      <c r="U937" s="172"/>
      <c r="V937" s="172"/>
      <c r="W937" s="172"/>
      <c r="X937" s="172"/>
      <c r="Y937" s="172"/>
      <c r="Z937" s="172"/>
    </row>
    <row r="938" spans="1:26" ht="18.75">
      <c r="A938" s="172"/>
      <c r="B938" s="172"/>
      <c r="C938" s="172"/>
      <c r="D938" s="172"/>
      <c r="E938" s="172"/>
      <c r="F938" s="172"/>
      <c r="G938" s="172"/>
      <c r="H938" s="172"/>
      <c r="I938" s="172"/>
      <c r="J938" s="172"/>
      <c r="K938" s="172"/>
      <c r="L938" s="172"/>
      <c r="M938" s="172"/>
      <c r="N938" s="172"/>
      <c r="O938" s="172"/>
      <c r="P938" s="172"/>
      <c r="Q938" s="172"/>
      <c r="R938" s="172"/>
      <c r="S938" s="172"/>
      <c r="T938" s="172"/>
      <c r="U938" s="172"/>
      <c r="V938" s="172"/>
      <c r="W938" s="172"/>
      <c r="X938" s="172"/>
      <c r="Y938" s="172"/>
      <c r="Z938" s="172"/>
    </row>
    <row r="939" spans="1:26" ht="18.75">
      <c r="A939" s="172"/>
      <c r="B939" s="172"/>
      <c r="C939" s="172"/>
      <c r="D939" s="172"/>
      <c r="E939" s="172"/>
      <c r="F939" s="172"/>
      <c r="G939" s="172"/>
      <c r="H939" s="172"/>
      <c r="I939" s="172"/>
      <c r="J939" s="172"/>
      <c r="K939" s="172"/>
      <c r="L939" s="172"/>
      <c r="M939" s="172"/>
      <c r="N939" s="172"/>
      <c r="O939" s="172"/>
      <c r="P939" s="172"/>
      <c r="Q939" s="172"/>
      <c r="R939" s="172"/>
      <c r="S939" s="172"/>
      <c r="T939" s="172"/>
      <c r="U939" s="172"/>
      <c r="V939" s="172"/>
      <c r="W939" s="172"/>
      <c r="X939" s="172"/>
      <c r="Y939" s="172"/>
      <c r="Z939" s="172"/>
    </row>
    <row r="940" spans="1:26" ht="18.75">
      <c r="A940" s="172"/>
      <c r="B940" s="172"/>
      <c r="C940" s="172"/>
      <c r="D940" s="172"/>
      <c r="E940" s="172"/>
      <c r="F940" s="172"/>
      <c r="G940" s="172"/>
      <c r="H940" s="172"/>
      <c r="I940" s="172"/>
      <c r="J940" s="172"/>
      <c r="K940" s="172"/>
      <c r="L940" s="172"/>
      <c r="M940" s="172"/>
      <c r="N940" s="172"/>
      <c r="O940" s="172"/>
      <c r="P940" s="172"/>
      <c r="Q940" s="172"/>
      <c r="R940" s="172"/>
      <c r="S940" s="172"/>
      <c r="T940" s="172"/>
      <c r="U940" s="172"/>
      <c r="V940" s="172"/>
      <c r="W940" s="172"/>
      <c r="X940" s="172"/>
      <c r="Y940" s="172"/>
      <c r="Z940" s="172"/>
    </row>
    <row r="941" spans="1:26" ht="18.75">
      <c r="A941" s="172"/>
      <c r="B941" s="172"/>
      <c r="C941" s="172"/>
      <c r="D941" s="172"/>
      <c r="E941" s="172"/>
      <c r="F941" s="172"/>
      <c r="G941" s="172"/>
      <c r="H941" s="172"/>
      <c r="I941" s="172"/>
      <c r="J941" s="172"/>
      <c r="K941" s="172"/>
      <c r="L941" s="172"/>
      <c r="M941" s="172"/>
      <c r="N941" s="172"/>
      <c r="O941" s="172"/>
      <c r="P941" s="172"/>
      <c r="Q941" s="172"/>
      <c r="R941" s="172"/>
      <c r="S941" s="172"/>
      <c r="T941" s="172"/>
      <c r="U941" s="172"/>
      <c r="V941" s="172"/>
      <c r="W941" s="172"/>
      <c r="X941" s="172"/>
      <c r="Y941" s="172"/>
      <c r="Z941" s="172"/>
    </row>
    <row r="942" spans="1:26" ht="18.75">
      <c r="A942" s="172"/>
      <c r="B942" s="172"/>
      <c r="C942" s="172"/>
      <c r="D942" s="172"/>
      <c r="E942" s="172"/>
      <c r="F942" s="172"/>
      <c r="G942" s="172"/>
      <c r="H942" s="172"/>
      <c r="I942" s="172"/>
      <c r="J942" s="172"/>
      <c r="K942" s="172"/>
      <c r="L942" s="172"/>
      <c r="M942" s="172"/>
      <c r="N942" s="172"/>
      <c r="O942" s="172"/>
      <c r="P942" s="172"/>
      <c r="Q942" s="172"/>
      <c r="R942" s="172"/>
      <c r="S942" s="172"/>
      <c r="T942" s="172"/>
      <c r="U942" s="172"/>
      <c r="V942" s="172"/>
      <c r="W942" s="172"/>
      <c r="X942" s="172"/>
      <c r="Y942" s="172"/>
      <c r="Z942" s="172"/>
    </row>
    <row r="943" spans="1:26" ht="18.75">
      <c r="A943" s="172"/>
      <c r="B943" s="172"/>
      <c r="C943" s="172"/>
      <c r="D943" s="172"/>
      <c r="E943" s="172"/>
      <c r="F943" s="172"/>
      <c r="G943" s="172"/>
      <c r="H943" s="172"/>
      <c r="I943" s="172"/>
      <c r="J943" s="172"/>
      <c r="K943" s="172"/>
      <c r="L943" s="172"/>
      <c r="M943" s="172"/>
      <c r="N943" s="172"/>
      <c r="O943" s="172"/>
      <c r="P943" s="172"/>
      <c r="Q943" s="172"/>
      <c r="R943" s="172"/>
      <c r="S943" s="172"/>
      <c r="T943" s="172"/>
      <c r="U943" s="172"/>
      <c r="V943" s="172"/>
      <c r="W943" s="172"/>
      <c r="X943" s="172"/>
      <c r="Y943" s="172"/>
      <c r="Z943" s="172"/>
    </row>
    <row r="944" spans="1:26" ht="18.75">
      <c r="A944" s="172"/>
      <c r="B944" s="172"/>
      <c r="C944" s="172"/>
      <c r="D944" s="172"/>
      <c r="E944" s="172"/>
      <c r="F944" s="172"/>
      <c r="G944" s="172"/>
      <c r="H944" s="172"/>
      <c r="I944" s="172"/>
      <c r="J944" s="172"/>
      <c r="K944" s="172"/>
      <c r="L944" s="172"/>
      <c r="M944" s="172"/>
      <c r="N944" s="172"/>
      <c r="O944" s="172"/>
      <c r="P944" s="172"/>
      <c r="Q944" s="172"/>
      <c r="R944" s="172"/>
      <c r="S944" s="172"/>
      <c r="T944" s="172"/>
      <c r="U944" s="172"/>
      <c r="V944" s="172"/>
      <c r="W944" s="172"/>
      <c r="X944" s="172"/>
      <c r="Y944" s="172"/>
      <c r="Z944" s="172"/>
    </row>
    <row r="945" spans="1:26" ht="18.75">
      <c r="A945" s="172"/>
      <c r="B945" s="172"/>
      <c r="C945" s="172"/>
      <c r="D945" s="172"/>
      <c r="E945" s="172"/>
      <c r="F945" s="172"/>
      <c r="G945" s="172"/>
      <c r="H945" s="172"/>
      <c r="I945" s="172"/>
      <c r="J945" s="172"/>
      <c r="K945" s="172"/>
      <c r="L945" s="172"/>
      <c r="M945" s="172"/>
      <c r="N945" s="172"/>
      <c r="O945" s="172"/>
      <c r="P945" s="172"/>
      <c r="Q945" s="172"/>
      <c r="R945" s="172"/>
      <c r="S945" s="172"/>
      <c r="T945" s="172"/>
      <c r="U945" s="172"/>
      <c r="V945" s="172"/>
      <c r="W945" s="172"/>
      <c r="X945" s="172"/>
      <c r="Y945" s="172"/>
      <c r="Z945" s="172"/>
    </row>
    <row r="946" spans="1:26" ht="18.75">
      <c r="A946" s="172"/>
      <c r="B946" s="172"/>
      <c r="C946" s="172"/>
      <c r="D946" s="172"/>
      <c r="E946" s="172"/>
      <c r="F946" s="172"/>
      <c r="G946" s="172"/>
      <c r="H946" s="172"/>
      <c r="I946" s="172"/>
      <c r="J946" s="172"/>
      <c r="K946" s="172"/>
      <c r="L946" s="172"/>
      <c r="M946" s="172"/>
      <c r="N946" s="172"/>
      <c r="O946" s="172"/>
      <c r="P946" s="172"/>
      <c r="Q946" s="172"/>
      <c r="R946" s="172"/>
      <c r="S946" s="172"/>
      <c r="T946" s="172"/>
      <c r="U946" s="172"/>
      <c r="V946" s="172"/>
      <c r="W946" s="172"/>
      <c r="X946" s="172"/>
      <c r="Y946" s="172"/>
      <c r="Z946" s="172"/>
    </row>
    <row r="947" spans="1:26" ht="18.75">
      <c r="A947" s="172"/>
      <c r="B947" s="172"/>
      <c r="C947" s="172"/>
      <c r="D947" s="172"/>
      <c r="E947" s="172"/>
      <c r="F947" s="172"/>
      <c r="G947" s="172"/>
      <c r="H947" s="172"/>
      <c r="I947" s="172"/>
      <c r="J947" s="172"/>
      <c r="K947" s="172"/>
      <c r="L947" s="172"/>
      <c r="M947" s="172"/>
      <c r="N947" s="172"/>
      <c r="O947" s="172"/>
      <c r="P947" s="172"/>
      <c r="Q947" s="172"/>
      <c r="R947" s="172"/>
      <c r="S947" s="172"/>
      <c r="T947" s="172"/>
      <c r="U947" s="172"/>
      <c r="V947" s="172"/>
      <c r="W947" s="172"/>
      <c r="X947" s="172"/>
      <c r="Y947" s="172"/>
      <c r="Z947" s="172"/>
    </row>
    <row r="948" spans="1:26" ht="18.75">
      <c r="A948" s="172"/>
      <c r="B948" s="172"/>
      <c r="C948" s="172"/>
      <c r="D948" s="172"/>
      <c r="E948" s="172"/>
      <c r="F948" s="172"/>
      <c r="G948" s="172"/>
      <c r="H948" s="172"/>
      <c r="I948" s="172"/>
      <c r="J948" s="172"/>
      <c r="K948" s="172"/>
      <c r="L948" s="172"/>
      <c r="M948" s="172"/>
      <c r="N948" s="172"/>
      <c r="O948" s="172"/>
      <c r="P948" s="172"/>
      <c r="Q948" s="172"/>
      <c r="R948" s="172"/>
      <c r="S948" s="172"/>
      <c r="T948" s="172"/>
      <c r="U948" s="172"/>
      <c r="V948" s="172"/>
      <c r="W948" s="172"/>
      <c r="X948" s="172"/>
      <c r="Y948" s="172"/>
      <c r="Z948" s="172"/>
    </row>
    <row r="949" spans="1:26" ht="18.75">
      <c r="A949" s="172"/>
      <c r="B949" s="172"/>
      <c r="C949" s="172"/>
      <c r="D949" s="172"/>
      <c r="E949" s="172"/>
      <c r="F949" s="172"/>
      <c r="G949" s="172"/>
      <c r="H949" s="172"/>
      <c r="I949" s="172"/>
      <c r="J949" s="172"/>
      <c r="K949" s="172"/>
      <c r="L949" s="172"/>
      <c r="M949" s="172"/>
      <c r="N949" s="172"/>
      <c r="O949" s="172"/>
      <c r="P949" s="172"/>
      <c r="Q949" s="172"/>
      <c r="R949" s="172"/>
      <c r="S949" s="172"/>
      <c r="T949" s="172"/>
      <c r="U949" s="172"/>
      <c r="V949" s="172"/>
      <c r="W949" s="172"/>
      <c r="X949" s="172"/>
      <c r="Y949" s="172"/>
      <c r="Z949" s="172"/>
    </row>
    <row r="950" spans="1:26" ht="18.75">
      <c r="A950" s="172"/>
      <c r="B950" s="172"/>
      <c r="C950" s="172"/>
      <c r="D950" s="172"/>
      <c r="E950" s="172"/>
      <c r="F950" s="172"/>
      <c r="G950" s="172"/>
      <c r="H950" s="172"/>
      <c r="I950" s="172"/>
      <c r="J950" s="172"/>
      <c r="K950" s="172"/>
      <c r="L950" s="172"/>
      <c r="M950" s="172"/>
      <c r="N950" s="172"/>
      <c r="O950" s="172"/>
      <c r="P950" s="172"/>
      <c r="Q950" s="172"/>
      <c r="R950" s="172"/>
      <c r="S950" s="172"/>
      <c r="T950" s="172"/>
      <c r="U950" s="172"/>
      <c r="V950" s="172"/>
      <c r="W950" s="172"/>
      <c r="X950" s="172"/>
      <c r="Y950" s="172"/>
      <c r="Z950" s="172"/>
    </row>
    <row r="951" spans="1:26" ht="18.75">
      <c r="A951" s="172"/>
      <c r="B951" s="172"/>
      <c r="C951" s="172"/>
      <c r="D951" s="172"/>
      <c r="E951" s="172"/>
      <c r="F951" s="172"/>
      <c r="G951" s="172"/>
      <c r="H951" s="172"/>
      <c r="I951" s="172"/>
      <c r="J951" s="172"/>
      <c r="K951" s="172"/>
      <c r="L951" s="172"/>
      <c r="M951" s="172"/>
      <c r="N951" s="172"/>
      <c r="O951" s="172"/>
      <c r="P951" s="172"/>
      <c r="Q951" s="172"/>
      <c r="R951" s="172"/>
      <c r="S951" s="172"/>
      <c r="T951" s="172"/>
      <c r="U951" s="172"/>
      <c r="V951" s="172"/>
      <c r="W951" s="172"/>
      <c r="X951" s="172"/>
      <c r="Y951" s="172"/>
      <c r="Z951" s="172"/>
    </row>
    <row r="952" spans="1:26" ht="18.75">
      <c r="A952" s="172"/>
      <c r="B952" s="172"/>
      <c r="C952" s="172"/>
      <c r="D952" s="172"/>
      <c r="E952" s="172"/>
      <c r="F952" s="172"/>
      <c r="G952" s="172"/>
      <c r="H952" s="172"/>
      <c r="I952" s="172"/>
      <c r="J952" s="172"/>
      <c r="K952" s="172"/>
      <c r="L952" s="172"/>
      <c r="M952" s="172"/>
      <c r="N952" s="172"/>
      <c r="O952" s="172"/>
      <c r="P952" s="172"/>
      <c r="Q952" s="172"/>
      <c r="R952" s="172"/>
      <c r="S952" s="172"/>
      <c r="T952" s="172"/>
      <c r="U952" s="172"/>
      <c r="V952" s="172"/>
      <c r="W952" s="172"/>
      <c r="X952" s="172"/>
      <c r="Y952" s="172"/>
      <c r="Z952" s="172"/>
    </row>
    <row r="953" spans="1:26" ht="18.75">
      <c r="A953" s="172"/>
      <c r="B953" s="172"/>
      <c r="C953" s="172"/>
      <c r="D953" s="172"/>
      <c r="E953" s="172"/>
      <c r="F953" s="172"/>
      <c r="G953" s="172"/>
      <c r="H953" s="172"/>
      <c r="I953" s="172"/>
      <c r="J953" s="172"/>
      <c r="K953" s="172"/>
      <c r="L953" s="172"/>
      <c r="M953" s="172"/>
      <c r="N953" s="172"/>
      <c r="O953" s="172"/>
      <c r="P953" s="172"/>
      <c r="Q953" s="172"/>
      <c r="R953" s="172"/>
      <c r="S953" s="172"/>
      <c r="T953" s="172"/>
      <c r="U953" s="172"/>
      <c r="V953" s="172"/>
      <c r="W953" s="172"/>
      <c r="X953" s="172"/>
      <c r="Y953" s="172"/>
      <c r="Z953" s="172"/>
    </row>
    <row r="954" spans="1:26" ht="18.75">
      <c r="A954" s="172"/>
      <c r="B954" s="172"/>
      <c r="C954" s="172"/>
      <c r="D954" s="172"/>
      <c r="E954" s="172"/>
      <c r="F954" s="172"/>
      <c r="G954" s="172"/>
      <c r="H954" s="172"/>
      <c r="I954" s="172"/>
      <c r="J954" s="172"/>
      <c r="K954" s="172"/>
      <c r="L954" s="172"/>
      <c r="M954" s="172"/>
      <c r="N954" s="172"/>
      <c r="O954" s="172"/>
      <c r="P954" s="172"/>
      <c r="Q954" s="172"/>
      <c r="R954" s="172"/>
      <c r="S954" s="172"/>
      <c r="T954" s="172"/>
      <c r="U954" s="172"/>
      <c r="V954" s="172"/>
      <c r="W954" s="172"/>
      <c r="X954" s="172"/>
      <c r="Y954" s="172"/>
      <c r="Z954" s="172"/>
    </row>
    <row r="955" spans="1:26" ht="18.75">
      <c r="A955" s="172"/>
      <c r="B955" s="172"/>
      <c r="C955" s="172"/>
      <c r="D955" s="172"/>
      <c r="E955" s="172"/>
      <c r="F955" s="172"/>
      <c r="G955" s="172"/>
      <c r="H955" s="172"/>
      <c r="I955" s="172"/>
      <c r="J955" s="172"/>
      <c r="K955" s="172"/>
      <c r="L955" s="172"/>
      <c r="M955" s="172"/>
      <c r="N955" s="172"/>
      <c r="O955" s="172"/>
      <c r="P955" s="172"/>
      <c r="Q955" s="172"/>
      <c r="R955" s="172"/>
      <c r="S955" s="172"/>
      <c r="T955" s="172"/>
      <c r="U955" s="172"/>
      <c r="V955" s="172"/>
      <c r="W955" s="172"/>
      <c r="X955" s="172"/>
      <c r="Y955" s="172"/>
      <c r="Z955" s="172"/>
    </row>
    <row r="956" spans="1:26" ht="18.75">
      <c r="A956" s="172"/>
      <c r="B956" s="172"/>
      <c r="C956" s="172"/>
      <c r="D956" s="172"/>
      <c r="E956" s="172"/>
      <c r="F956" s="172"/>
      <c r="G956" s="172"/>
      <c r="H956" s="172"/>
      <c r="I956" s="172"/>
      <c r="J956" s="172"/>
      <c r="K956" s="172"/>
      <c r="L956" s="172"/>
      <c r="M956" s="172"/>
      <c r="N956" s="172"/>
      <c r="O956" s="172"/>
      <c r="P956" s="172"/>
      <c r="Q956" s="172"/>
      <c r="R956" s="172"/>
      <c r="S956" s="172"/>
      <c r="T956" s="172"/>
      <c r="U956" s="172"/>
      <c r="V956" s="172"/>
      <c r="W956" s="172"/>
      <c r="X956" s="172"/>
      <c r="Y956" s="172"/>
      <c r="Z956" s="172"/>
    </row>
    <row r="957" spans="1:26" ht="18.75">
      <c r="A957" s="172"/>
      <c r="B957" s="172"/>
      <c r="C957" s="172"/>
      <c r="D957" s="172"/>
      <c r="E957" s="172"/>
      <c r="F957" s="172"/>
      <c r="G957" s="172"/>
      <c r="H957" s="172"/>
      <c r="I957" s="172"/>
      <c r="J957" s="172"/>
      <c r="K957" s="172"/>
      <c r="L957" s="172"/>
      <c r="M957" s="172"/>
      <c r="N957" s="172"/>
      <c r="O957" s="172"/>
      <c r="P957" s="172"/>
      <c r="Q957" s="172"/>
      <c r="R957" s="172"/>
      <c r="S957" s="172"/>
      <c r="T957" s="172"/>
      <c r="U957" s="172"/>
      <c r="V957" s="172"/>
      <c r="W957" s="172"/>
      <c r="X957" s="172"/>
      <c r="Y957" s="172"/>
      <c r="Z957" s="172"/>
    </row>
    <row r="958" spans="1:26" ht="18.75">
      <c r="A958" s="172"/>
      <c r="B958" s="172"/>
      <c r="C958" s="172"/>
      <c r="D958" s="172"/>
      <c r="E958" s="172"/>
      <c r="F958" s="172"/>
      <c r="G958" s="172"/>
      <c r="H958" s="172"/>
      <c r="I958" s="172"/>
      <c r="J958" s="172"/>
      <c r="K958" s="172"/>
      <c r="L958" s="172"/>
      <c r="M958" s="172"/>
      <c r="N958" s="172"/>
      <c r="O958" s="172"/>
      <c r="P958" s="172"/>
      <c r="Q958" s="172"/>
      <c r="R958" s="172"/>
      <c r="S958" s="172"/>
      <c r="T958" s="172"/>
      <c r="U958" s="172"/>
      <c r="V958" s="172"/>
      <c r="W958" s="172"/>
      <c r="X958" s="172"/>
      <c r="Y958" s="172"/>
      <c r="Z958" s="172"/>
    </row>
    <row r="959" spans="1:26" ht="18.75">
      <c r="A959" s="172"/>
      <c r="B959" s="172"/>
      <c r="C959" s="172"/>
      <c r="D959" s="172"/>
      <c r="E959" s="172"/>
      <c r="F959" s="172"/>
      <c r="G959" s="172"/>
      <c r="H959" s="172"/>
      <c r="I959" s="172"/>
      <c r="J959" s="172"/>
      <c r="K959" s="172"/>
      <c r="L959" s="172"/>
      <c r="M959" s="172"/>
      <c r="N959" s="172"/>
      <c r="O959" s="172"/>
      <c r="P959" s="172"/>
      <c r="Q959" s="172"/>
      <c r="R959" s="172"/>
      <c r="S959" s="172"/>
      <c r="T959" s="172"/>
      <c r="U959" s="172"/>
      <c r="V959" s="172"/>
      <c r="W959" s="172"/>
      <c r="X959" s="172"/>
      <c r="Y959" s="172"/>
      <c r="Z959" s="172"/>
    </row>
    <row r="960" spans="1:26" ht="18.75">
      <c r="A960" s="172"/>
      <c r="B960" s="172"/>
      <c r="C960" s="172"/>
      <c r="D960" s="172"/>
      <c r="E960" s="172"/>
      <c r="F960" s="172"/>
      <c r="G960" s="172"/>
      <c r="H960" s="172"/>
      <c r="I960" s="172"/>
      <c r="J960" s="172"/>
      <c r="K960" s="172"/>
      <c r="L960" s="172"/>
      <c r="M960" s="172"/>
      <c r="N960" s="172"/>
      <c r="O960" s="172"/>
      <c r="P960" s="172"/>
      <c r="Q960" s="172"/>
      <c r="R960" s="172"/>
      <c r="S960" s="172"/>
      <c r="T960" s="172"/>
      <c r="U960" s="172"/>
      <c r="V960" s="172"/>
      <c r="W960" s="172"/>
      <c r="X960" s="172"/>
      <c r="Y960" s="172"/>
      <c r="Z960" s="172"/>
    </row>
    <row r="961" spans="1:26" ht="18.75">
      <c r="A961" s="172"/>
      <c r="B961" s="172"/>
      <c r="C961" s="172"/>
      <c r="D961" s="172"/>
      <c r="E961" s="172"/>
      <c r="F961" s="172"/>
      <c r="G961" s="172"/>
      <c r="H961" s="172"/>
      <c r="I961" s="172"/>
      <c r="J961" s="172"/>
      <c r="K961" s="172"/>
      <c r="L961" s="172"/>
      <c r="M961" s="172"/>
      <c r="N961" s="172"/>
      <c r="O961" s="172"/>
      <c r="P961" s="172"/>
      <c r="Q961" s="172"/>
      <c r="R961" s="172"/>
      <c r="S961" s="172"/>
      <c r="T961" s="172"/>
      <c r="U961" s="172"/>
      <c r="V961" s="172"/>
      <c r="W961" s="172"/>
      <c r="X961" s="172"/>
      <c r="Y961" s="172"/>
      <c r="Z961" s="172"/>
    </row>
    <row r="962" spans="1:26" ht="18.75">
      <c r="A962" s="172"/>
      <c r="B962" s="172"/>
      <c r="C962" s="172"/>
      <c r="D962" s="172"/>
      <c r="E962" s="172"/>
      <c r="F962" s="172"/>
      <c r="G962" s="172"/>
      <c r="H962" s="172"/>
      <c r="I962" s="172"/>
      <c r="J962" s="172"/>
      <c r="K962" s="172"/>
      <c r="L962" s="172"/>
      <c r="M962" s="172"/>
      <c r="N962" s="172"/>
      <c r="O962" s="172"/>
      <c r="P962" s="172"/>
      <c r="Q962" s="172"/>
      <c r="R962" s="172"/>
      <c r="S962" s="172"/>
      <c r="T962" s="172"/>
      <c r="U962" s="172"/>
      <c r="V962" s="172"/>
      <c r="W962" s="172"/>
      <c r="X962" s="172"/>
      <c r="Y962" s="172"/>
      <c r="Z962" s="172"/>
    </row>
    <row r="963" spans="1:26" ht="18.75">
      <c r="A963" s="172"/>
      <c r="B963" s="172"/>
      <c r="C963" s="172"/>
      <c r="D963" s="172"/>
      <c r="E963" s="172"/>
      <c r="F963" s="172"/>
      <c r="G963" s="172"/>
      <c r="H963" s="172"/>
      <c r="I963" s="172"/>
      <c r="J963" s="172"/>
      <c r="K963" s="172"/>
      <c r="L963" s="172"/>
      <c r="M963" s="172"/>
      <c r="N963" s="172"/>
      <c r="O963" s="172"/>
      <c r="P963" s="172"/>
      <c r="Q963" s="172"/>
      <c r="R963" s="172"/>
      <c r="S963" s="172"/>
      <c r="T963" s="172"/>
      <c r="U963" s="172"/>
      <c r="V963" s="172"/>
      <c r="W963" s="172"/>
      <c r="X963" s="172"/>
      <c r="Y963" s="172"/>
      <c r="Z963" s="172"/>
    </row>
    <row r="964" spans="1:26" ht="18.75">
      <c r="A964" s="172"/>
      <c r="B964" s="172"/>
      <c r="C964" s="172"/>
      <c r="D964" s="172"/>
      <c r="E964" s="172"/>
      <c r="F964" s="172"/>
      <c r="G964" s="172"/>
      <c r="H964" s="172"/>
      <c r="I964" s="172"/>
      <c r="J964" s="172"/>
      <c r="K964" s="172"/>
      <c r="L964" s="172"/>
      <c r="M964" s="172"/>
      <c r="N964" s="172"/>
      <c r="O964" s="172"/>
      <c r="P964" s="172"/>
      <c r="Q964" s="172"/>
      <c r="R964" s="172"/>
      <c r="S964" s="172"/>
      <c r="T964" s="172"/>
      <c r="U964" s="172"/>
      <c r="V964" s="172"/>
      <c r="W964" s="172"/>
      <c r="X964" s="172"/>
      <c r="Y964" s="172"/>
      <c r="Z964" s="172"/>
    </row>
    <row r="965" spans="1:26" ht="18.75">
      <c r="A965" s="172"/>
      <c r="B965" s="172"/>
      <c r="C965" s="172"/>
      <c r="D965" s="172"/>
      <c r="E965" s="172"/>
      <c r="F965" s="172"/>
      <c r="G965" s="172"/>
      <c r="H965" s="172"/>
      <c r="I965" s="172"/>
      <c r="J965" s="172"/>
      <c r="K965" s="172"/>
      <c r="L965" s="172"/>
      <c r="M965" s="172"/>
      <c r="N965" s="172"/>
      <c r="O965" s="172"/>
      <c r="P965" s="172"/>
      <c r="Q965" s="172"/>
      <c r="R965" s="172"/>
      <c r="S965" s="172"/>
      <c r="T965" s="172"/>
      <c r="U965" s="172"/>
      <c r="V965" s="172"/>
      <c r="W965" s="172"/>
      <c r="X965" s="172"/>
      <c r="Y965" s="172"/>
      <c r="Z965" s="172"/>
    </row>
    <row r="966" spans="1:26" ht="18.75">
      <c r="A966" s="172"/>
      <c r="B966" s="172"/>
      <c r="C966" s="172"/>
      <c r="D966" s="172"/>
      <c r="E966" s="172"/>
      <c r="F966" s="172"/>
      <c r="G966" s="172"/>
      <c r="H966" s="172"/>
      <c r="I966" s="172"/>
      <c r="J966" s="172"/>
      <c r="K966" s="172"/>
      <c r="L966" s="172"/>
      <c r="M966" s="172"/>
      <c r="N966" s="172"/>
      <c r="O966" s="172"/>
      <c r="P966" s="172"/>
      <c r="Q966" s="172"/>
      <c r="R966" s="172"/>
      <c r="S966" s="172"/>
      <c r="T966" s="172"/>
      <c r="U966" s="172"/>
      <c r="V966" s="172"/>
      <c r="W966" s="172"/>
      <c r="X966" s="172"/>
      <c r="Y966" s="172"/>
      <c r="Z966" s="172"/>
    </row>
    <row r="967" spans="1:26" ht="18.75">
      <c r="A967" s="172"/>
      <c r="B967" s="172"/>
      <c r="C967" s="172"/>
      <c r="D967" s="172"/>
      <c r="E967" s="172"/>
      <c r="F967" s="172"/>
      <c r="G967" s="172"/>
      <c r="H967" s="172"/>
      <c r="I967" s="172"/>
      <c r="J967" s="172"/>
      <c r="K967" s="172"/>
      <c r="L967" s="172"/>
      <c r="M967" s="172"/>
      <c r="N967" s="172"/>
      <c r="O967" s="172"/>
      <c r="P967" s="172"/>
      <c r="Q967" s="172"/>
      <c r="R967" s="172"/>
      <c r="S967" s="172"/>
      <c r="T967" s="172"/>
      <c r="U967" s="172"/>
      <c r="V967" s="172"/>
      <c r="W967" s="172"/>
      <c r="X967" s="172"/>
      <c r="Y967" s="172"/>
      <c r="Z967" s="172"/>
    </row>
    <row r="968" spans="1:26" ht="18.75">
      <c r="A968" s="172"/>
      <c r="B968" s="172"/>
      <c r="C968" s="172"/>
      <c r="D968" s="172"/>
      <c r="E968" s="172"/>
      <c r="F968" s="172"/>
      <c r="G968" s="172"/>
      <c r="H968" s="172"/>
      <c r="I968" s="172"/>
      <c r="J968" s="172"/>
      <c r="K968" s="172"/>
      <c r="L968" s="172"/>
      <c r="M968" s="172"/>
      <c r="N968" s="172"/>
      <c r="O968" s="172"/>
      <c r="P968" s="172"/>
      <c r="Q968" s="172"/>
      <c r="R968" s="172"/>
      <c r="S968" s="172"/>
      <c r="T968" s="172"/>
      <c r="U968" s="172"/>
      <c r="V968" s="172"/>
      <c r="W968" s="172"/>
      <c r="X968" s="172"/>
      <c r="Y968" s="172"/>
      <c r="Z968" s="172"/>
    </row>
    <row r="969" spans="1:26" ht="18.75">
      <c r="A969" s="172"/>
      <c r="B969" s="172"/>
      <c r="C969" s="172"/>
      <c r="D969" s="172"/>
      <c r="E969" s="172"/>
      <c r="F969" s="172"/>
      <c r="G969" s="172"/>
      <c r="H969" s="172"/>
      <c r="I969" s="172"/>
      <c r="J969" s="172"/>
      <c r="K969" s="172"/>
      <c r="L969" s="172"/>
      <c r="M969" s="172"/>
      <c r="N969" s="172"/>
      <c r="O969" s="172"/>
      <c r="P969" s="172"/>
      <c r="Q969" s="172"/>
      <c r="R969" s="172"/>
      <c r="S969" s="172"/>
      <c r="T969" s="172"/>
      <c r="U969" s="172"/>
      <c r="V969" s="172"/>
      <c r="W969" s="172"/>
      <c r="X969" s="172"/>
      <c r="Y969" s="172"/>
      <c r="Z969" s="172"/>
    </row>
    <row r="970" spans="1:26" ht="18.75">
      <c r="A970" s="172"/>
      <c r="B970" s="172"/>
      <c r="C970" s="172"/>
      <c r="D970" s="172"/>
      <c r="E970" s="172"/>
      <c r="F970" s="172"/>
      <c r="G970" s="172"/>
      <c r="H970" s="172"/>
      <c r="I970" s="172"/>
      <c r="J970" s="172"/>
      <c r="K970" s="172"/>
      <c r="L970" s="172"/>
      <c r="M970" s="172"/>
      <c r="N970" s="172"/>
      <c r="O970" s="172"/>
      <c r="P970" s="172"/>
      <c r="Q970" s="172"/>
      <c r="R970" s="172"/>
      <c r="S970" s="172"/>
      <c r="T970" s="172"/>
      <c r="U970" s="172"/>
      <c r="V970" s="172"/>
      <c r="W970" s="172"/>
      <c r="X970" s="172"/>
      <c r="Y970" s="172"/>
      <c r="Z970" s="172"/>
    </row>
    <row r="971" spans="1:26" ht="18.75">
      <c r="A971" s="172"/>
      <c r="B971" s="172"/>
      <c r="C971" s="172"/>
      <c r="D971" s="172"/>
      <c r="E971" s="172"/>
      <c r="F971" s="172"/>
      <c r="G971" s="172"/>
      <c r="H971" s="172"/>
      <c r="I971" s="172"/>
      <c r="J971" s="172"/>
      <c r="K971" s="172"/>
      <c r="L971" s="172"/>
      <c r="M971" s="172"/>
      <c r="N971" s="172"/>
      <c r="O971" s="172"/>
      <c r="P971" s="172"/>
      <c r="Q971" s="172"/>
      <c r="R971" s="172"/>
      <c r="S971" s="172"/>
      <c r="T971" s="172"/>
      <c r="U971" s="172"/>
      <c r="V971" s="172"/>
      <c r="W971" s="172"/>
      <c r="X971" s="172"/>
      <c r="Y971" s="172"/>
      <c r="Z971" s="172"/>
    </row>
    <row r="972" spans="1:26" ht="18.75">
      <c r="A972" s="172"/>
      <c r="B972" s="172"/>
      <c r="C972" s="172"/>
      <c r="D972" s="172"/>
      <c r="E972" s="172"/>
      <c r="F972" s="172"/>
      <c r="G972" s="172"/>
      <c r="H972" s="172"/>
      <c r="I972" s="172"/>
      <c r="J972" s="172"/>
      <c r="K972" s="172"/>
      <c r="L972" s="172"/>
      <c r="M972" s="172"/>
      <c r="N972" s="172"/>
      <c r="O972" s="172"/>
      <c r="P972" s="172"/>
      <c r="Q972" s="172"/>
      <c r="R972" s="172"/>
      <c r="S972" s="172"/>
      <c r="T972" s="172"/>
      <c r="U972" s="172"/>
      <c r="V972" s="172"/>
      <c r="W972" s="172"/>
      <c r="X972" s="172"/>
      <c r="Y972" s="172"/>
      <c r="Z972" s="172"/>
    </row>
    <row r="973" spans="1:26" ht="18.75">
      <c r="A973" s="172"/>
      <c r="B973" s="172"/>
      <c r="C973" s="172"/>
      <c r="D973" s="172"/>
      <c r="E973" s="172"/>
      <c r="F973" s="172"/>
      <c r="G973" s="172"/>
      <c r="H973" s="172"/>
      <c r="I973" s="172"/>
      <c r="J973" s="172"/>
      <c r="K973" s="172"/>
      <c r="L973" s="172"/>
      <c r="M973" s="172"/>
      <c r="N973" s="172"/>
      <c r="O973" s="172"/>
      <c r="P973" s="172"/>
      <c r="Q973" s="172"/>
      <c r="R973" s="172"/>
      <c r="S973" s="172"/>
      <c r="T973" s="172"/>
      <c r="U973" s="172"/>
      <c r="V973" s="172"/>
      <c r="W973" s="172"/>
      <c r="X973" s="172"/>
      <c r="Y973" s="172"/>
      <c r="Z973" s="172"/>
    </row>
    <row r="974" spans="1:26" ht="18.75">
      <c r="A974" s="172"/>
      <c r="B974" s="172"/>
      <c r="C974" s="172"/>
      <c r="D974" s="172"/>
      <c r="E974" s="172"/>
      <c r="F974" s="172"/>
      <c r="G974" s="172"/>
      <c r="H974" s="172"/>
      <c r="I974" s="172"/>
      <c r="J974" s="172"/>
      <c r="K974" s="172"/>
      <c r="L974" s="172"/>
      <c r="M974" s="172"/>
      <c r="N974" s="172"/>
      <c r="O974" s="172"/>
      <c r="P974" s="172"/>
      <c r="Q974" s="172"/>
      <c r="R974" s="172"/>
      <c r="S974" s="172"/>
      <c r="T974" s="172"/>
      <c r="U974" s="172"/>
      <c r="V974" s="172"/>
      <c r="W974" s="172"/>
      <c r="X974" s="172"/>
      <c r="Y974" s="172"/>
      <c r="Z974" s="172"/>
    </row>
    <row r="975" spans="1:26" ht="18.75">
      <c r="A975" s="172"/>
      <c r="B975" s="172"/>
      <c r="C975" s="172"/>
      <c r="D975" s="172"/>
      <c r="E975" s="172"/>
      <c r="F975" s="172"/>
      <c r="G975" s="172"/>
      <c r="H975" s="172"/>
      <c r="I975" s="172"/>
      <c r="J975" s="172"/>
      <c r="K975" s="172"/>
      <c r="L975" s="172"/>
      <c r="M975" s="172"/>
      <c r="N975" s="172"/>
      <c r="O975" s="172"/>
      <c r="P975" s="172"/>
      <c r="Q975" s="172"/>
      <c r="R975" s="172"/>
      <c r="S975" s="172"/>
      <c r="T975" s="172"/>
      <c r="U975" s="172"/>
      <c r="V975" s="172"/>
      <c r="W975" s="172"/>
      <c r="X975" s="172"/>
      <c r="Y975" s="172"/>
      <c r="Z975" s="172"/>
    </row>
    <row r="976" spans="1:26" ht="18.75">
      <c r="A976" s="172"/>
      <c r="B976" s="172"/>
      <c r="C976" s="172"/>
      <c r="D976" s="172"/>
      <c r="E976" s="172"/>
      <c r="F976" s="172"/>
      <c r="G976" s="172"/>
      <c r="H976" s="172"/>
      <c r="I976" s="172"/>
      <c r="J976" s="172"/>
      <c r="K976" s="172"/>
      <c r="L976" s="172"/>
      <c r="M976" s="172"/>
      <c r="N976" s="172"/>
      <c r="O976" s="172"/>
      <c r="P976" s="172"/>
      <c r="Q976" s="172"/>
      <c r="R976" s="172"/>
      <c r="S976" s="172"/>
      <c r="T976" s="172"/>
      <c r="U976" s="172"/>
      <c r="V976" s="172"/>
      <c r="W976" s="172"/>
      <c r="X976" s="172"/>
      <c r="Y976" s="172"/>
      <c r="Z976" s="172"/>
    </row>
    <row r="977" spans="1:26" ht="18.75">
      <c r="A977" s="172"/>
      <c r="B977" s="172"/>
      <c r="C977" s="172"/>
      <c r="D977" s="172"/>
      <c r="E977" s="172"/>
      <c r="F977" s="172"/>
      <c r="G977" s="172"/>
      <c r="H977" s="172"/>
      <c r="I977" s="172"/>
      <c r="J977" s="172"/>
      <c r="K977" s="172"/>
      <c r="L977" s="172"/>
      <c r="M977" s="172"/>
      <c r="N977" s="172"/>
      <c r="O977" s="172"/>
      <c r="P977" s="172"/>
      <c r="Q977" s="172"/>
      <c r="R977" s="172"/>
      <c r="S977" s="172"/>
      <c r="T977" s="172"/>
      <c r="U977" s="172"/>
      <c r="V977" s="172"/>
      <c r="W977" s="172"/>
      <c r="X977" s="172"/>
      <c r="Y977" s="172"/>
      <c r="Z977" s="172"/>
    </row>
    <row r="978" spans="1:26" ht="18.75">
      <c r="A978" s="172"/>
      <c r="B978" s="172"/>
      <c r="C978" s="172"/>
      <c r="D978" s="172"/>
      <c r="E978" s="172"/>
      <c r="F978" s="172"/>
      <c r="G978" s="172"/>
      <c r="H978" s="172"/>
      <c r="I978" s="172"/>
      <c r="J978" s="172"/>
      <c r="K978" s="172"/>
      <c r="L978" s="172"/>
      <c r="M978" s="172"/>
      <c r="N978" s="172"/>
      <c r="O978" s="172"/>
      <c r="P978" s="172"/>
      <c r="Q978" s="172"/>
      <c r="R978" s="172"/>
      <c r="S978" s="172"/>
      <c r="T978" s="172"/>
      <c r="U978" s="172"/>
      <c r="V978" s="172"/>
      <c r="W978" s="172"/>
      <c r="X978" s="172"/>
      <c r="Y978" s="172"/>
      <c r="Z978" s="172"/>
    </row>
    <row r="979" spans="1:26" ht="18.75">
      <c r="A979" s="172"/>
      <c r="B979" s="172"/>
      <c r="C979" s="172"/>
      <c r="D979" s="172"/>
      <c r="E979" s="172"/>
      <c r="F979" s="172"/>
      <c r="G979" s="172"/>
      <c r="H979" s="172"/>
      <c r="I979" s="172"/>
      <c r="J979" s="172"/>
      <c r="K979" s="172"/>
      <c r="L979" s="172"/>
      <c r="M979" s="172"/>
      <c r="N979" s="172"/>
      <c r="O979" s="172"/>
      <c r="P979" s="172"/>
      <c r="Q979" s="172"/>
      <c r="R979" s="172"/>
      <c r="S979" s="172"/>
      <c r="T979" s="172"/>
      <c r="U979" s="172"/>
      <c r="V979" s="172"/>
      <c r="W979" s="172"/>
      <c r="X979" s="172"/>
      <c r="Y979" s="172"/>
      <c r="Z979" s="172"/>
    </row>
    <row r="980" spans="1:26" ht="18.75">
      <c r="A980" s="172"/>
      <c r="B980" s="172"/>
      <c r="C980" s="172"/>
      <c r="D980" s="172"/>
      <c r="E980" s="172"/>
      <c r="F980" s="172"/>
      <c r="G980" s="172"/>
      <c r="H980" s="172"/>
      <c r="I980" s="172"/>
      <c r="J980" s="172"/>
      <c r="K980" s="172"/>
      <c r="L980" s="172"/>
      <c r="M980" s="172"/>
      <c r="N980" s="172"/>
      <c r="O980" s="172"/>
      <c r="P980" s="172"/>
      <c r="Q980" s="172"/>
      <c r="R980" s="172"/>
      <c r="S980" s="172"/>
      <c r="T980" s="172"/>
      <c r="U980" s="172"/>
      <c r="V980" s="172"/>
      <c r="W980" s="172"/>
      <c r="X980" s="172"/>
      <c r="Y980" s="172"/>
      <c r="Z980" s="172"/>
    </row>
    <row r="981" spans="1:26" ht="18.75">
      <c r="A981" s="172"/>
      <c r="B981" s="172"/>
      <c r="C981" s="172"/>
      <c r="D981" s="172"/>
      <c r="E981" s="172"/>
      <c r="F981" s="172"/>
      <c r="G981" s="172"/>
      <c r="H981" s="172"/>
      <c r="I981" s="172"/>
      <c r="J981" s="172"/>
      <c r="K981" s="172"/>
      <c r="L981" s="172"/>
      <c r="M981" s="172"/>
      <c r="N981" s="172"/>
      <c r="O981" s="172"/>
      <c r="P981" s="172"/>
      <c r="Q981" s="172"/>
      <c r="R981" s="172"/>
      <c r="S981" s="172"/>
      <c r="T981" s="172"/>
      <c r="U981" s="172"/>
      <c r="V981" s="172"/>
      <c r="W981" s="172"/>
      <c r="X981" s="172"/>
      <c r="Y981" s="172"/>
      <c r="Z981" s="172"/>
    </row>
    <row r="982" spans="1:26" ht="18.75">
      <c r="A982" s="172"/>
      <c r="B982" s="172"/>
      <c r="C982" s="172"/>
      <c r="D982" s="172"/>
      <c r="E982" s="172"/>
      <c r="F982" s="172"/>
      <c r="G982" s="172"/>
      <c r="H982" s="172"/>
      <c r="I982" s="172"/>
      <c r="J982" s="172"/>
      <c r="K982" s="172"/>
      <c r="L982" s="172"/>
      <c r="M982" s="172"/>
      <c r="N982" s="172"/>
      <c r="O982" s="172"/>
      <c r="P982" s="172"/>
      <c r="Q982" s="172"/>
      <c r="R982" s="172"/>
      <c r="S982" s="172"/>
      <c r="T982" s="172"/>
      <c r="U982" s="172"/>
      <c r="V982" s="172"/>
      <c r="W982" s="172"/>
      <c r="X982" s="172"/>
      <c r="Y982" s="172"/>
      <c r="Z982" s="172"/>
    </row>
    <row r="983" spans="1:26" ht="18.75">
      <c r="A983" s="172"/>
      <c r="B983" s="172"/>
      <c r="C983" s="172"/>
      <c r="D983" s="172"/>
      <c r="E983" s="172"/>
      <c r="F983" s="172"/>
      <c r="G983" s="172"/>
      <c r="H983" s="172"/>
      <c r="I983" s="172"/>
      <c r="J983" s="172"/>
      <c r="K983" s="172"/>
      <c r="L983" s="172"/>
      <c r="M983" s="172"/>
      <c r="N983" s="172"/>
      <c r="O983" s="172"/>
      <c r="P983" s="172"/>
      <c r="Q983" s="172"/>
      <c r="R983" s="172"/>
      <c r="S983" s="172"/>
      <c r="T983" s="172"/>
      <c r="U983" s="172"/>
      <c r="V983" s="172"/>
      <c r="W983" s="172"/>
      <c r="X983" s="172"/>
      <c r="Y983" s="172"/>
      <c r="Z983" s="172"/>
    </row>
    <row r="984" spans="1:26" ht="18.75">
      <c r="A984" s="172"/>
      <c r="B984" s="172"/>
      <c r="C984" s="172"/>
      <c r="D984" s="172"/>
      <c r="E984" s="172"/>
      <c r="F984" s="172"/>
      <c r="G984" s="172"/>
      <c r="H984" s="172"/>
      <c r="I984" s="172"/>
      <c r="J984" s="172"/>
      <c r="K984" s="172"/>
      <c r="L984" s="172"/>
      <c r="M984" s="172"/>
      <c r="N984" s="172"/>
      <c r="O984" s="172"/>
      <c r="P984" s="172"/>
      <c r="Q984" s="172"/>
      <c r="R984" s="172"/>
      <c r="S984" s="172"/>
      <c r="T984" s="172"/>
      <c r="U984" s="172"/>
      <c r="V984" s="172"/>
      <c r="W984" s="172"/>
      <c r="X984" s="172"/>
      <c r="Y984" s="172"/>
      <c r="Z984" s="172"/>
    </row>
    <row r="985" spans="1:26" ht="18.75">
      <c r="A985" s="172"/>
      <c r="B985" s="172"/>
      <c r="C985" s="172"/>
      <c r="D985" s="172"/>
      <c r="E985" s="172"/>
      <c r="F985" s="172"/>
      <c r="G985" s="172"/>
      <c r="H985" s="172"/>
      <c r="I985" s="172"/>
      <c r="J985" s="172"/>
      <c r="K985" s="172"/>
      <c r="L985" s="172"/>
      <c r="M985" s="172"/>
      <c r="N985" s="172"/>
      <c r="O985" s="172"/>
      <c r="P985" s="172"/>
      <c r="Q985" s="172"/>
      <c r="R985" s="172"/>
      <c r="S985" s="172"/>
      <c r="T985" s="172"/>
      <c r="U985" s="172"/>
      <c r="V985" s="172"/>
      <c r="W985" s="172"/>
      <c r="X985" s="172"/>
      <c r="Y985" s="172"/>
      <c r="Z985" s="172"/>
    </row>
    <row r="986" spans="1:26" ht="18.75">
      <c r="A986" s="172"/>
      <c r="B986" s="172"/>
      <c r="C986" s="172"/>
      <c r="D986" s="172"/>
      <c r="E986" s="172"/>
      <c r="F986" s="172"/>
      <c r="G986" s="172"/>
      <c r="H986" s="172"/>
      <c r="I986" s="172"/>
      <c r="J986" s="172"/>
      <c r="K986" s="172"/>
      <c r="L986" s="172"/>
      <c r="M986" s="172"/>
      <c r="N986" s="172"/>
      <c r="O986" s="172"/>
      <c r="P986" s="172"/>
      <c r="Q986" s="172"/>
      <c r="R986" s="172"/>
      <c r="S986" s="172"/>
      <c r="T986" s="172"/>
      <c r="U986" s="172"/>
      <c r="V986" s="172"/>
      <c r="W986" s="172"/>
      <c r="X986" s="172"/>
      <c r="Y986" s="172"/>
      <c r="Z986" s="172"/>
    </row>
    <row r="987" spans="1:26" ht="18.75">
      <c r="A987" s="172"/>
      <c r="B987" s="172"/>
      <c r="C987" s="172"/>
      <c r="D987" s="172"/>
      <c r="E987" s="172"/>
      <c r="F987" s="172"/>
      <c r="G987" s="172"/>
      <c r="H987" s="172"/>
      <c r="I987" s="172"/>
      <c r="J987" s="172"/>
      <c r="K987" s="172"/>
      <c r="L987" s="172"/>
      <c r="M987" s="172"/>
      <c r="N987" s="172"/>
      <c r="O987" s="172"/>
      <c r="P987" s="172"/>
      <c r="Q987" s="172"/>
      <c r="R987" s="172"/>
      <c r="S987" s="172"/>
      <c r="T987" s="172"/>
      <c r="U987" s="172"/>
      <c r="V987" s="172"/>
      <c r="W987" s="172"/>
      <c r="X987" s="172"/>
      <c r="Y987" s="172"/>
      <c r="Z987" s="172"/>
    </row>
    <row r="988" spans="1:26" ht="18.75">
      <c r="A988" s="172"/>
      <c r="B988" s="172"/>
      <c r="C988" s="172"/>
      <c r="D988" s="172"/>
      <c r="E988" s="172"/>
      <c r="F988" s="172"/>
      <c r="G988" s="172"/>
      <c r="H988" s="172"/>
      <c r="I988" s="172"/>
      <c r="J988" s="172"/>
      <c r="K988" s="172"/>
      <c r="L988" s="172"/>
      <c r="M988" s="172"/>
      <c r="N988" s="172"/>
      <c r="O988" s="172"/>
      <c r="P988" s="172"/>
      <c r="Q988" s="172"/>
      <c r="R988" s="172"/>
      <c r="S988" s="172"/>
      <c r="T988" s="172"/>
      <c r="U988" s="172"/>
      <c r="V988" s="172"/>
      <c r="W988" s="172"/>
      <c r="X988" s="172"/>
      <c r="Y988" s="172"/>
      <c r="Z988" s="172"/>
    </row>
    <row r="989" spans="1:26" ht="18.75">
      <c r="A989" s="172"/>
      <c r="B989" s="172"/>
      <c r="C989" s="172"/>
      <c r="D989" s="172"/>
      <c r="E989" s="172"/>
      <c r="F989" s="172"/>
      <c r="G989" s="172"/>
      <c r="H989" s="172"/>
      <c r="I989" s="172"/>
      <c r="J989" s="172"/>
      <c r="K989" s="172"/>
      <c r="L989" s="172"/>
      <c r="M989" s="172"/>
      <c r="N989" s="172"/>
      <c r="O989" s="172"/>
      <c r="P989" s="172"/>
      <c r="Q989" s="172"/>
      <c r="R989" s="172"/>
      <c r="S989" s="172"/>
      <c r="T989" s="172"/>
      <c r="U989" s="172"/>
      <c r="V989" s="172"/>
      <c r="W989" s="172"/>
      <c r="X989" s="172"/>
      <c r="Y989" s="172"/>
      <c r="Z989" s="172"/>
    </row>
    <row r="990" spans="1:26" ht="18.75">
      <c r="A990" s="172"/>
      <c r="B990" s="172"/>
      <c r="C990" s="172"/>
      <c r="D990" s="172"/>
      <c r="E990" s="172"/>
      <c r="F990" s="172"/>
      <c r="G990" s="172"/>
      <c r="H990" s="172"/>
      <c r="I990" s="172"/>
      <c r="J990" s="172"/>
      <c r="K990" s="172"/>
      <c r="L990" s="172"/>
      <c r="M990" s="172"/>
      <c r="N990" s="172"/>
      <c r="O990" s="172"/>
      <c r="P990" s="172"/>
      <c r="Q990" s="172"/>
      <c r="R990" s="172"/>
      <c r="S990" s="172"/>
      <c r="T990" s="172"/>
      <c r="U990" s="172"/>
      <c r="V990" s="172"/>
      <c r="W990" s="172"/>
      <c r="X990" s="172"/>
      <c r="Y990" s="172"/>
      <c r="Z990" s="172"/>
    </row>
    <row r="991" spans="1:26" ht="18.75">
      <c r="A991" s="172"/>
      <c r="B991" s="172"/>
      <c r="C991" s="172"/>
      <c r="D991" s="172"/>
      <c r="E991" s="172"/>
      <c r="F991" s="172"/>
      <c r="G991" s="172"/>
      <c r="H991" s="172"/>
      <c r="I991" s="172"/>
      <c r="J991" s="172"/>
      <c r="K991" s="172"/>
      <c r="L991" s="172"/>
      <c r="M991" s="172"/>
      <c r="N991" s="172"/>
      <c r="O991" s="172"/>
      <c r="P991" s="172"/>
      <c r="Q991" s="172"/>
      <c r="R991" s="172"/>
      <c r="S991" s="172"/>
      <c r="T991" s="172"/>
      <c r="U991" s="172"/>
      <c r="V991" s="172"/>
      <c r="W991" s="172"/>
      <c r="X991" s="172"/>
      <c r="Y991" s="172"/>
      <c r="Z991" s="172"/>
    </row>
    <row r="992" spans="1:26" ht="18.75">
      <c r="A992" s="172"/>
      <c r="B992" s="172"/>
      <c r="C992" s="172"/>
      <c r="D992" s="172"/>
      <c r="E992" s="172"/>
      <c r="F992" s="172"/>
      <c r="G992" s="172"/>
      <c r="H992" s="172"/>
      <c r="I992" s="172"/>
      <c r="J992" s="172"/>
      <c r="K992" s="172"/>
      <c r="L992" s="172"/>
      <c r="M992" s="172"/>
      <c r="N992" s="172"/>
      <c r="O992" s="172"/>
      <c r="P992" s="172"/>
      <c r="Q992" s="172"/>
      <c r="R992" s="172"/>
      <c r="S992" s="172"/>
      <c r="T992" s="172"/>
      <c r="U992" s="172"/>
      <c r="V992" s="172"/>
      <c r="W992" s="172"/>
      <c r="X992" s="172"/>
      <c r="Y992" s="172"/>
      <c r="Z992" s="172"/>
    </row>
    <row r="993" spans="1:26" ht="18.75">
      <c r="A993" s="172"/>
      <c r="B993" s="172"/>
      <c r="C993" s="172"/>
      <c r="D993" s="172"/>
      <c r="E993" s="172"/>
      <c r="F993" s="172"/>
      <c r="G993" s="172"/>
      <c r="H993" s="172"/>
      <c r="I993" s="172"/>
      <c r="J993" s="172"/>
      <c r="K993" s="172"/>
      <c r="L993" s="172"/>
      <c r="M993" s="172"/>
      <c r="N993" s="172"/>
      <c r="O993" s="172"/>
      <c r="P993" s="172"/>
      <c r="Q993" s="172"/>
      <c r="R993" s="172"/>
      <c r="S993" s="172"/>
      <c r="T993" s="172"/>
      <c r="U993" s="172"/>
      <c r="V993" s="172"/>
      <c r="W993" s="172"/>
      <c r="X993" s="172"/>
      <c r="Y993" s="172"/>
      <c r="Z993" s="172"/>
    </row>
    <row r="994" spans="1:26" ht="18.75">
      <c r="A994" s="172"/>
      <c r="B994" s="172"/>
      <c r="C994" s="172"/>
      <c r="D994" s="172"/>
      <c r="E994" s="172"/>
      <c r="F994" s="172"/>
      <c r="G994" s="172"/>
      <c r="H994" s="172"/>
      <c r="I994" s="172"/>
      <c r="J994" s="172"/>
      <c r="K994" s="172"/>
      <c r="L994" s="172"/>
      <c r="M994" s="172"/>
      <c r="N994" s="172"/>
      <c r="O994" s="172"/>
      <c r="P994" s="172"/>
      <c r="Q994" s="172"/>
      <c r="R994" s="172"/>
      <c r="S994" s="172"/>
      <c r="T994" s="172"/>
      <c r="U994" s="172"/>
      <c r="V994" s="172"/>
      <c r="W994" s="172"/>
      <c r="X994" s="172"/>
      <c r="Y994" s="172"/>
      <c r="Z994" s="172"/>
    </row>
    <row r="995" spans="1:26" ht="18.75">
      <c r="A995" s="172"/>
      <c r="B995" s="172"/>
      <c r="C995" s="172"/>
      <c r="D995" s="172"/>
      <c r="E995" s="172"/>
      <c r="F995" s="172"/>
      <c r="G995" s="172"/>
      <c r="H995" s="172"/>
      <c r="I995" s="172"/>
      <c r="J995" s="172"/>
      <c r="K995" s="172"/>
      <c r="L995" s="172"/>
      <c r="M995" s="172"/>
      <c r="N995" s="172"/>
      <c r="O995" s="172"/>
      <c r="P995" s="172"/>
      <c r="Q995" s="172"/>
      <c r="R995" s="172"/>
      <c r="S995" s="172"/>
      <c r="T995" s="172"/>
      <c r="U995" s="172"/>
      <c r="V995" s="172"/>
      <c r="W995" s="172"/>
      <c r="X995" s="172"/>
      <c r="Y995" s="172"/>
      <c r="Z995" s="172"/>
    </row>
    <row r="996" spans="1:26" ht="18.75">
      <c r="A996" s="172"/>
      <c r="B996" s="172"/>
      <c r="C996" s="172"/>
      <c r="D996" s="172"/>
      <c r="E996" s="172"/>
      <c r="F996" s="172"/>
      <c r="G996" s="172"/>
      <c r="H996" s="172"/>
      <c r="I996" s="172"/>
      <c r="J996" s="172"/>
      <c r="K996" s="172"/>
      <c r="L996" s="172"/>
      <c r="M996" s="172"/>
      <c r="N996" s="172"/>
      <c r="O996" s="172"/>
      <c r="P996" s="172"/>
      <c r="Q996" s="172"/>
      <c r="R996" s="172"/>
      <c r="S996" s="172"/>
      <c r="T996" s="172"/>
      <c r="U996" s="172"/>
      <c r="V996" s="172"/>
      <c r="W996" s="172"/>
      <c r="X996" s="172"/>
      <c r="Y996" s="172"/>
      <c r="Z996" s="172"/>
    </row>
    <row r="997" spans="1:26" ht="18.75">
      <c r="A997" s="172"/>
      <c r="B997" s="172"/>
      <c r="C997" s="172"/>
      <c r="D997" s="172"/>
      <c r="E997" s="172"/>
      <c r="F997" s="172"/>
      <c r="G997" s="172"/>
      <c r="H997" s="172"/>
      <c r="I997" s="172"/>
      <c r="J997" s="172"/>
      <c r="K997" s="172"/>
      <c r="L997" s="172"/>
      <c r="M997" s="172"/>
      <c r="N997" s="172"/>
      <c r="O997" s="172"/>
      <c r="P997" s="172"/>
      <c r="Q997" s="172"/>
      <c r="R997" s="172"/>
      <c r="S997" s="172"/>
      <c r="T997" s="172"/>
      <c r="U997" s="172"/>
      <c r="V997" s="172"/>
      <c r="W997" s="172"/>
      <c r="X997" s="172"/>
      <c r="Y997" s="172"/>
      <c r="Z997" s="172"/>
    </row>
    <row r="998" spans="1:26" ht="18.75">
      <c r="A998" s="172"/>
      <c r="B998" s="172"/>
      <c r="C998" s="172"/>
      <c r="D998" s="172"/>
      <c r="E998" s="172"/>
      <c r="F998" s="172"/>
      <c r="G998" s="172"/>
      <c r="H998" s="172"/>
      <c r="I998" s="172"/>
      <c r="J998" s="172"/>
      <c r="K998" s="172"/>
      <c r="L998" s="172"/>
      <c r="M998" s="172"/>
      <c r="N998" s="172"/>
      <c r="O998" s="172"/>
      <c r="P998" s="172"/>
      <c r="Q998" s="172"/>
      <c r="R998" s="172"/>
      <c r="S998" s="172"/>
      <c r="T998" s="172"/>
      <c r="U998" s="172"/>
      <c r="V998" s="172"/>
      <c r="W998" s="172"/>
      <c r="X998" s="172"/>
      <c r="Y998" s="172"/>
      <c r="Z998" s="172"/>
    </row>
    <row r="999" spans="1:26" ht="18.75">
      <c r="A999" s="172"/>
      <c r="B999" s="172"/>
      <c r="C999" s="172"/>
      <c r="D999" s="172"/>
      <c r="E999" s="172"/>
      <c r="F999" s="172"/>
      <c r="G999" s="172"/>
      <c r="H999" s="172"/>
      <c r="I999" s="172"/>
      <c r="J999" s="172"/>
      <c r="K999" s="172"/>
      <c r="L999" s="172"/>
      <c r="M999" s="172"/>
      <c r="N999" s="172"/>
      <c r="O999" s="172"/>
      <c r="P999" s="172"/>
      <c r="Q999" s="172"/>
      <c r="R999" s="172"/>
      <c r="S999" s="172"/>
      <c r="T999" s="172"/>
      <c r="U999" s="172"/>
      <c r="V999" s="172"/>
      <c r="W999" s="172"/>
      <c r="X999" s="172"/>
      <c r="Y999" s="172"/>
      <c r="Z999" s="172"/>
    </row>
    <row r="1000" spans="1:26" ht="18.75">
      <c r="A1000" s="172"/>
      <c r="B1000" s="172"/>
      <c r="C1000" s="172"/>
      <c r="D1000" s="172"/>
      <c r="E1000" s="172"/>
      <c r="F1000" s="172"/>
      <c r="G1000" s="172"/>
      <c r="H1000" s="172"/>
      <c r="I1000" s="172"/>
      <c r="J1000" s="172"/>
      <c r="K1000" s="172"/>
      <c r="L1000" s="172"/>
      <c r="M1000" s="172"/>
      <c r="N1000" s="172"/>
      <c r="O1000" s="172"/>
      <c r="P1000" s="172"/>
      <c r="Q1000" s="172"/>
      <c r="R1000" s="172"/>
      <c r="S1000" s="172"/>
      <c r="T1000" s="172"/>
      <c r="U1000" s="172"/>
      <c r="V1000" s="172"/>
      <c r="W1000" s="172"/>
      <c r="X1000" s="172"/>
      <c r="Y1000" s="172"/>
      <c r="Z1000" s="172"/>
    </row>
    <row r="1001" spans="1:26" ht="18.75">
      <c r="A1001" s="172"/>
      <c r="B1001" s="172"/>
      <c r="C1001" s="172"/>
      <c r="D1001" s="172"/>
      <c r="E1001" s="172"/>
      <c r="F1001" s="172"/>
      <c r="G1001" s="172"/>
      <c r="H1001" s="172"/>
      <c r="I1001" s="172"/>
      <c r="J1001" s="172"/>
      <c r="K1001" s="172"/>
      <c r="L1001" s="172"/>
      <c r="M1001" s="172"/>
      <c r="N1001" s="172"/>
      <c r="O1001" s="172"/>
      <c r="P1001" s="172"/>
      <c r="Q1001" s="172"/>
      <c r="R1001" s="172"/>
      <c r="S1001" s="172"/>
      <c r="T1001" s="172"/>
      <c r="U1001" s="172"/>
      <c r="V1001" s="172"/>
      <c r="W1001" s="172"/>
      <c r="X1001" s="172"/>
      <c r="Y1001" s="172"/>
      <c r="Z1001" s="172"/>
    </row>
    <row r="1002" spans="1:26" ht="18.75">
      <c r="A1002" s="172"/>
      <c r="B1002" s="172"/>
      <c r="C1002" s="172"/>
      <c r="D1002" s="172"/>
      <c r="E1002" s="172"/>
      <c r="F1002" s="172"/>
      <c r="G1002" s="172"/>
      <c r="H1002" s="172"/>
      <c r="I1002" s="172"/>
      <c r="J1002" s="172"/>
      <c r="K1002" s="172"/>
      <c r="L1002" s="172"/>
      <c r="M1002" s="172"/>
      <c r="N1002" s="172"/>
      <c r="O1002" s="172"/>
      <c r="P1002" s="172"/>
      <c r="Q1002" s="172"/>
      <c r="R1002" s="172"/>
      <c r="S1002" s="172"/>
      <c r="T1002" s="172"/>
      <c r="U1002" s="172"/>
      <c r="V1002" s="172"/>
      <c r="W1002" s="172"/>
      <c r="X1002" s="172"/>
      <c r="Y1002" s="172"/>
      <c r="Z1002" s="172"/>
    </row>
    <row r="1003" spans="1:26" ht="18.75">
      <c r="A1003" s="172"/>
      <c r="B1003" s="172"/>
      <c r="C1003" s="172"/>
      <c r="D1003" s="172"/>
      <c r="E1003" s="172"/>
      <c r="F1003" s="172"/>
      <c r="G1003" s="172"/>
      <c r="H1003" s="172"/>
      <c r="I1003" s="172"/>
      <c r="J1003" s="172"/>
      <c r="K1003" s="172"/>
      <c r="L1003" s="172"/>
      <c r="M1003" s="172"/>
      <c r="N1003" s="172"/>
      <c r="O1003" s="172"/>
      <c r="P1003" s="172"/>
      <c r="Q1003" s="172"/>
      <c r="R1003" s="172"/>
      <c r="S1003" s="172"/>
      <c r="T1003" s="172"/>
      <c r="U1003" s="172"/>
      <c r="V1003" s="172"/>
      <c r="W1003" s="172"/>
      <c r="X1003" s="172"/>
      <c r="Y1003" s="172"/>
      <c r="Z1003" s="172"/>
    </row>
    <row r="1004" spans="1:26" ht="18.75">
      <c r="A1004" s="172"/>
      <c r="B1004" s="172"/>
      <c r="C1004" s="172"/>
      <c r="D1004" s="172"/>
      <c r="E1004" s="172"/>
      <c r="F1004" s="172"/>
      <c r="G1004" s="172"/>
      <c r="H1004" s="172"/>
      <c r="I1004" s="172"/>
      <c r="J1004" s="172"/>
      <c r="K1004" s="172"/>
      <c r="L1004" s="172"/>
      <c r="M1004" s="172"/>
      <c r="N1004" s="172"/>
      <c r="O1004" s="172"/>
      <c r="P1004" s="172"/>
      <c r="Q1004" s="172"/>
      <c r="R1004" s="172"/>
      <c r="S1004" s="172"/>
      <c r="T1004" s="172"/>
      <c r="U1004" s="172"/>
      <c r="V1004" s="172"/>
      <c r="W1004" s="172"/>
      <c r="X1004" s="172"/>
      <c r="Y1004" s="172"/>
      <c r="Z1004" s="172"/>
    </row>
    <row r="1005" spans="1:26" ht="18.75">
      <c r="A1005" s="172"/>
      <c r="B1005" s="172"/>
      <c r="C1005" s="172"/>
      <c r="D1005" s="172"/>
      <c r="E1005" s="172"/>
      <c r="F1005" s="172"/>
      <c r="G1005" s="172"/>
      <c r="H1005" s="172"/>
      <c r="I1005" s="172"/>
      <c r="J1005" s="172"/>
      <c r="K1005" s="172"/>
      <c r="L1005" s="172"/>
      <c r="M1005" s="172"/>
      <c r="N1005" s="172"/>
      <c r="O1005" s="172"/>
      <c r="P1005" s="172"/>
      <c r="Q1005" s="172"/>
      <c r="R1005" s="172"/>
      <c r="S1005" s="172"/>
      <c r="T1005" s="172"/>
      <c r="U1005" s="172"/>
      <c r="V1005" s="172"/>
      <c r="W1005" s="172"/>
      <c r="X1005" s="172"/>
      <c r="Y1005" s="172"/>
      <c r="Z1005" s="172"/>
    </row>
    <row r="1006" spans="1:26" ht="18.75">
      <c r="A1006" s="172"/>
      <c r="B1006" s="172"/>
      <c r="C1006" s="172"/>
      <c r="D1006" s="172"/>
      <c r="E1006" s="172"/>
      <c r="F1006" s="172"/>
      <c r="G1006" s="172"/>
      <c r="H1006" s="172"/>
      <c r="I1006" s="172"/>
      <c r="J1006" s="172"/>
      <c r="K1006" s="172"/>
      <c r="L1006" s="172"/>
      <c r="M1006" s="172"/>
      <c r="N1006" s="172"/>
      <c r="O1006" s="172"/>
      <c r="P1006" s="172"/>
      <c r="Q1006" s="172"/>
      <c r="R1006" s="172"/>
      <c r="S1006" s="172"/>
      <c r="T1006" s="172"/>
      <c r="U1006" s="172"/>
      <c r="V1006" s="172"/>
      <c r="W1006" s="172"/>
      <c r="X1006" s="172"/>
      <c r="Y1006" s="172"/>
      <c r="Z1006" s="172"/>
    </row>
    <row r="1007" spans="1:26" ht="18.75">
      <c r="A1007" s="172"/>
      <c r="B1007" s="172"/>
      <c r="C1007" s="172"/>
      <c r="D1007" s="172"/>
      <c r="E1007" s="172"/>
      <c r="F1007" s="172"/>
      <c r="G1007" s="172"/>
      <c r="H1007" s="172"/>
      <c r="I1007" s="172"/>
      <c r="J1007" s="172"/>
      <c r="K1007" s="172"/>
      <c r="L1007" s="172"/>
      <c r="M1007" s="172"/>
      <c r="N1007" s="172"/>
      <c r="O1007" s="172"/>
      <c r="P1007" s="172"/>
      <c r="Q1007" s="172"/>
      <c r="R1007" s="172"/>
      <c r="S1007" s="172"/>
      <c r="T1007" s="172"/>
      <c r="U1007" s="172"/>
      <c r="V1007" s="172"/>
      <c r="W1007" s="172"/>
      <c r="X1007" s="172"/>
      <c r="Y1007" s="172"/>
      <c r="Z1007" s="172"/>
    </row>
    <row r="1008" spans="1:26" ht="18.75">
      <c r="A1008" s="172"/>
      <c r="B1008" s="172"/>
      <c r="C1008" s="172"/>
      <c r="D1008" s="172"/>
      <c r="E1008" s="172"/>
      <c r="F1008" s="172"/>
      <c r="G1008" s="172"/>
      <c r="H1008" s="172"/>
      <c r="I1008" s="172"/>
      <c r="J1008" s="172"/>
      <c r="K1008" s="172"/>
      <c r="L1008" s="172"/>
      <c r="M1008" s="172"/>
      <c r="N1008" s="172"/>
      <c r="O1008" s="172"/>
      <c r="P1008" s="172"/>
      <c r="Q1008" s="172"/>
      <c r="R1008" s="172"/>
      <c r="S1008" s="172"/>
      <c r="T1008" s="172"/>
      <c r="U1008" s="172"/>
      <c r="V1008" s="172"/>
      <c r="W1008" s="172"/>
      <c r="X1008" s="172"/>
      <c r="Y1008" s="172"/>
      <c r="Z1008" s="172"/>
    </row>
    <row r="1009" spans="1:26" ht="18.75">
      <c r="A1009" s="172"/>
      <c r="B1009" s="172"/>
      <c r="C1009" s="172"/>
      <c r="D1009" s="172"/>
      <c r="E1009" s="172"/>
      <c r="F1009" s="172"/>
      <c r="G1009" s="172"/>
      <c r="H1009" s="172"/>
      <c r="I1009" s="172"/>
      <c r="J1009" s="172"/>
      <c r="K1009" s="172"/>
      <c r="L1009" s="172"/>
      <c r="M1009" s="172"/>
      <c r="N1009" s="172"/>
      <c r="O1009" s="172"/>
      <c r="P1009" s="172"/>
      <c r="Q1009" s="172"/>
      <c r="R1009" s="172"/>
      <c r="S1009" s="172"/>
      <c r="T1009" s="172"/>
      <c r="U1009" s="172"/>
      <c r="V1009" s="172"/>
      <c r="W1009" s="172"/>
      <c r="X1009" s="172"/>
      <c r="Y1009" s="172"/>
      <c r="Z1009" s="172"/>
    </row>
    <row r="1010" spans="1:26" ht="18.75">
      <c r="A1010" s="172"/>
      <c r="B1010" s="172"/>
      <c r="C1010" s="172"/>
      <c r="D1010" s="172"/>
      <c r="E1010" s="172"/>
      <c r="F1010" s="172"/>
      <c r="G1010" s="172"/>
      <c r="H1010" s="172"/>
      <c r="I1010" s="172"/>
      <c r="J1010" s="172"/>
      <c r="K1010" s="172"/>
      <c r="L1010" s="172"/>
      <c r="M1010" s="172"/>
      <c r="N1010" s="172"/>
      <c r="O1010" s="172"/>
      <c r="P1010" s="172"/>
      <c r="Q1010" s="172"/>
      <c r="R1010" s="172"/>
      <c r="S1010" s="172"/>
      <c r="T1010" s="172"/>
      <c r="U1010" s="172"/>
      <c r="V1010" s="172"/>
      <c r="W1010" s="172"/>
      <c r="X1010" s="172"/>
      <c r="Y1010" s="172"/>
      <c r="Z1010" s="172"/>
    </row>
    <row r="1011" spans="1:26" ht="18.75">
      <c r="A1011" s="172"/>
      <c r="B1011" s="172"/>
      <c r="C1011" s="172"/>
      <c r="D1011" s="172"/>
      <c r="E1011" s="172"/>
      <c r="F1011" s="172"/>
      <c r="G1011" s="172"/>
      <c r="H1011" s="172"/>
      <c r="I1011" s="172"/>
      <c r="J1011" s="172"/>
      <c r="K1011" s="172"/>
      <c r="L1011" s="172"/>
      <c r="M1011" s="172"/>
      <c r="N1011" s="172"/>
      <c r="O1011" s="172"/>
      <c r="P1011" s="172"/>
      <c r="Q1011" s="172"/>
      <c r="R1011" s="172"/>
      <c r="S1011" s="172"/>
      <c r="T1011" s="172"/>
      <c r="U1011" s="172"/>
      <c r="V1011" s="172"/>
      <c r="W1011" s="172"/>
      <c r="X1011" s="172"/>
      <c r="Y1011" s="172"/>
      <c r="Z1011" s="172"/>
    </row>
    <row r="1012" spans="1:26" ht="18.75">
      <c r="A1012" s="172"/>
      <c r="B1012" s="172"/>
      <c r="C1012" s="172"/>
      <c r="D1012" s="172"/>
      <c r="E1012" s="172"/>
      <c r="F1012" s="172"/>
      <c r="G1012" s="172"/>
      <c r="H1012" s="172"/>
      <c r="I1012" s="172"/>
      <c r="J1012" s="172"/>
      <c r="K1012" s="172"/>
      <c r="L1012" s="172"/>
      <c r="M1012" s="172"/>
      <c r="N1012" s="172"/>
      <c r="O1012" s="172"/>
      <c r="P1012" s="172"/>
      <c r="Q1012" s="172"/>
      <c r="R1012" s="172"/>
      <c r="S1012" s="172"/>
      <c r="T1012" s="172"/>
      <c r="U1012" s="172"/>
      <c r="V1012" s="172"/>
      <c r="W1012" s="172"/>
      <c r="X1012" s="172"/>
      <c r="Y1012" s="172"/>
      <c r="Z1012" s="172"/>
    </row>
    <row r="1013" spans="1:26" ht="18.75">
      <c r="A1013" s="172"/>
      <c r="B1013" s="172"/>
      <c r="C1013" s="172"/>
      <c r="D1013" s="172"/>
      <c r="E1013" s="172"/>
      <c r="F1013" s="172"/>
      <c r="G1013" s="172"/>
      <c r="H1013" s="172"/>
      <c r="I1013" s="172"/>
      <c r="J1013" s="172"/>
      <c r="K1013" s="172"/>
      <c r="L1013" s="172"/>
      <c r="M1013" s="172"/>
      <c r="N1013" s="172"/>
      <c r="O1013" s="172"/>
      <c r="P1013" s="172"/>
      <c r="Q1013" s="172"/>
      <c r="R1013" s="172"/>
      <c r="S1013" s="172"/>
      <c r="T1013" s="172"/>
      <c r="U1013" s="172"/>
      <c r="V1013" s="172"/>
      <c r="W1013" s="172"/>
      <c r="X1013" s="172"/>
      <c r="Y1013" s="172"/>
      <c r="Z1013" s="172"/>
    </row>
    <row r="1014" spans="1:26" ht="18.75">
      <c r="A1014" s="172"/>
      <c r="B1014" s="172"/>
      <c r="C1014" s="172"/>
      <c r="D1014" s="172"/>
      <c r="E1014" s="172"/>
      <c r="F1014" s="172"/>
      <c r="G1014" s="172"/>
      <c r="H1014" s="172"/>
      <c r="I1014" s="172"/>
      <c r="J1014" s="172"/>
      <c r="K1014" s="172"/>
      <c r="L1014" s="172"/>
      <c r="M1014" s="172"/>
      <c r="N1014" s="172"/>
      <c r="O1014" s="172"/>
      <c r="P1014" s="172"/>
      <c r="Q1014" s="172"/>
      <c r="R1014" s="172"/>
      <c r="S1014" s="172"/>
      <c r="T1014" s="172"/>
      <c r="U1014" s="172"/>
      <c r="V1014" s="172"/>
      <c r="W1014" s="172"/>
      <c r="X1014" s="172"/>
      <c r="Y1014" s="172"/>
      <c r="Z1014" s="172"/>
    </row>
    <row r="1015" spans="1:26" ht="18.75">
      <c r="A1015" s="172"/>
      <c r="B1015" s="172"/>
      <c r="C1015" s="172"/>
      <c r="D1015" s="172"/>
      <c r="E1015" s="172"/>
      <c r="F1015" s="172"/>
      <c r="G1015" s="172"/>
      <c r="H1015" s="172"/>
      <c r="I1015" s="172"/>
      <c r="J1015" s="172"/>
      <c r="K1015" s="172"/>
      <c r="L1015" s="172"/>
      <c r="M1015" s="172"/>
      <c r="N1015" s="172"/>
      <c r="O1015" s="172"/>
      <c r="P1015" s="172"/>
      <c r="Q1015" s="172"/>
      <c r="R1015" s="172"/>
      <c r="S1015" s="172"/>
      <c r="T1015" s="172"/>
      <c r="U1015" s="172"/>
      <c r="V1015" s="172"/>
      <c r="W1015" s="172"/>
      <c r="X1015" s="172"/>
      <c r="Y1015" s="172"/>
      <c r="Z1015" s="172"/>
    </row>
    <row r="1016" spans="1:26" ht="18.75">
      <c r="A1016" s="172"/>
      <c r="B1016" s="172"/>
      <c r="C1016" s="172"/>
      <c r="D1016" s="172"/>
      <c r="E1016" s="172"/>
      <c r="F1016" s="172"/>
      <c r="G1016" s="172"/>
      <c r="H1016" s="172"/>
      <c r="I1016" s="172"/>
      <c r="J1016" s="172"/>
      <c r="K1016" s="172"/>
      <c r="L1016" s="172"/>
      <c r="M1016" s="172"/>
      <c r="N1016" s="172"/>
      <c r="O1016" s="172"/>
      <c r="P1016" s="172"/>
      <c r="Q1016" s="172"/>
      <c r="R1016" s="172"/>
      <c r="S1016" s="172"/>
      <c r="T1016" s="172"/>
      <c r="U1016" s="172"/>
      <c r="V1016" s="172"/>
      <c r="W1016" s="172"/>
      <c r="X1016" s="172"/>
      <c r="Y1016" s="172"/>
      <c r="Z1016" s="172"/>
    </row>
    <row r="1017" spans="1:26" ht="18.75">
      <c r="A1017" s="172"/>
      <c r="B1017" s="172"/>
      <c r="C1017" s="172"/>
      <c r="D1017" s="172"/>
      <c r="E1017" s="172"/>
      <c r="F1017" s="172"/>
      <c r="G1017" s="172"/>
      <c r="H1017" s="172"/>
      <c r="I1017" s="172"/>
      <c r="J1017" s="172"/>
      <c r="K1017" s="172"/>
      <c r="L1017" s="172"/>
      <c r="M1017" s="172"/>
      <c r="N1017" s="172"/>
      <c r="O1017" s="172"/>
      <c r="P1017" s="172"/>
      <c r="Q1017" s="172"/>
      <c r="R1017" s="172"/>
      <c r="S1017" s="172"/>
      <c r="T1017" s="172"/>
      <c r="U1017" s="172"/>
      <c r="V1017" s="172"/>
      <c r="W1017" s="172"/>
      <c r="X1017" s="172"/>
      <c r="Y1017" s="172"/>
      <c r="Z1017" s="172"/>
    </row>
    <row r="1018" spans="1:26" ht="18.75">
      <c r="A1018" s="172"/>
      <c r="B1018" s="172"/>
      <c r="C1018" s="172"/>
      <c r="D1018" s="172"/>
      <c r="E1018" s="172"/>
      <c r="F1018" s="172"/>
      <c r="G1018" s="172"/>
      <c r="H1018" s="172"/>
      <c r="I1018" s="172"/>
      <c r="J1018" s="172"/>
      <c r="K1018" s="172"/>
      <c r="L1018" s="172"/>
      <c r="M1018" s="172"/>
      <c r="N1018" s="172"/>
      <c r="O1018" s="172"/>
      <c r="P1018" s="172"/>
      <c r="Q1018" s="172"/>
      <c r="R1018" s="172"/>
      <c r="S1018" s="172"/>
      <c r="T1018" s="172"/>
      <c r="U1018" s="172"/>
      <c r="V1018" s="172"/>
      <c r="W1018" s="172"/>
      <c r="X1018" s="172"/>
      <c r="Y1018" s="172"/>
      <c r="Z1018" s="172"/>
    </row>
    <row r="1019" spans="1:26" ht="18.75">
      <c r="A1019" s="172"/>
      <c r="B1019" s="172"/>
      <c r="C1019" s="172"/>
      <c r="D1019" s="172"/>
      <c r="E1019" s="172"/>
      <c r="F1019" s="172"/>
      <c r="G1019" s="172"/>
      <c r="H1019" s="172"/>
      <c r="I1019" s="172"/>
      <c r="J1019" s="172"/>
      <c r="K1019" s="172"/>
      <c r="L1019" s="172"/>
      <c r="M1019" s="172"/>
      <c r="N1019" s="172"/>
      <c r="O1019" s="172"/>
      <c r="P1019" s="172"/>
      <c r="Q1019" s="172"/>
      <c r="R1019" s="172"/>
      <c r="S1019" s="172"/>
      <c r="T1019" s="172"/>
      <c r="U1019" s="172"/>
      <c r="V1019" s="172"/>
      <c r="W1019" s="172"/>
      <c r="X1019" s="172"/>
      <c r="Y1019" s="172"/>
      <c r="Z1019" s="172"/>
    </row>
    <row r="1020" spans="1:26" ht="18.75">
      <c r="A1020" s="172"/>
      <c r="B1020" s="172"/>
      <c r="C1020" s="172"/>
      <c r="D1020" s="172"/>
      <c r="E1020" s="172"/>
      <c r="F1020" s="172"/>
      <c r="G1020" s="172"/>
      <c r="H1020" s="172"/>
      <c r="I1020" s="172"/>
      <c r="J1020" s="172"/>
      <c r="K1020" s="172"/>
      <c r="L1020" s="172"/>
      <c r="M1020" s="172"/>
      <c r="N1020" s="172"/>
      <c r="O1020" s="172"/>
      <c r="P1020" s="172"/>
      <c r="Q1020" s="172"/>
      <c r="R1020" s="172"/>
      <c r="S1020" s="172"/>
      <c r="T1020" s="172"/>
      <c r="U1020" s="172"/>
      <c r="V1020" s="172"/>
      <c r="W1020" s="172"/>
      <c r="X1020" s="172"/>
      <c r="Y1020" s="172"/>
      <c r="Z1020" s="172"/>
    </row>
    <row r="1021" spans="1:26" ht="18.75">
      <c r="A1021" s="172"/>
      <c r="B1021" s="172"/>
      <c r="C1021" s="172"/>
      <c r="D1021" s="172"/>
      <c r="E1021" s="172"/>
      <c r="F1021" s="172"/>
      <c r="G1021" s="172"/>
      <c r="H1021" s="172"/>
      <c r="I1021" s="172"/>
      <c r="J1021" s="172"/>
      <c r="K1021" s="172"/>
      <c r="L1021" s="172"/>
      <c r="M1021" s="172"/>
      <c r="N1021" s="172"/>
      <c r="O1021" s="172"/>
      <c r="P1021" s="172"/>
      <c r="Q1021" s="172"/>
      <c r="R1021" s="172"/>
      <c r="S1021" s="172"/>
      <c r="T1021" s="172"/>
      <c r="U1021" s="172"/>
      <c r="V1021" s="172"/>
      <c r="W1021" s="172"/>
      <c r="X1021" s="172"/>
      <c r="Y1021" s="172"/>
      <c r="Z1021" s="172"/>
    </row>
    <row r="1022" spans="1:26" ht="18.75">
      <c r="A1022" s="172"/>
      <c r="B1022" s="172"/>
      <c r="C1022" s="172"/>
      <c r="D1022" s="172"/>
      <c r="E1022" s="172"/>
      <c r="F1022" s="172"/>
      <c r="G1022" s="172"/>
      <c r="H1022" s="172"/>
      <c r="I1022" s="172"/>
      <c r="J1022" s="172"/>
      <c r="K1022" s="172"/>
      <c r="L1022" s="172"/>
      <c r="M1022" s="172"/>
      <c r="N1022" s="172"/>
      <c r="O1022" s="172"/>
      <c r="P1022" s="172"/>
      <c r="Q1022" s="172"/>
      <c r="R1022" s="172"/>
      <c r="S1022" s="172"/>
      <c r="T1022" s="172"/>
      <c r="U1022" s="172"/>
      <c r="V1022" s="172"/>
      <c r="W1022" s="172"/>
      <c r="X1022" s="172"/>
      <c r="Y1022" s="172"/>
      <c r="Z1022" s="172"/>
    </row>
    <row r="1023" spans="1:26" ht="18.75">
      <c r="A1023" s="172"/>
      <c r="B1023" s="172"/>
      <c r="C1023" s="172"/>
      <c r="D1023" s="172"/>
      <c r="E1023" s="172"/>
      <c r="F1023" s="172"/>
      <c r="G1023" s="172"/>
      <c r="H1023" s="172"/>
      <c r="I1023" s="172"/>
      <c r="J1023" s="172"/>
      <c r="K1023" s="172"/>
      <c r="L1023" s="172"/>
      <c r="M1023" s="172"/>
      <c r="N1023" s="172"/>
      <c r="O1023" s="172"/>
      <c r="P1023" s="172"/>
      <c r="Q1023" s="172"/>
      <c r="R1023" s="172"/>
      <c r="S1023" s="172"/>
      <c r="T1023" s="172"/>
      <c r="U1023" s="172"/>
      <c r="V1023" s="172"/>
      <c r="W1023" s="172"/>
      <c r="X1023" s="172"/>
      <c r="Y1023" s="172"/>
      <c r="Z1023" s="172"/>
    </row>
    <row r="1024" spans="1:26" ht="18.75">
      <c r="A1024" s="172"/>
      <c r="B1024" s="172"/>
      <c r="C1024" s="172"/>
      <c r="D1024" s="172"/>
      <c r="E1024" s="172"/>
      <c r="F1024" s="172"/>
      <c r="G1024" s="172"/>
      <c r="H1024" s="172"/>
      <c r="I1024" s="172"/>
      <c r="J1024" s="172"/>
      <c r="K1024" s="172"/>
      <c r="L1024" s="172"/>
      <c r="M1024" s="172"/>
      <c r="N1024" s="172"/>
      <c r="O1024" s="172"/>
      <c r="P1024" s="172"/>
      <c r="Q1024" s="172"/>
      <c r="R1024" s="172"/>
      <c r="S1024" s="172"/>
      <c r="T1024" s="172"/>
      <c r="U1024" s="172"/>
      <c r="V1024" s="172"/>
      <c r="W1024" s="172"/>
      <c r="X1024" s="172"/>
      <c r="Y1024" s="172"/>
      <c r="Z1024" s="172"/>
    </row>
    <row r="1025" spans="1:26" ht="18.75">
      <c r="A1025" s="172"/>
      <c r="B1025" s="172"/>
      <c r="C1025" s="172"/>
      <c r="D1025" s="172"/>
      <c r="E1025" s="172"/>
      <c r="F1025" s="172"/>
      <c r="G1025" s="172"/>
      <c r="H1025" s="172"/>
      <c r="I1025" s="172"/>
      <c r="J1025" s="172"/>
      <c r="K1025" s="172"/>
      <c r="L1025" s="172"/>
      <c r="M1025" s="172"/>
      <c r="N1025" s="172"/>
      <c r="O1025" s="172"/>
      <c r="P1025" s="172"/>
      <c r="Q1025" s="172"/>
      <c r="R1025" s="172"/>
      <c r="S1025" s="172"/>
      <c r="T1025" s="172"/>
      <c r="U1025" s="172"/>
      <c r="V1025" s="172"/>
      <c r="W1025" s="172"/>
      <c r="X1025" s="172"/>
      <c r="Y1025" s="172"/>
      <c r="Z1025" s="172"/>
    </row>
    <row r="1026" spans="1:26" ht="18.75">
      <c r="A1026" s="172"/>
      <c r="B1026" s="172"/>
      <c r="C1026" s="172"/>
      <c r="D1026" s="172"/>
      <c r="E1026" s="172"/>
      <c r="F1026" s="172"/>
      <c r="G1026" s="172"/>
      <c r="H1026" s="172"/>
      <c r="I1026" s="172"/>
      <c r="J1026" s="172"/>
      <c r="K1026" s="172"/>
      <c r="L1026" s="172"/>
      <c r="M1026" s="172"/>
      <c r="N1026" s="172"/>
      <c r="O1026" s="172"/>
      <c r="P1026" s="172"/>
      <c r="Q1026" s="172"/>
      <c r="R1026" s="172"/>
      <c r="S1026" s="172"/>
      <c r="T1026" s="172"/>
      <c r="U1026" s="172"/>
      <c r="V1026" s="172"/>
      <c r="W1026" s="172"/>
      <c r="X1026" s="172"/>
      <c r="Y1026" s="172"/>
      <c r="Z1026" s="172"/>
    </row>
    <row r="1027" spans="1:26" ht="18.75">
      <c r="A1027" s="172"/>
      <c r="B1027" s="172"/>
      <c r="C1027" s="172"/>
      <c r="D1027" s="172"/>
      <c r="E1027" s="172"/>
      <c r="F1027" s="172"/>
      <c r="G1027" s="172"/>
      <c r="H1027" s="172"/>
      <c r="I1027" s="172"/>
      <c r="J1027" s="172"/>
      <c r="K1027" s="172"/>
      <c r="L1027" s="172"/>
      <c r="M1027" s="172"/>
      <c r="N1027" s="172"/>
      <c r="O1027" s="172"/>
      <c r="P1027" s="172"/>
      <c r="Q1027" s="172"/>
      <c r="R1027" s="172"/>
      <c r="S1027" s="172"/>
      <c r="T1027" s="172"/>
      <c r="U1027" s="172"/>
      <c r="V1027" s="172"/>
      <c r="W1027" s="172"/>
      <c r="X1027" s="172"/>
      <c r="Y1027" s="172"/>
      <c r="Z1027" s="172"/>
    </row>
    <row r="1028" spans="1:26" ht="18.75">
      <c r="A1028" s="172"/>
      <c r="B1028" s="172"/>
      <c r="C1028" s="172"/>
      <c r="D1028" s="172"/>
      <c r="E1028" s="172"/>
      <c r="F1028" s="172"/>
      <c r="G1028" s="172"/>
      <c r="H1028" s="172"/>
      <c r="I1028" s="172"/>
      <c r="J1028" s="172"/>
      <c r="K1028" s="172"/>
      <c r="L1028" s="172"/>
      <c r="M1028" s="172"/>
      <c r="N1028" s="172"/>
      <c r="O1028" s="172"/>
      <c r="P1028" s="172"/>
      <c r="Q1028" s="172"/>
      <c r="R1028" s="172"/>
      <c r="S1028" s="172"/>
      <c r="T1028" s="172"/>
      <c r="U1028" s="172"/>
      <c r="V1028" s="172"/>
      <c r="W1028" s="172"/>
      <c r="X1028" s="172"/>
      <c r="Y1028" s="172"/>
      <c r="Z1028" s="172"/>
    </row>
    <row r="1029" spans="1:26" ht="18.75">
      <c r="A1029" s="172"/>
      <c r="B1029" s="172"/>
      <c r="C1029" s="172"/>
      <c r="D1029" s="172"/>
      <c r="E1029" s="172"/>
      <c r="F1029" s="172"/>
      <c r="G1029" s="172"/>
      <c r="H1029" s="172"/>
      <c r="I1029" s="172"/>
      <c r="J1029" s="172"/>
      <c r="K1029" s="172"/>
      <c r="L1029" s="172"/>
      <c r="M1029" s="172"/>
      <c r="N1029" s="172"/>
      <c r="O1029" s="172"/>
      <c r="P1029" s="172"/>
      <c r="Q1029" s="172"/>
      <c r="R1029" s="172"/>
      <c r="S1029" s="172"/>
      <c r="T1029" s="172"/>
      <c r="U1029" s="172"/>
      <c r="V1029" s="172"/>
      <c r="W1029" s="172"/>
      <c r="X1029" s="172"/>
      <c r="Y1029" s="172"/>
      <c r="Z1029" s="172"/>
    </row>
    <row r="1030" spans="1:26" ht="18.75">
      <c r="A1030" s="172"/>
      <c r="B1030" s="172"/>
      <c r="C1030" s="172"/>
      <c r="D1030" s="172"/>
      <c r="E1030" s="172"/>
      <c r="F1030" s="172"/>
      <c r="G1030" s="172"/>
      <c r="H1030" s="172"/>
      <c r="I1030" s="172"/>
      <c r="J1030" s="172"/>
      <c r="K1030" s="172"/>
      <c r="L1030" s="172"/>
      <c r="M1030" s="172"/>
      <c r="N1030" s="172"/>
      <c r="O1030" s="172"/>
      <c r="P1030" s="172"/>
      <c r="Q1030" s="172"/>
      <c r="R1030" s="172"/>
      <c r="S1030" s="172"/>
      <c r="T1030" s="172"/>
      <c r="U1030" s="172"/>
      <c r="V1030" s="172"/>
      <c r="W1030" s="172"/>
      <c r="X1030" s="172"/>
      <c r="Y1030" s="172"/>
      <c r="Z1030" s="172"/>
    </row>
    <row r="1031" spans="1:26" ht="18.75">
      <c r="A1031" s="172"/>
      <c r="B1031" s="172"/>
      <c r="C1031" s="172"/>
      <c r="D1031" s="172"/>
      <c r="E1031" s="172"/>
      <c r="F1031" s="172"/>
      <c r="G1031" s="172"/>
      <c r="H1031" s="172"/>
      <c r="I1031" s="172"/>
      <c r="J1031" s="172"/>
      <c r="K1031" s="172"/>
      <c r="L1031" s="172"/>
      <c r="M1031" s="172"/>
      <c r="N1031" s="172"/>
      <c r="O1031" s="172"/>
      <c r="P1031" s="172"/>
      <c r="Q1031" s="172"/>
      <c r="R1031" s="172"/>
      <c r="S1031" s="172"/>
      <c r="T1031" s="172"/>
      <c r="U1031" s="172"/>
      <c r="V1031" s="172"/>
      <c r="W1031" s="172"/>
      <c r="X1031" s="172"/>
      <c r="Y1031" s="172"/>
      <c r="Z1031" s="172"/>
    </row>
    <row r="1032" spans="1:26" ht="18.75">
      <c r="A1032" s="172"/>
      <c r="B1032" s="172"/>
      <c r="C1032" s="172"/>
      <c r="D1032" s="172"/>
      <c r="E1032" s="172"/>
      <c r="F1032" s="172"/>
      <c r="G1032" s="172"/>
      <c r="H1032" s="172"/>
      <c r="I1032" s="172"/>
      <c r="J1032" s="172"/>
      <c r="K1032" s="172"/>
      <c r="L1032" s="172"/>
      <c r="M1032" s="172"/>
      <c r="N1032" s="172"/>
      <c r="O1032" s="172"/>
      <c r="P1032" s="172"/>
      <c r="Q1032" s="172"/>
      <c r="R1032" s="172"/>
      <c r="S1032" s="172"/>
      <c r="T1032" s="172"/>
      <c r="U1032" s="172"/>
      <c r="V1032" s="172"/>
      <c r="W1032" s="172"/>
      <c r="X1032" s="172"/>
      <c r="Y1032" s="172"/>
      <c r="Z1032" s="172"/>
    </row>
    <row r="1033" spans="1:26" ht="18.75">
      <c r="A1033" s="172"/>
      <c r="B1033" s="172"/>
      <c r="C1033" s="172"/>
      <c r="D1033" s="172"/>
      <c r="E1033" s="172"/>
      <c r="F1033" s="172"/>
      <c r="G1033" s="172"/>
      <c r="H1033" s="172"/>
      <c r="I1033" s="172"/>
      <c r="J1033" s="172"/>
      <c r="K1033" s="172"/>
      <c r="L1033" s="172"/>
      <c r="M1033" s="172"/>
      <c r="N1033" s="172"/>
      <c r="O1033" s="172"/>
      <c r="P1033" s="172"/>
      <c r="Q1033" s="172"/>
      <c r="R1033" s="172"/>
      <c r="S1033" s="172"/>
      <c r="T1033" s="172"/>
      <c r="U1033" s="172"/>
      <c r="V1033" s="172"/>
      <c r="W1033" s="172"/>
      <c r="X1033" s="172"/>
      <c r="Y1033" s="172"/>
      <c r="Z1033" s="172"/>
    </row>
    <row r="1034" spans="1:26" ht="18.75">
      <c r="A1034" s="172"/>
      <c r="B1034" s="172"/>
      <c r="C1034" s="172"/>
      <c r="D1034" s="172"/>
      <c r="E1034" s="172"/>
      <c r="F1034" s="172"/>
      <c r="G1034" s="172"/>
      <c r="H1034" s="172"/>
      <c r="I1034" s="172"/>
      <c r="J1034" s="172"/>
      <c r="K1034" s="172"/>
      <c r="L1034" s="172"/>
      <c r="M1034" s="172"/>
      <c r="N1034" s="172"/>
      <c r="O1034" s="172"/>
      <c r="P1034" s="172"/>
      <c r="Q1034" s="172"/>
      <c r="R1034" s="172"/>
      <c r="S1034" s="172"/>
      <c r="T1034" s="172"/>
      <c r="U1034" s="172"/>
      <c r="V1034" s="172"/>
      <c r="W1034" s="172"/>
      <c r="X1034" s="172"/>
      <c r="Y1034" s="172"/>
      <c r="Z1034" s="172"/>
    </row>
    <row r="1035" spans="1:26" ht="18.75">
      <c r="A1035" s="172"/>
      <c r="B1035" s="172"/>
      <c r="C1035" s="172"/>
      <c r="D1035" s="172"/>
      <c r="E1035" s="172"/>
      <c r="F1035" s="172"/>
      <c r="G1035" s="172"/>
      <c r="H1035" s="172"/>
      <c r="I1035" s="172"/>
      <c r="J1035" s="172"/>
      <c r="K1035" s="172"/>
      <c r="L1035" s="172"/>
      <c r="M1035" s="172"/>
      <c r="N1035" s="172"/>
      <c r="O1035" s="172"/>
      <c r="P1035" s="172"/>
      <c r="Q1035" s="172"/>
      <c r="R1035" s="172"/>
      <c r="S1035" s="172"/>
      <c r="T1035" s="172"/>
      <c r="U1035" s="172"/>
      <c r="V1035" s="172"/>
      <c r="W1035" s="172"/>
      <c r="X1035" s="172"/>
      <c r="Y1035" s="172"/>
      <c r="Z1035" s="172"/>
    </row>
    <row r="1036" spans="1:26" ht="18.75">
      <c r="A1036" s="172"/>
      <c r="B1036" s="172"/>
      <c r="C1036" s="172"/>
      <c r="D1036" s="172"/>
      <c r="E1036" s="172"/>
      <c r="F1036" s="172"/>
      <c r="G1036" s="172"/>
      <c r="H1036" s="172"/>
      <c r="I1036" s="172"/>
      <c r="J1036" s="172"/>
      <c r="K1036" s="172"/>
      <c r="L1036" s="172"/>
      <c r="M1036" s="172"/>
      <c r="N1036" s="172"/>
      <c r="O1036" s="172"/>
      <c r="P1036" s="172"/>
      <c r="Q1036" s="172"/>
      <c r="R1036" s="172"/>
      <c r="S1036" s="172"/>
      <c r="T1036" s="172"/>
      <c r="U1036" s="172"/>
      <c r="V1036" s="172"/>
      <c r="W1036" s="172"/>
      <c r="X1036" s="172"/>
      <c r="Y1036" s="172"/>
      <c r="Z1036" s="172"/>
    </row>
    <row r="1037" spans="1:26" ht="18.75">
      <c r="A1037" s="172"/>
      <c r="B1037" s="172"/>
      <c r="C1037" s="172"/>
      <c r="D1037" s="172"/>
      <c r="E1037" s="172"/>
      <c r="F1037" s="172"/>
      <c r="G1037" s="172"/>
      <c r="H1037" s="172"/>
      <c r="I1037" s="172"/>
      <c r="J1037" s="172"/>
      <c r="K1037" s="172"/>
      <c r="L1037" s="172"/>
      <c r="M1037" s="172"/>
      <c r="N1037" s="172"/>
      <c r="O1037" s="172"/>
      <c r="P1037" s="172"/>
      <c r="Q1037" s="172"/>
      <c r="R1037" s="172"/>
      <c r="S1037" s="172"/>
      <c r="T1037" s="172"/>
      <c r="U1037" s="172"/>
      <c r="V1037" s="172"/>
      <c r="W1037" s="172"/>
      <c r="X1037" s="172"/>
      <c r="Y1037" s="172"/>
      <c r="Z1037" s="172"/>
    </row>
    <row r="1038" spans="1:26" ht="18.75">
      <c r="A1038" s="172"/>
      <c r="B1038" s="172"/>
      <c r="C1038" s="172"/>
      <c r="D1038" s="172"/>
      <c r="E1038" s="172"/>
      <c r="F1038" s="172"/>
      <c r="G1038" s="172"/>
      <c r="H1038" s="172"/>
      <c r="I1038" s="172"/>
      <c r="J1038" s="172"/>
      <c r="K1038" s="172"/>
      <c r="L1038" s="172"/>
      <c r="M1038" s="172"/>
      <c r="N1038" s="172"/>
      <c r="O1038" s="172"/>
      <c r="P1038" s="172"/>
      <c r="Q1038" s="172"/>
      <c r="R1038" s="172"/>
      <c r="S1038" s="172"/>
      <c r="T1038" s="172"/>
      <c r="U1038" s="172"/>
      <c r="V1038" s="172"/>
      <c r="W1038" s="172"/>
      <c r="X1038" s="172"/>
      <c r="Y1038" s="172"/>
      <c r="Z1038" s="172"/>
    </row>
    <row r="1039" spans="1:26" ht="18.75">
      <c r="A1039" s="172"/>
      <c r="B1039" s="172"/>
      <c r="C1039" s="172"/>
      <c r="D1039" s="172"/>
      <c r="E1039" s="172"/>
      <c r="F1039" s="172"/>
      <c r="G1039" s="172"/>
      <c r="H1039" s="172"/>
      <c r="I1039" s="172"/>
      <c r="J1039" s="172"/>
      <c r="K1039" s="172"/>
      <c r="L1039" s="172"/>
      <c r="M1039" s="172"/>
      <c r="N1039" s="172"/>
      <c r="O1039" s="172"/>
      <c r="P1039" s="172"/>
      <c r="Q1039" s="172"/>
      <c r="R1039" s="172"/>
      <c r="S1039" s="172"/>
      <c r="T1039" s="172"/>
      <c r="U1039" s="172"/>
      <c r="V1039" s="172"/>
      <c r="W1039" s="172"/>
      <c r="X1039" s="172"/>
      <c r="Y1039" s="172"/>
      <c r="Z1039" s="172"/>
    </row>
    <row r="1040" spans="1:26" ht="18.75">
      <c r="A1040" s="172"/>
      <c r="B1040" s="172"/>
      <c r="C1040" s="172"/>
      <c r="D1040" s="172"/>
      <c r="E1040" s="172"/>
      <c r="F1040" s="172"/>
      <c r="G1040" s="172"/>
      <c r="H1040" s="172"/>
      <c r="I1040" s="172"/>
      <c r="J1040" s="172"/>
      <c r="K1040" s="172"/>
      <c r="L1040" s="172"/>
      <c r="M1040" s="172"/>
      <c r="N1040" s="172"/>
      <c r="O1040" s="172"/>
      <c r="P1040" s="172"/>
      <c r="Q1040" s="172"/>
      <c r="R1040" s="172"/>
      <c r="S1040" s="172"/>
      <c r="T1040" s="172"/>
      <c r="U1040" s="172"/>
      <c r="V1040" s="172"/>
      <c r="W1040" s="172"/>
      <c r="X1040" s="172"/>
      <c r="Y1040" s="172"/>
      <c r="Z1040" s="172"/>
    </row>
    <row r="1041" spans="1:26" ht="18.75">
      <c r="A1041" s="172"/>
      <c r="B1041" s="172"/>
      <c r="C1041" s="172"/>
      <c r="D1041" s="172"/>
      <c r="E1041" s="172"/>
      <c r="F1041" s="172"/>
      <c r="G1041" s="172"/>
      <c r="H1041" s="172"/>
      <c r="I1041" s="172"/>
      <c r="J1041" s="172"/>
      <c r="K1041" s="172"/>
      <c r="L1041" s="172"/>
      <c r="M1041" s="172"/>
      <c r="N1041" s="172"/>
      <c r="O1041" s="172"/>
      <c r="P1041" s="172"/>
      <c r="Q1041" s="172"/>
      <c r="R1041" s="172"/>
      <c r="S1041" s="172"/>
      <c r="T1041" s="172"/>
      <c r="U1041" s="172"/>
      <c r="V1041" s="172"/>
      <c r="W1041" s="172"/>
      <c r="X1041" s="172"/>
      <c r="Y1041" s="172"/>
      <c r="Z1041" s="172"/>
    </row>
    <row r="1042" spans="1:26" ht="18.75">
      <c r="A1042" s="172"/>
      <c r="B1042" s="172"/>
      <c r="C1042" s="172"/>
      <c r="D1042" s="172"/>
      <c r="E1042" s="172"/>
      <c r="F1042" s="172"/>
      <c r="G1042" s="172"/>
      <c r="H1042" s="172"/>
      <c r="I1042" s="172"/>
      <c r="J1042" s="172"/>
      <c r="K1042" s="172"/>
      <c r="L1042" s="172"/>
      <c r="M1042" s="172"/>
      <c r="N1042" s="172"/>
      <c r="O1042" s="172"/>
      <c r="P1042" s="172"/>
      <c r="Q1042" s="172"/>
      <c r="R1042" s="172"/>
      <c r="S1042" s="172"/>
      <c r="T1042" s="172"/>
      <c r="U1042" s="172"/>
      <c r="V1042" s="172"/>
      <c r="W1042" s="172"/>
      <c r="X1042" s="172"/>
      <c r="Y1042" s="172"/>
      <c r="Z1042" s="172"/>
    </row>
    <row r="1043" spans="1:26" ht="18.75">
      <c r="A1043" s="172"/>
      <c r="B1043" s="172"/>
      <c r="C1043" s="172"/>
      <c r="D1043" s="172"/>
      <c r="E1043" s="172"/>
      <c r="F1043" s="172"/>
      <c r="G1043" s="172"/>
      <c r="H1043" s="172"/>
      <c r="I1043" s="172"/>
      <c r="J1043" s="172"/>
      <c r="K1043" s="172"/>
      <c r="L1043" s="172"/>
      <c r="M1043" s="172"/>
      <c r="N1043" s="172"/>
      <c r="O1043" s="172"/>
      <c r="P1043" s="172"/>
      <c r="Q1043" s="172"/>
      <c r="R1043" s="172"/>
      <c r="S1043" s="172"/>
      <c r="T1043" s="172"/>
      <c r="U1043" s="172"/>
      <c r="V1043" s="172"/>
      <c r="W1043" s="172"/>
      <c r="X1043" s="172"/>
      <c r="Y1043" s="172"/>
      <c r="Z1043" s="172"/>
    </row>
    <row r="1044" spans="1:26" ht="18.75">
      <c r="A1044" s="172"/>
      <c r="B1044" s="172"/>
      <c r="C1044" s="172"/>
      <c r="D1044" s="172"/>
      <c r="E1044" s="172"/>
      <c r="F1044" s="172"/>
      <c r="G1044" s="172"/>
      <c r="H1044" s="172"/>
      <c r="I1044" s="172"/>
      <c r="J1044" s="172"/>
      <c r="K1044" s="172"/>
      <c r="L1044" s="172"/>
      <c r="M1044" s="172"/>
      <c r="N1044" s="172"/>
      <c r="O1044" s="172"/>
      <c r="P1044" s="172"/>
      <c r="Q1044" s="172"/>
      <c r="R1044" s="172"/>
      <c r="S1044" s="172"/>
      <c r="T1044" s="172"/>
      <c r="U1044" s="172"/>
      <c r="V1044" s="172"/>
      <c r="W1044" s="172"/>
      <c r="X1044" s="172"/>
      <c r="Y1044" s="172"/>
      <c r="Z1044" s="172"/>
    </row>
    <row r="1045" spans="1:26" ht="18.75">
      <c r="A1045" s="172"/>
      <c r="B1045" s="172"/>
      <c r="C1045" s="172"/>
      <c r="D1045" s="172"/>
      <c r="E1045" s="172"/>
      <c r="F1045" s="172"/>
      <c r="G1045" s="172"/>
      <c r="H1045" s="172"/>
      <c r="I1045" s="172"/>
      <c r="J1045" s="172"/>
      <c r="K1045" s="172"/>
      <c r="L1045" s="172"/>
      <c r="M1045" s="172"/>
      <c r="N1045" s="172"/>
      <c r="O1045" s="172"/>
      <c r="P1045" s="172"/>
      <c r="Q1045" s="172"/>
      <c r="R1045" s="172"/>
      <c r="S1045" s="172"/>
      <c r="T1045" s="172"/>
      <c r="U1045" s="172"/>
      <c r="V1045" s="172"/>
      <c r="W1045" s="172"/>
      <c r="X1045" s="172"/>
      <c r="Y1045" s="172"/>
      <c r="Z1045" s="172"/>
    </row>
    <row r="1046" spans="1:26" ht="18.75">
      <c r="A1046" s="172"/>
      <c r="B1046" s="172"/>
      <c r="C1046" s="172"/>
      <c r="D1046" s="172"/>
      <c r="E1046" s="172"/>
      <c r="F1046" s="172"/>
      <c r="G1046" s="172"/>
      <c r="H1046" s="172"/>
      <c r="I1046" s="172"/>
      <c r="J1046" s="172"/>
      <c r="K1046" s="172"/>
      <c r="L1046" s="172"/>
      <c r="M1046" s="172"/>
      <c r="N1046" s="172"/>
      <c r="O1046" s="172"/>
      <c r="P1046" s="172"/>
      <c r="Q1046" s="172"/>
      <c r="R1046" s="172"/>
      <c r="S1046" s="172"/>
      <c r="T1046" s="172"/>
      <c r="U1046" s="172"/>
      <c r="V1046" s="172"/>
      <c r="W1046" s="172"/>
      <c r="X1046" s="172"/>
      <c r="Y1046" s="172"/>
      <c r="Z1046" s="172"/>
    </row>
    <row r="1047" spans="1:26" ht="18.75">
      <c r="A1047" s="172"/>
      <c r="B1047" s="172"/>
      <c r="C1047" s="172"/>
      <c r="D1047" s="172"/>
      <c r="E1047" s="172"/>
      <c r="F1047" s="172"/>
      <c r="G1047" s="172"/>
      <c r="H1047" s="172"/>
      <c r="I1047" s="172"/>
      <c r="J1047" s="172"/>
      <c r="K1047" s="172"/>
      <c r="L1047" s="172"/>
      <c r="M1047" s="172"/>
      <c r="N1047" s="172"/>
      <c r="O1047" s="172"/>
      <c r="P1047" s="172"/>
      <c r="Q1047" s="172"/>
      <c r="R1047" s="172"/>
      <c r="S1047" s="172"/>
      <c r="T1047" s="172"/>
      <c r="U1047" s="172"/>
      <c r="V1047" s="172"/>
      <c r="W1047" s="172"/>
      <c r="X1047" s="172"/>
      <c r="Y1047" s="172"/>
      <c r="Z1047" s="172"/>
    </row>
    <row r="1048" spans="1:26" ht="18.75">
      <c r="A1048" s="172"/>
      <c r="B1048" s="172"/>
      <c r="C1048" s="172"/>
      <c r="D1048" s="172"/>
      <c r="E1048" s="172"/>
      <c r="F1048" s="172"/>
      <c r="G1048" s="172"/>
      <c r="H1048" s="172"/>
      <c r="I1048" s="172"/>
      <c r="J1048" s="172"/>
      <c r="K1048" s="172"/>
      <c r="L1048" s="172"/>
      <c r="M1048" s="172"/>
      <c r="N1048" s="172"/>
      <c r="O1048" s="172"/>
      <c r="P1048" s="172"/>
      <c r="Q1048" s="172"/>
      <c r="R1048" s="172"/>
      <c r="S1048" s="172"/>
      <c r="T1048" s="172"/>
      <c r="U1048" s="172"/>
      <c r="V1048" s="172"/>
      <c r="W1048" s="172"/>
      <c r="X1048" s="172"/>
      <c r="Y1048" s="172"/>
      <c r="Z1048" s="172"/>
    </row>
    <row r="1049" spans="1:26" ht="18.75">
      <c r="A1049" s="172"/>
      <c r="B1049" s="172"/>
      <c r="C1049" s="172"/>
      <c r="D1049" s="172"/>
      <c r="E1049" s="172"/>
      <c r="F1049" s="172"/>
      <c r="G1049" s="172"/>
      <c r="H1049" s="172"/>
      <c r="I1049" s="172"/>
      <c r="J1049" s="172"/>
      <c r="K1049" s="172"/>
      <c r="L1049" s="172"/>
      <c r="M1049" s="172"/>
      <c r="N1049" s="172"/>
      <c r="O1049" s="172"/>
      <c r="P1049" s="172"/>
      <c r="Q1049" s="172"/>
      <c r="R1049" s="172"/>
      <c r="S1049" s="172"/>
      <c r="T1049" s="172"/>
      <c r="U1049" s="172"/>
      <c r="V1049" s="172"/>
      <c r="W1049" s="172"/>
      <c r="X1049" s="172"/>
      <c r="Y1049" s="172"/>
      <c r="Z1049" s="172"/>
    </row>
    <row r="1050" spans="1:26" ht="18.75">
      <c r="A1050" s="172"/>
      <c r="B1050" s="172"/>
      <c r="C1050" s="172"/>
      <c r="D1050" s="172"/>
      <c r="E1050" s="172"/>
      <c r="F1050" s="172"/>
      <c r="G1050" s="172"/>
      <c r="H1050" s="172"/>
      <c r="I1050" s="172"/>
      <c r="J1050" s="172"/>
      <c r="K1050" s="172"/>
      <c r="L1050" s="172"/>
      <c r="M1050" s="172"/>
      <c r="N1050" s="172"/>
      <c r="O1050" s="172"/>
      <c r="P1050" s="172"/>
      <c r="Q1050" s="172"/>
      <c r="R1050" s="172"/>
      <c r="S1050" s="172"/>
      <c r="T1050" s="172"/>
      <c r="U1050" s="172"/>
      <c r="V1050" s="172"/>
      <c r="W1050" s="172"/>
      <c r="X1050" s="172"/>
      <c r="Y1050" s="172"/>
      <c r="Z1050" s="172"/>
    </row>
    <row r="1051" spans="1:26" ht="18.75">
      <c r="A1051" s="172"/>
      <c r="B1051" s="172"/>
      <c r="C1051" s="172"/>
      <c r="D1051" s="172"/>
      <c r="E1051" s="172"/>
      <c r="F1051" s="172"/>
      <c r="G1051" s="172"/>
      <c r="H1051" s="172"/>
      <c r="I1051" s="172"/>
      <c r="J1051" s="172"/>
      <c r="K1051" s="172"/>
      <c r="L1051" s="172"/>
      <c r="M1051" s="172"/>
      <c r="N1051" s="172"/>
      <c r="O1051" s="172"/>
      <c r="P1051" s="172"/>
      <c r="Q1051" s="172"/>
      <c r="R1051" s="172"/>
      <c r="S1051" s="172"/>
      <c r="T1051" s="172"/>
      <c r="U1051" s="172"/>
      <c r="V1051" s="172"/>
      <c r="W1051" s="172"/>
      <c r="X1051" s="172"/>
      <c r="Y1051" s="172"/>
      <c r="Z1051" s="172"/>
    </row>
    <row r="1052" spans="1:26" ht="18.75">
      <c r="A1052" s="172"/>
      <c r="B1052" s="172"/>
      <c r="C1052" s="172"/>
      <c r="D1052" s="172"/>
      <c r="E1052" s="172"/>
      <c r="F1052" s="172"/>
      <c r="G1052" s="172"/>
      <c r="H1052" s="172"/>
      <c r="I1052" s="172"/>
      <c r="J1052" s="172"/>
      <c r="K1052" s="172"/>
      <c r="L1052" s="172"/>
      <c r="M1052" s="172"/>
      <c r="N1052" s="172"/>
      <c r="O1052" s="172"/>
      <c r="P1052" s="172"/>
      <c r="Q1052" s="172"/>
      <c r="R1052" s="172"/>
      <c r="S1052" s="172"/>
      <c r="T1052" s="172"/>
      <c r="U1052" s="172"/>
      <c r="V1052" s="172"/>
      <c r="W1052" s="172"/>
      <c r="X1052" s="172"/>
      <c r="Y1052" s="172"/>
      <c r="Z1052" s="172"/>
    </row>
    <row r="1053" spans="1:26" ht="18.75">
      <c r="A1053" s="172"/>
      <c r="B1053" s="172"/>
      <c r="C1053" s="172"/>
      <c r="D1053" s="172"/>
      <c r="E1053" s="172"/>
      <c r="F1053" s="172"/>
      <c r="G1053" s="172"/>
      <c r="H1053" s="172"/>
      <c r="I1053" s="172"/>
      <c r="J1053" s="172"/>
      <c r="K1053" s="172"/>
      <c r="L1053" s="172"/>
      <c r="M1053" s="172"/>
      <c r="N1053" s="172"/>
      <c r="O1053" s="172"/>
      <c r="P1053" s="172"/>
      <c r="Q1053" s="172"/>
      <c r="R1053" s="172"/>
      <c r="S1053" s="172"/>
      <c r="T1053" s="172"/>
      <c r="U1053" s="172"/>
      <c r="V1053" s="172"/>
      <c r="W1053" s="172"/>
      <c r="X1053" s="172"/>
      <c r="Y1053" s="172"/>
      <c r="Z1053" s="172"/>
    </row>
    <row r="1054" spans="1:26" ht="18.75">
      <c r="A1054" s="172"/>
      <c r="B1054" s="172"/>
      <c r="C1054" s="172"/>
      <c r="D1054" s="172"/>
      <c r="E1054" s="172"/>
      <c r="F1054" s="172"/>
      <c r="G1054" s="172"/>
      <c r="H1054" s="172"/>
      <c r="I1054" s="172"/>
      <c r="J1054" s="172"/>
      <c r="K1054" s="172"/>
      <c r="L1054" s="172"/>
      <c r="M1054" s="172"/>
      <c r="N1054" s="172"/>
      <c r="O1054" s="172"/>
      <c r="P1054" s="172"/>
      <c r="Q1054" s="172"/>
      <c r="R1054" s="172"/>
      <c r="S1054" s="172"/>
      <c r="T1054" s="172"/>
      <c r="U1054" s="172"/>
      <c r="V1054" s="172"/>
      <c r="W1054" s="172"/>
      <c r="X1054" s="172"/>
      <c r="Y1054" s="172"/>
      <c r="Z1054" s="172"/>
    </row>
    <row r="1055" spans="1:26" ht="18.75">
      <c r="A1055" s="172"/>
      <c r="B1055" s="172"/>
      <c r="C1055" s="172"/>
      <c r="D1055" s="172"/>
      <c r="E1055" s="172"/>
      <c r="F1055" s="172"/>
      <c r="G1055" s="172"/>
      <c r="H1055" s="172"/>
      <c r="I1055" s="172"/>
      <c r="J1055" s="172"/>
      <c r="K1055" s="172"/>
      <c r="L1055" s="172"/>
      <c r="M1055" s="172"/>
      <c r="N1055" s="172"/>
      <c r="O1055" s="172"/>
      <c r="P1055" s="172"/>
      <c r="Q1055" s="172"/>
      <c r="R1055" s="172"/>
      <c r="S1055" s="172"/>
      <c r="T1055" s="172"/>
      <c r="U1055" s="172"/>
      <c r="V1055" s="172"/>
      <c r="W1055" s="172"/>
      <c r="X1055" s="172"/>
      <c r="Y1055" s="172"/>
      <c r="Z1055" s="172"/>
    </row>
    <row r="1056" spans="1:26" ht="18.75">
      <c r="A1056" s="172"/>
      <c r="B1056" s="172"/>
      <c r="C1056" s="172"/>
      <c r="D1056" s="172"/>
      <c r="E1056" s="172"/>
      <c r="F1056" s="172"/>
      <c r="G1056" s="172"/>
      <c r="H1056" s="172"/>
      <c r="I1056" s="172"/>
      <c r="J1056" s="172"/>
      <c r="K1056" s="172"/>
      <c r="L1056" s="172"/>
      <c r="M1056" s="172"/>
      <c r="N1056" s="172"/>
      <c r="O1056" s="172"/>
      <c r="P1056" s="172"/>
      <c r="Q1056" s="172"/>
      <c r="R1056" s="172"/>
      <c r="S1056" s="172"/>
      <c r="T1056" s="172"/>
      <c r="U1056" s="172"/>
      <c r="V1056" s="172"/>
      <c r="W1056" s="172"/>
      <c r="X1056" s="172"/>
      <c r="Y1056" s="172"/>
      <c r="Z1056" s="172"/>
    </row>
    <row r="1057" spans="1:26" ht="18.75">
      <c r="A1057" s="172"/>
      <c r="B1057" s="172"/>
      <c r="C1057" s="172"/>
      <c r="D1057" s="172"/>
      <c r="E1057" s="172"/>
      <c r="F1057" s="172"/>
      <c r="G1057" s="172"/>
      <c r="H1057" s="172"/>
      <c r="I1057" s="172"/>
      <c r="J1057" s="172"/>
      <c r="K1057" s="172"/>
      <c r="L1057" s="172"/>
      <c r="M1057" s="172"/>
      <c r="N1057" s="172"/>
      <c r="O1057" s="172"/>
      <c r="P1057" s="172"/>
      <c r="Q1057" s="172"/>
      <c r="R1057" s="172"/>
      <c r="S1057" s="172"/>
      <c r="T1057" s="172"/>
      <c r="U1057" s="172"/>
      <c r="V1057" s="172"/>
      <c r="W1057" s="172"/>
      <c r="X1057" s="172"/>
      <c r="Y1057" s="172"/>
      <c r="Z1057" s="172"/>
    </row>
    <row r="1058" spans="1:26" ht="18.75">
      <c r="A1058" s="172"/>
      <c r="B1058" s="172"/>
      <c r="C1058" s="172"/>
      <c r="D1058" s="172"/>
      <c r="E1058" s="172"/>
      <c r="F1058" s="172"/>
      <c r="G1058" s="172"/>
      <c r="H1058" s="172"/>
      <c r="I1058" s="172"/>
      <c r="J1058" s="172"/>
      <c r="K1058" s="172"/>
      <c r="L1058" s="172"/>
      <c r="M1058" s="172"/>
      <c r="N1058" s="172"/>
      <c r="O1058" s="172"/>
      <c r="P1058" s="172"/>
      <c r="Q1058" s="172"/>
      <c r="R1058" s="172"/>
      <c r="S1058" s="172"/>
      <c r="T1058" s="172"/>
      <c r="U1058" s="172"/>
      <c r="V1058" s="172"/>
      <c r="W1058" s="172"/>
      <c r="X1058" s="172"/>
      <c r="Y1058" s="172"/>
      <c r="Z1058" s="172"/>
    </row>
    <row r="1059" spans="1:26" ht="18.75">
      <c r="A1059" s="172"/>
      <c r="B1059" s="172"/>
      <c r="C1059" s="172"/>
      <c r="D1059" s="172"/>
      <c r="E1059" s="172"/>
      <c r="F1059" s="172"/>
      <c r="G1059" s="172"/>
      <c r="H1059" s="172"/>
      <c r="I1059" s="172"/>
      <c r="J1059" s="172"/>
      <c r="K1059" s="172"/>
      <c r="L1059" s="172"/>
      <c r="M1059" s="172"/>
      <c r="N1059" s="172"/>
      <c r="O1059" s="172"/>
      <c r="P1059" s="172"/>
      <c r="Q1059" s="172"/>
      <c r="R1059" s="172"/>
      <c r="S1059" s="172"/>
      <c r="T1059" s="172"/>
      <c r="U1059" s="172"/>
      <c r="V1059" s="172"/>
      <c r="W1059" s="172"/>
      <c r="X1059" s="172"/>
      <c r="Y1059" s="172"/>
      <c r="Z1059" s="172"/>
    </row>
    <row r="1060" spans="1:26" ht="18.75">
      <c r="A1060" s="172"/>
      <c r="B1060" s="172"/>
      <c r="C1060" s="172"/>
      <c r="D1060" s="172"/>
      <c r="E1060" s="172"/>
      <c r="F1060" s="172"/>
      <c r="G1060" s="172"/>
      <c r="H1060" s="172"/>
      <c r="I1060" s="172"/>
      <c r="J1060" s="172"/>
      <c r="K1060" s="172"/>
      <c r="L1060" s="172"/>
      <c r="M1060" s="172"/>
      <c r="N1060" s="172"/>
      <c r="O1060" s="172"/>
      <c r="P1060" s="172"/>
      <c r="Q1060" s="172"/>
      <c r="R1060" s="172"/>
      <c r="S1060" s="172"/>
      <c r="T1060" s="172"/>
      <c r="U1060" s="172"/>
      <c r="V1060" s="172"/>
      <c r="W1060" s="172"/>
      <c r="X1060" s="172"/>
      <c r="Y1060" s="172"/>
      <c r="Z1060" s="172"/>
    </row>
    <row r="1061" spans="1:26" ht="18.75">
      <c r="A1061" s="172"/>
      <c r="B1061" s="172"/>
      <c r="C1061" s="172"/>
      <c r="D1061" s="172"/>
      <c r="E1061" s="172"/>
      <c r="F1061" s="172"/>
      <c r="G1061" s="172"/>
      <c r="H1061" s="172"/>
      <c r="I1061" s="172"/>
      <c r="J1061" s="172"/>
      <c r="K1061" s="172"/>
      <c r="L1061" s="172"/>
      <c r="M1061" s="172"/>
      <c r="N1061" s="172"/>
      <c r="O1061" s="172"/>
      <c r="P1061" s="172"/>
      <c r="Q1061" s="172"/>
      <c r="R1061" s="172"/>
      <c r="S1061" s="172"/>
      <c r="T1061" s="172"/>
      <c r="U1061" s="172"/>
      <c r="V1061" s="172"/>
      <c r="W1061" s="172"/>
      <c r="X1061" s="172"/>
      <c r="Y1061" s="172"/>
      <c r="Z1061" s="172"/>
    </row>
    <row r="1062" spans="1:26" ht="18.75">
      <c r="A1062" s="172"/>
      <c r="B1062" s="172"/>
      <c r="C1062" s="172"/>
      <c r="D1062" s="172"/>
      <c r="E1062" s="172"/>
      <c r="F1062" s="172"/>
      <c r="G1062" s="172"/>
      <c r="H1062" s="172"/>
      <c r="I1062" s="172"/>
      <c r="J1062" s="172"/>
      <c r="K1062" s="172"/>
      <c r="L1062" s="172"/>
      <c r="M1062" s="172"/>
      <c r="N1062" s="172"/>
      <c r="O1062" s="172"/>
      <c r="P1062" s="172"/>
      <c r="Q1062" s="172"/>
      <c r="R1062" s="172"/>
      <c r="S1062" s="172"/>
      <c r="T1062" s="172"/>
      <c r="U1062" s="172"/>
      <c r="V1062" s="172"/>
      <c r="W1062" s="172"/>
      <c r="X1062" s="172"/>
      <c r="Y1062" s="172"/>
      <c r="Z1062" s="172"/>
    </row>
    <row r="1063" spans="1:26" ht="18.75">
      <c r="A1063" s="172"/>
      <c r="B1063" s="172"/>
      <c r="C1063" s="172"/>
      <c r="D1063" s="172"/>
      <c r="E1063" s="172"/>
      <c r="F1063" s="172"/>
      <c r="G1063" s="172"/>
      <c r="H1063" s="172"/>
      <c r="I1063" s="172"/>
      <c r="J1063" s="172"/>
      <c r="K1063" s="172"/>
      <c r="L1063" s="172"/>
      <c r="M1063" s="172"/>
      <c r="N1063" s="172"/>
      <c r="O1063" s="172"/>
      <c r="P1063" s="172"/>
      <c r="Q1063" s="172"/>
      <c r="R1063" s="172"/>
      <c r="S1063" s="172"/>
      <c r="T1063" s="172"/>
      <c r="U1063" s="172"/>
      <c r="V1063" s="172"/>
      <c r="W1063" s="172"/>
      <c r="X1063" s="172"/>
      <c r="Y1063" s="172"/>
      <c r="Z1063" s="172"/>
    </row>
    <row r="1064" spans="1:26" ht="18.75">
      <c r="A1064" s="172"/>
      <c r="B1064" s="172"/>
      <c r="C1064" s="172"/>
      <c r="D1064" s="172"/>
      <c r="E1064" s="172"/>
      <c r="F1064" s="172"/>
      <c r="G1064" s="172"/>
      <c r="H1064" s="172"/>
      <c r="I1064" s="172"/>
      <c r="J1064" s="172"/>
      <c r="K1064" s="172"/>
      <c r="L1064" s="172"/>
      <c r="M1064" s="172"/>
      <c r="N1064" s="172"/>
      <c r="O1064" s="172"/>
      <c r="P1064" s="172"/>
      <c r="Q1064" s="172"/>
      <c r="R1064" s="172"/>
      <c r="S1064" s="172"/>
      <c r="T1064" s="172"/>
      <c r="U1064" s="172"/>
      <c r="V1064" s="172"/>
      <c r="W1064" s="172"/>
      <c r="X1064" s="172"/>
      <c r="Y1064" s="172"/>
      <c r="Z1064" s="172"/>
    </row>
    <row r="1065" spans="1:26" ht="18.75">
      <c r="A1065" s="172"/>
      <c r="B1065" s="172"/>
      <c r="C1065" s="172"/>
      <c r="D1065" s="172"/>
      <c r="E1065" s="172"/>
      <c r="F1065" s="172"/>
      <c r="G1065" s="172"/>
      <c r="H1065" s="172"/>
      <c r="I1065" s="172"/>
      <c r="J1065" s="172"/>
      <c r="K1065" s="172"/>
      <c r="L1065" s="172"/>
      <c r="M1065" s="172"/>
      <c r="N1065" s="172"/>
      <c r="O1065" s="172"/>
      <c r="P1065" s="172"/>
      <c r="Q1065" s="172"/>
      <c r="R1065" s="172"/>
      <c r="S1065" s="172"/>
      <c r="T1065" s="172"/>
      <c r="U1065" s="172"/>
      <c r="V1065" s="172"/>
      <c r="W1065" s="172"/>
      <c r="X1065" s="172"/>
      <c r="Y1065" s="172"/>
      <c r="Z1065" s="172"/>
    </row>
    <row r="1066" spans="1:26" ht="18.75">
      <c r="A1066" s="172"/>
      <c r="B1066" s="172"/>
      <c r="C1066" s="172"/>
      <c r="D1066" s="172"/>
      <c r="E1066" s="172"/>
      <c r="F1066" s="172"/>
      <c r="G1066" s="172"/>
      <c r="H1066" s="172"/>
      <c r="I1066" s="172"/>
      <c r="J1066" s="172"/>
      <c r="K1066" s="172"/>
      <c r="L1066" s="172"/>
      <c r="M1066" s="172"/>
      <c r="N1066" s="172"/>
      <c r="O1066" s="172"/>
      <c r="P1066" s="172"/>
      <c r="Q1066" s="172"/>
      <c r="R1066" s="172"/>
      <c r="S1066" s="172"/>
      <c r="T1066" s="172"/>
      <c r="U1066" s="172"/>
      <c r="V1066" s="172"/>
      <c r="W1066" s="172"/>
      <c r="X1066" s="172"/>
      <c r="Y1066" s="172"/>
      <c r="Z1066" s="172"/>
    </row>
    <row r="1067" spans="1:26" ht="18.75">
      <c r="A1067" s="172"/>
      <c r="B1067" s="172"/>
      <c r="C1067" s="172"/>
      <c r="D1067" s="172"/>
      <c r="E1067" s="172"/>
      <c r="F1067" s="172"/>
      <c r="G1067" s="172"/>
      <c r="H1067" s="172"/>
      <c r="I1067" s="172"/>
      <c r="J1067" s="172"/>
      <c r="K1067" s="172"/>
      <c r="L1067" s="172"/>
      <c r="M1067" s="172"/>
      <c r="N1067" s="172"/>
      <c r="O1067" s="172"/>
      <c r="P1067" s="172"/>
      <c r="Q1067" s="172"/>
      <c r="R1067" s="172"/>
      <c r="S1067" s="172"/>
      <c r="T1067" s="172"/>
      <c r="U1067" s="172"/>
      <c r="V1067" s="172"/>
      <c r="W1067" s="172"/>
      <c r="X1067" s="172"/>
      <c r="Y1067" s="172"/>
      <c r="Z1067" s="172"/>
    </row>
    <row r="1068" spans="1:26" ht="18.75">
      <c r="A1068" s="172"/>
      <c r="B1068" s="172"/>
      <c r="C1068" s="172"/>
      <c r="D1068" s="172"/>
      <c r="E1068" s="172"/>
      <c r="F1068" s="172"/>
      <c r="G1068" s="172"/>
      <c r="H1068" s="172"/>
      <c r="I1068" s="172"/>
      <c r="J1068" s="172"/>
      <c r="K1068" s="172"/>
      <c r="L1068" s="172"/>
      <c r="M1068" s="172"/>
      <c r="N1068" s="172"/>
      <c r="O1068" s="172"/>
      <c r="P1068" s="172"/>
      <c r="Q1068" s="172"/>
      <c r="R1068" s="172"/>
      <c r="S1068" s="172"/>
      <c r="T1068" s="172"/>
      <c r="U1068" s="172"/>
      <c r="V1068" s="172"/>
      <c r="W1068" s="172"/>
      <c r="X1068" s="172"/>
      <c r="Y1068" s="172"/>
      <c r="Z1068" s="172"/>
    </row>
    <row r="1069" spans="1:26" ht="18.75">
      <c r="A1069" s="172"/>
      <c r="B1069" s="172"/>
      <c r="C1069" s="172"/>
      <c r="D1069" s="172"/>
      <c r="E1069" s="172"/>
      <c r="F1069" s="172"/>
      <c r="G1069" s="172"/>
      <c r="H1069" s="172"/>
      <c r="I1069" s="172"/>
      <c r="J1069" s="172"/>
      <c r="K1069" s="172"/>
      <c r="L1069" s="172"/>
      <c r="M1069" s="172"/>
      <c r="N1069" s="172"/>
      <c r="O1069" s="172"/>
      <c r="P1069" s="172"/>
      <c r="Q1069" s="172"/>
      <c r="R1069" s="172"/>
      <c r="S1069" s="172"/>
      <c r="T1069" s="172"/>
      <c r="U1069" s="172"/>
      <c r="V1069" s="172"/>
      <c r="W1069" s="172"/>
      <c r="X1069" s="172"/>
      <c r="Y1069" s="172"/>
      <c r="Z1069" s="172"/>
    </row>
    <row r="1070" spans="1:26" ht="18.75">
      <c r="A1070" s="172"/>
      <c r="B1070" s="172"/>
      <c r="C1070" s="172"/>
      <c r="D1070" s="172"/>
      <c r="E1070" s="172"/>
      <c r="F1070" s="172"/>
      <c r="G1070" s="172"/>
      <c r="H1070" s="172"/>
      <c r="I1070" s="172"/>
      <c r="J1070" s="172"/>
      <c r="K1070" s="172"/>
      <c r="L1070" s="172"/>
      <c r="M1070" s="172"/>
      <c r="N1070" s="172"/>
      <c r="O1070" s="172"/>
      <c r="P1070" s="172"/>
      <c r="Q1070" s="172"/>
      <c r="R1070" s="172"/>
      <c r="S1070" s="172"/>
      <c r="T1070" s="172"/>
      <c r="U1070" s="172"/>
      <c r="V1070" s="172"/>
      <c r="W1070" s="172"/>
      <c r="X1070" s="172"/>
      <c r="Y1070" s="172"/>
      <c r="Z1070" s="172"/>
    </row>
    <row r="1071" spans="1:26" ht="18.75">
      <c r="A1071" s="172"/>
      <c r="B1071" s="172"/>
      <c r="C1071" s="172"/>
      <c r="D1071" s="172"/>
      <c r="E1071" s="172"/>
      <c r="F1071" s="172"/>
      <c r="G1071" s="172"/>
      <c r="H1071" s="172"/>
      <c r="I1071" s="172"/>
      <c r="J1071" s="172"/>
      <c r="K1071" s="172"/>
      <c r="L1071" s="172"/>
      <c r="M1071" s="172"/>
      <c r="N1071" s="172"/>
      <c r="O1071" s="172"/>
      <c r="P1071" s="172"/>
      <c r="Q1071" s="172"/>
      <c r="R1071" s="172"/>
      <c r="S1071" s="172"/>
      <c r="T1071" s="172"/>
      <c r="U1071" s="172"/>
      <c r="V1071" s="172"/>
      <c r="W1071" s="172"/>
      <c r="X1071" s="172"/>
      <c r="Y1071" s="172"/>
      <c r="Z1071" s="172"/>
    </row>
    <row r="1072" spans="1:26" ht="18.75">
      <c r="A1072" s="172"/>
      <c r="B1072" s="172"/>
      <c r="C1072" s="172"/>
      <c r="D1072" s="172"/>
      <c r="E1072" s="172"/>
      <c r="F1072" s="172"/>
      <c r="G1072" s="172"/>
      <c r="H1072" s="172"/>
      <c r="I1072" s="172"/>
      <c r="J1072" s="172"/>
      <c r="K1072" s="172"/>
      <c r="L1072" s="172"/>
      <c r="M1072" s="172"/>
      <c r="N1072" s="172"/>
      <c r="O1072" s="172"/>
      <c r="P1072" s="172"/>
      <c r="Q1072" s="172"/>
      <c r="R1072" s="172"/>
      <c r="S1072" s="172"/>
      <c r="T1072" s="172"/>
      <c r="U1072" s="172"/>
      <c r="V1072" s="172"/>
      <c r="W1072" s="172"/>
      <c r="X1072" s="172"/>
      <c r="Y1072" s="172"/>
      <c r="Z1072" s="172"/>
    </row>
    <row r="1073" spans="1:26" ht="18.75">
      <c r="A1073" s="172"/>
      <c r="B1073" s="172"/>
      <c r="C1073" s="172"/>
      <c r="D1073" s="172"/>
      <c r="E1073" s="172"/>
      <c r="F1073" s="172"/>
      <c r="G1073" s="172"/>
      <c r="H1073" s="172"/>
      <c r="I1073" s="172"/>
      <c r="J1073" s="172"/>
      <c r="K1073" s="172"/>
      <c r="L1073" s="172"/>
      <c r="M1073" s="172"/>
      <c r="N1073" s="172"/>
      <c r="O1073" s="172"/>
      <c r="P1073" s="172"/>
      <c r="Q1073" s="172"/>
      <c r="R1073" s="172"/>
      <c r="S1073" s="172"/>
      <c r="T1073" s="172"/>
      <c r="U1073" s="172"/>
      <c r="V1073" s="172"/>
      <c r="W1073" s="172"/>
      <c r="X1073" s="172"/>
      <c r="Y1073" s="172"/>
      <c r="Z1073" s="172"/>
    </row>
    <row r="1074" spans="1:26" ht="18.75">
      <c r="A1074" s="172"/>
      <c r="B1074" s="172"/>
      <c r="C1074" s="172"/>
      <c r="D1074" s="172"/>
      <c r="E1074" s="172"/>
      <c r="F1074" s="172"/>
      <c r="G1074" s="172"/>
      <c r="H1074" s="172"/>
      <c r="I1074" s="172"/>
      <c r="J1074" s="172"/>
      <c r="K1074" s="172"/>
      <c r="L1074" s="172"/>
      <c r="M1074" s="172"/>
      <c r="N1074" s="172"/>
      <c r="O1074" s="172"/>
      <c r="P1074" s="172"/>
      <c r="Q1074" s="172"/>
      <c r="R1074" s="172"/>
      <c r="S1074" s="172"/>
      <c r="T1074" s="172"/>
      <c r="U1074" s="172"/>
      <c r="V1074" s="172"/>
      <c r="W1074" s="172"/>
      <c r="X1074" s="172"/>
      <c r="Y1074" s="172"/>
      <c r="Z1074" s="172"/>
    </row>
    <row r="1075" spans="1:26" ht="18.75">
      <c r="A1075" s="172"/>
      <c r="B1075" s="172"/>
      <c r="C1075" s="172"/>
      <c r="D1075" s="172"/>
      <c r="E1075" s="172"/>
      <c r="F1075" s="172"/>
      <c r="G1075" s="172"/>
      <c r="H1075" s="172"/>
      <c r="I1075" s="172"/>
      <c r="J1075" s="172"/>
      <c r="K1075" s="172"/>
      <c r="L1075" s="172"/>
      <c r="M1075" s="172"/>
      <c r="N1075" s="172"/>
      <c r="O1075" s="172"/>
      <c r="P1075" s="172"/>
      <c r="Q1075" s="172"/>
      <c r="R1075" s="172"/>
      <c r="S1075" s="172"/>
      <c r="T1075" s="172"/>
      <c r="U1075" s="172"/>
      <c r="V1075" s="172"/>
      <c r="W1075" s="172"/>
      <c r="X1075" s="172"/>
      <c r="Y1075" s="172"/>
      <c r="Z1075" s="172"/>
    </row>
    <row r="1076" spans="1:26" ht="18.75">
      <c r="A1076" s="172"/>
      <c r="B1076" s="172"/>
      <c r="C1076" s="172"/>
      <c r="D1076" s="172"/>
      <c r="E1076" s="172"/>
      <c r="F1076" s="172"/>
      <c r="G1076" s="172"/>
      <c r="H1076" s="172"/>
      <c r="I1076" s="172"/>
      <c r="J1076" s="172"/>
      <c r="K1076" s="172"/>
      <c r="L1076" s="172"/>
      <c r="M1076" s="172"/>
      <c r="N1076" s="172"/>
      <c r="O1076" s="172"/>
      <c r="P1076" s="172"/>
      <c r="Q1076" s="172"/>
      <c r="R1076" s="172"/>
      <c r="S1076" s="172"/>
      <c r="T1076" s="172"/>
      <c r="U1076" s="172"/>
      <c r="V1076" s="172"/>
      <c r="W1076" s="172"/>
      <c r="X1076" s="172"/>
      <c r="Y1076" s="172"/>
      <c r="Z1076" s="172"/>
    </row>
    <row r="1077" spans="1:26" ht="18.75">
      <c r="A1077" s="172"/>
      <c r="B1077" s="172"/>
      <c r="C1077" s="172"/>
      <c r="D1077" s="172"/>
      <c r="E1077" s="172"/>
      <c r="F1077" s="172"/>
      <c r="G1077" s="172"/>
      <c r="H1077" s="172"/>
      <c r="I1077" s="172"/>
      <c r="J1077" s="172"/>
      <c r="K1077" s="172"/>
      <c r="L1077" s="172"/>
      <c r="M1077" s="172"/>
      <c r="N1077" s="172"/>
      <c r="O1077" s="172"/>
      <c r="P1077" s="172"/>
      <c r="Q1077" s="172"/>
      <c r="R1077" s="172"/>
      <c r="S1077" s="172"/>
      <c r="T1077" s="172"/>
      <c r="U1077" s="172"/>
      <c r="V1077" s="172"/>
      <c r="W1077" s="172"/>
      <c r="X1077" s="172"/>
      <c r="Y1077" s="172"/>
      <c r="Z1077" s="172"/>
    </row>
    <row r="1078" spans="1:26" ht="18.75">
      <c r="A1078" s="172"/>
      <c r="B1078" s="172"/>
      <c r="C1078" s="172"/>
      <c r="D1078" s="172"/>
      <c r="E1078" s="172"/>
      <c r="F1078" s="172"/>
      <c r="G1078" s="172"/>
      <c r="H1078" s="172"/>
      <c r="I1078" s="172"/>
      <c r="J1078" s="172"/>
      <c r="K1078" s="172"/>
      <c r="L1078" s="172"/>
      <c r="M1078" s="172"/>
      <c r="N1078" s="172"/>
      <c r="O1078" s="172"/>
      <c r="P1078" s="172"/>
      <c r="Q1078" s="172"/>
      <c r="R1078" s="172"/>
      <c r="S1078" s="172"/>
      <c r="T1078" s="172"/>
      <c r="U1078" s="172"/>
      <c r="V1078" s="172"/>
      <c r="W1078" s="172"/>
      <c r="X1078" s="172"/>
      <c r="Y1078" s="172"/>
      <c r="Z1078" s="172"/>
    </row>
    <row r="1079" spans="1:26" ht="18.75">
      <c r="A1079" s="172"/>
      <c r="B1079" s="172"/>
      <c r="C1079" s="172"/>
      <c r="D1079" s="172"/>
      <c r="E1079" s="172"/>
      <c r="F1079" s="172"/>
      <c r="G1079" s="172"/>
      <c r="H1079" s="172"/>
      <c r="I1079" s="172"/>
      <c r="J1079" s="172"/>
      <c r="K1079" s="172"/>
      <c r="L1079" s="172"/>
      <c r="M1079" s="172"/>
      <c r="N1079" s="172"/>
      <c r="O1079" s="172"/>
      <c r="P1079" s="172"/>
      <c r="Q1079" s="172"/>
      <c r="R1079" s="172"/>
      <c r="S1079" s="172"/>
      <c r="T1079" s="172"/>
      <c r="U1079" s="172"/>
      <c r="V1079" s="172"/>
      <c r="W1079" s="172"/>
      <c r="X1079" s="172"/>
      <c r="Y1079" s="172"/>
      <c r="Z1079" s="172"/>
    </row>
    <row r="1080" spans="1:26" ht="18.75">
      <c r="A1080" s="172"/>
      <c r="B1080" s="172"/>
      <c r="C1080" s="172"/>
      <c r="D1080" s="172"/>
      <c r="E1080" s="172"/>
      <c r="F1080" s="172"/>
      <c r="G1080" s="172"/>
      <c r="H1080" s="172"/>
      <c r="I1080" s="172"/>
      <c r="J1080" s="172"/>
      <c r="K1080" s="172"/>
      <c r="L1080" s="172"/>
      <c r="M1080" s="172"/>
      <c r="N1080" s="172"/>
      <c r="O1080" s="172"/>
      <c r="P1080" s="172"/>
      <c r="Q1080" s="172"/>
      <c r="R1080" s="172"/>
      <c r="S1080" s="172"/>
      <c r="T1080" s="172"/>
      <c r="U1080" s="172"/>
      <c r="V1080" s="172"/>
      <c r="W1080" s="172"/>
      <c r="X1080" s="172"/>
      <c r="Y1080" s="172"/>
      <c r="Z1080" s="172"/>
    </row>
    <row r="1081" spans="1:26" ht="18.75">
      <c r="A1081" s="172"/>
      <c r="B1081" s="172"/>
      <c r="C1081" s="172"/>
      <c r="D1081" s="172"/>
      <c r="E1081" s="172"/>
      <c r="F1081" s="172"/>
      <c r="G1081" s="172"/>
      <c r="H1081" s="172"/>
      <c r="I1081" s="172"/>
      <c r="J1081" s="172"/>
      <c r="K1081" s="172"/>
      <c r="L1081" s="172"/>
      <c r="M1081" s="172"/>
      <c r="N1081" s="172"/>
      <c r="O1081" s="172"/>
      <c r="P1081" s="172"/>
      <c r="Q1081" s="172"/>
      <c r="R1081" s="172"/>
      <c r="S1081" s="172"/>
      <c r="T1081" s="172"/>
      <c r="U1081" s="172"/>
      <c r="V1081" s="172"/>
      <c r="W1081" s="172"/>
      <c r="X1081" s="172"/>
      <c r="Y1081" s="172"/>
      <c r="Z1081" s="172"/>
    </row>
    <row r="1082" spans="1:26" ht="18.75">
      <c r="A1082" s="172"/>
      <c r="B1082" s="172"/>
      <c r="C1082" s="172"/>
      <c r="D1082" s="172"/>
      <c r="E1082" s="172"/>
      <c r="F1082" s="172"/>
      <c r="G1082" s="172"/>
      <c r="H1082" s="172"/>
      <c r="I1082" s="172"/>
      <c r="J1082" s="172"/>
      <c r="K1082" s="172"/>
      <c r="L1082" s="172"/>
      <c r="M1082" s="172"/>
      <c r="N1082" s="172"/>
      <c r="O1082" s="172"/>
      <c r="P1082" s="172"/>
      <c r="Q1082" s="172"/>
      <c r="R1082" s="172"/>
      <c r="S1082" s="172"/>
      <c r="T1082" s="172"/>
      <c r="U1082" s="172"/>
      <c r="V1082" s="172"/>
      <c r="W1082" s="172"/>
      <c r="X1082" s="172"/>
      <c r="Y1082" s="172"/>
      <c r="Z1082" s="172"/>
    </row>
    <row r="1083" spans="1:26" ht="18.75">
      <c r="A1083" s="172"/>
      <c r="B1083" s="172"/>
      <c r="C1083" s="172"/>
      <c r="D1083" s="172"/>
      <c r="E1083" s="172"/>
      <c r="F1083" s="172"/>
      <c r="G1083" s="172"/>
      <c r="H1083" s="172"/>
      <c r="I1083" s="172"/>
      <c r="J1083" s="172"/>
      <c r="K1083" s="172"/>
      <c r="L1083" s="172"/>
      <c r="M1083" s="172"/>
      <c r="N1083" s="172"/>
      <c r="O1083" s="172"/>
      <c r="P1083" s="172"/>
      <c r="Q1083" s="172"/>
      <c r="R1083" s="172"/>
      <c r="S1083" s="172"/>
      <c r="T1083" s="172"/>
      <c r="U1083" s="172"/>
      <c r="V1083" s="172"/>
      <c r="W1083" s="172"/>
      <c r="X1083" s="172"/>
      <c r="Y1083" s="172"/>
      <c r="Z1083" s="172"/>
    </row>
    <row r="1084" spans="1:26" ht="18.75">
      <c r="A1084" s="172"/>
      <c r="B1084" s="172"/>
      <c r="C1084" s="172"/>
      <c r="D1084" s="172"/>
      <c r="E1084" s="172"/>
      <c r="F1084" s="172"/>
      <c r="G1084" s="172"/>
      <c r="H1084" s="172"/>
      <c r="I1084" s="172"/>
      <c r="J1084" s="172"/>
      <c r="K1084" s="172"/>
      <c r="L1084" s="172"/>
      <c r="M1084" s="172"/>
      <c r="N1084" s="172"/>
      <c r="O1084" s="172"/>
      <c r="P1084" s="172"/>
      <c r="Q1084" s="172"/>
      <c r="R1084" s="172"/>
      <c r="S1084" s="172"/>
      <c r="T1084" s="172"/>
      <c r="U1084" s="172"/>
      <c r="V1084" s="172"/>
      <c r="W1084" s="172"/>
      <c r="X1084" s="172"/>
      <c r="Y1084" s="172"/>
      <c r="Z1084" s="172"/>
    </row>
    <row r="1085" spans="1:26" ht="18.75">
      <c r="A1085" s="172"/>
      <c r="B1085" s="172"/>
      <c r="C1085" s="172"/>
      <c r="D1085" s="172"/>
      <c r="E1085" s="172"/>
      <c r="F1085" s="172"/>
      <c r="G1085" s="172"/>
      <c r="H1085" s="172"/>
      <c r="I1085" s="172"/>
      <c r="J1085" s="172"/>
      <c r="K1085" s="172"/>
      <c r="L1085" s="172"/>
      <c r="M1085" s="172"/>
      <c r="N1085" s="172"/>
      <c r="O1085" s="172"/>
      <c r="P1085" s="172"/>
      <c r="Q1085" s="172"/>
      <c r="R1085" s="172"/>
      <c r="S1085" s="172"/>
      <c r="T1085" s="172"/>
      <c r="U1085" s="172"/>
      <c r="V1085" s="172"/>
      <c r="W1085" s="172"/>
      <c r="X1085" s="172"/>
      <c r="Y1085" s="172"/>
      <c r="Z1085" s="172"/>
    </row>
    <row r="1086" spans="1:26" ht="18.75">
      <c r="A1086" s="172"/>
      <c r="B1086" s="172"/>
      <c r="C1086" s="172"/>
      <c r="D1086" s="172"/>
      <c r="E1086" s="172"/>
      <c r="F1086" s="172"/>
      <c r="G1086" s="172"/>
      <c r="H1086" s="172"/>
      <c r="I1086" s="172"/>
      <c r="J1086" s="172"/>
      <c r="K1086" s="172"/>
      <c r="L1086" s="172"/>
      <c r="M1086" s="172"/>
      <c r="N1086" s="172"/>
      <c r="O1086" s="172"/>
      <c r="P1086" s="172"/>
      <c r="Q1086" s="172"/>
      <c r="R1086" s="172"/>
      <c r="S1086" s="172"/>
      <c r="T1086" s="172"/>
      <c r="U1086" s="172"/>
      <c r="V1086" s="172"/>
      <c r="W1086" s="172"/>
      <c r="X1086" s="172"/>
      <c r="Y1086" s="172"/>
      <c r="Z1086" s="172"/>
    </row>
    <row r="1087" spans="1:26" ht="18.75">
      <c r="A1087" s="172"/>
      <c r="B1087" s="172"/>
      <c r="C1087" s="172"/>
      <c r="D1087" s="172"/>
      <c r="E1087" s="172"/>
      <c r="F1087" s="172"/>
      <c r="G1087" s="172"/>
      <c r="H1087" s="172"/>
      <c r="I1087" s="172"/>
      <c r="J1087" s="172"/>
      <c r="K1087" s="172"/>
      <c r="L1087" s="172"/>
      <c r="M1087" s="172"/>
      <c r="N1087" s="172"/>
      <c r="O1087" s="172"/>
      <c r="P1087" s="172"/>
      <c r="Q1087" s="172"/>
      <c r="R1087" s="172"/>
      <c r="S1087" s="172"/>
      <c r="T1087" s="172"/>
      <c r="U1087" s="172"/>
      <c r="V1087" s="172"/>
      <c r="W1087" s="172"/>
      <c r="X1087" s="172"/>
      <c r="Y1087" s="172"/>
      <c r="Z1087" s="172"/>
    </row>
    <row r="1088" spans="1:26" ht="18.75">
      <c r="A1088" s="172"/>
      <c r="B1088" s="172"/>
      <c r="C1088" s="172"/>
      <c r="D1088" s="172"/>
      <c r="E1088" s="172"/>
      <c r="F1088" s="172"/>
      <c r="G1088" s="172"/>
      <c r="H1088" s="172"/>
      <c r="I1088" s="172"/>
      <c r="J1088" s="172"/>
      <c r="K1088" s="172"/>
      <c r="L1088" s="172"/>
      <c r="M1088" s="172"/>
      <c r="N1088" s="172"/>
      <c r="O1088" s="172"/>
      <c r="P1088" s="172"/>
      <c r="Q1088" s="172"/>
      <c r="R1088" s="172"/>
      <c r="S1088" s="172"/>
      <c r="T1088" s="172"/>
      <c r="U1088" s="172"/>
      <c r="V1088" s="172"/>
      <c r="W1088" s="172"/>
      <c r="X1088" s="172"/>
      <c r="Y1088" s="172"/>
      <c r="Z1088" s="172"/>
    </row>
    <row r="1089" spans="1:26" ht="18.75">
      <c r="A1089" s="172"/>
      <c r="B1089" s="172"/>
      <c r="C1089" s="172"/>
      <c r="D1089" s="172"/>
      <c r="E1089" s="172"/>
      <c r="F1089" s="172"/>
      <c r="G1089" s="172"/>
      <c r="H1089" s="172"/>
      <c r="I1089" s="172"/>
      <c r="J1089" s="172"/>
      <c r="K1089" s="172"/>
      <c r="L1089" s="172"/>
      <c r="M1089" s="172"/>
      <c r="N1089" s="172"/>
      <c r="O1089" s="172"/>
      <c r="P1089" s="172"/>
      <c r="Q1089" s="172"/>
      <c r="R1089" s="172"/>
      <c r="S1089" s="172"/>
      <c r="T1089" s="172"/>
      <c r="U1089" s="172"/>
      <c r="V1089" s="172"/>
      <c r="W1089" s="172"/>
      <c r="X1089" s="172"/>
      <c r="Y1089" s="172"/>
      <c r="Z1089" s="172"/>
    </row>
    <row r="1090" spans="1:26" ht="18.75">
      <c r="A1090" s="172"/>
      <c r="B1090" s="172"/>
      <c r="C1090" s="172"/>
      <c r="D1090" s="172"/>
      <c r="E1090" s="172"/>
      <c r="F1090" s="172"/>
      <c r="G1090" s="172"/>
      <c r="H1090" s="172"/>
      <c r="I1090" s="172"/>
      <c r="J1090" s="172"/>
      <c r="K1090" s="172"/>
      <c r="L1090" s="172"/>
      <c r="M1090" s="172"/>
      <c r="N1090" s="172"/>
      <c r="O1090" s="172"/>
      <c r="P1090" s="172"/>
      <c r="Q1090" s="172"/>
      <c r="R1090" s="172"/>
      <c r="S1090" s="172"/>
      <c r="T1090" s="172"/>
      <c r="U1090" s="172"/>
      <c r="V1090" s="172"/>
      <c r="W1090" s="172"/>
      <c r="X1090" s="172"/>
      <c r="Y1090" s="172"/>
      <c r="Z1090" s="172"/>
    </row>
    <row r="1091" spans="1:26" ht="18.75">
      <c r="A1091" s="172"/>
      <c r="B1091" s="172"/>
      <c r="C1091" s="172"/>
      <c r="D1091" s="172"/>
      <c r="E1091" s="172"/>
      <c r="F1091" s="172"/>
      <c r="G1091" s="172"/>
      <c r="H1091" s="172"/>
      <c r="I1091" s="172"/>
      <c r="J1091" s="172"/>
      <c r="K1091" s="172"/>
      <c r="L1091" s="172"/>
      <c r="M1091" s="172"/>
      <c r="N1091" s="172"/>
      <c r="O1091" s="172"/>
      <c r="P1091" s="172"/>
      <c r="Q1091" s="172"/>
      <c r="R1091" s="172"/>
      <c r="S1091" s="172"/>
      <c r="T1091" s="172"/>
      <c r="U1091" s="172"/>
      <c r="V1091" s="172"/>
      <c r="W1091" s="172"/>
      <c r="X1091" s="172"/>
      <c r="Y1091" s="172"/>
      <c r="Z1091" s="172"/>
    </row>
    <row r="1092" spans="1:26" ht="18.75">
      <c r="A1092" s="172"/>
      <c r="B1092" s="172"/>
      <c r="C1092" s="172"/>
      <c r="D1092" s="172"/>
      <c r="E1092" s="172"/>
      <c r="F1092" s="172"/>
      <c r="G1092" s="172"/>
      <c r="H1092" s="172"/>
      <c r="I1092" s="172"/>
      <c r="J1092" s="172"/>
      <c r="K1092" s="172"/>
      <c r="L1092" s="172"/>
      <c r="M1092" s="172"/>
      <c r="N1092" s="172"/>
      <c r="O1092" s="172"/>
      <c r="P1092" s="172"/>
      <c r="Q1092" s="172"/>
      <c r="R1092" s="172"/>
      <c r="S1092" s="172"/>
      <c r="T1092" s="172"/>
      <c r="U1092" s="172"/>
      <c r="V1092" s="172"/>
      <c r="W1092" s="172"/>
      <c r="X1092" s="172"/>
      <c r="Y1092" s="172"/>
      <c r="Z1092" s="172"/>
    </row>
    <row r="1093" spans="1:26" ht="18.75">
      <c r="A1093" s="172"/>
      <c r="B1093" s="172"/>
      <c r="C1093" s="172"/>
      <c r="D1093" s="172"/>
      <c r="E1093" s="172"/>
      <c r="F1093" s="172"/>
      <c r="G1093" s="172"/>
      <c r="H1093" s="172"/>
      <c r="I1093" s="172"/>
      <c r="J1093" s="172"/>
      <c r="K1093" s="172"/>
      <c r="L1093" s="172"/>
      <c r="M1093" s="172"/>
      <c r="N1093" s="172"/>
      <c r="O1093" s="172"/>
      <c r="P1093" s="172"/>
      <c r="Q1093" s="172"/>
      <c r="R1093" s="172"/>
      <c r="S1093" s="172"/>
      <c r="T1093" s="172"/>
      <c r="U1093" s="172"/>
      <c r="V1093" s="172"/>
      <c r="W1093" s="172"/>
      <c r="X1093" s="172"/>
      <c r="Y1093" s="172"/>
      <c r="Z1093" s="172"/>
    </row>
    <row r="1094" spans="1:26" ht="18.75">
      <c r="A1094" s="172"/>
      <c r="B1094" s="172"/>
      <c r="C1094" s="172"/>
      <c r="D1094" s="172"/>
      <c r="E1094" s="172"/>
      <c r="F1094" s="172"/>
      <c r="G1094" s="172"/>
      <c r="H1094" s="172"/>
      <c r="I1094" s="172"/>
      <c r="J1094" s="172"/>
      <c r="K1094" s="172"/>
      <c r="L1094" s="172"/>
      <c r="M1094" s="172"/>
      <c r="N1094" s="172"/>
      <c r="O1094" s="172"/>
      <c r="P1094" s="172"/>
      <c r="Q1094" s="172"/>
      <c r="R1094" s="172"/>
      <c r="S1094" s="172"/>
      <c r="T1094" s="172"/>
      <c r="U1094" s="172"/>
      <c r="V1094" s="172"/>
      <c r="W1094" s="172"/>
      <c r="X1094" s="172"/>
      <c r="Y1094" s="172"/>
      <c r="Z1094" s="172"/>
    </row>
    <row r="1095" spans="1:26" ht="18.75">
      <c r="A1095" s="172"/>
      <c r="B1095" s="172"/>
      <c r="C1095" s="172"/>
      <c r="D1095" s="172"/>
      <c r="E1095" s="172"/>
      <c r="F1095" s="172"/>
      <c r="G1095" s="172"/>
      <c r="H1095" s="172"/>
      <c r="I1095" s="172"/>
      <c r="J1095" s="172"/>
      <c r="K1095" s="172"/>
      <c r="L1095" s="172"/>
      <c r="M1095" s="172"/>
      <c r="N1095" s="172"/>
      <c r="O1095" s="172"/>
      <c r="P1095" s="172"/>
      <c r="Q1095" s="172"/>
      <c r="R1095" s="172"/>
      <c r="S1095" s="172"/>
      <c r="T1095" s="172"/>
      <c r="U1095" s="172"/>
      <c r="V1095" s="172"/>
      <c r="W1095" s="172"/>
      <c r="X1095" s="172"/>
      <c r="Y1095" s="172"/>
      <c r="Z1095" s="172"/>
    </row>
    <row r="1096" spans="1:26" ht="18.75">
      <c r="A1096" s="172"/>
      <c r="B1096" s="172"/>
      <c r="C1096" s="172"/>
      <c r="D1096" s="172"/>
      <c r="E1096" s="172"/>
      <c r="F1096" s="172"/>
      <c r="G1096" s="172"/>
      <c r="H1096" s="172"/>
      <c r="I1096" s="172"/>
      <c r="J1096" s="172"/>
      <c r="K1096" s="172"/>
      <c r="L1096" s="172"/>
      <c r="M1096" s="172"/>
      <c r="N1096" s="172"/>
      <c r="O1096" s="172"/>
      <c r="P1096" s="172"/>
      <c r="Q1096" s="172"/>
      <c r="R1096" s="172"/>
      <c r="S1096" s="172"/>
      <c r="T1096" s="172"/>
      <c r="U1096" s="172"/>
      <c r="V1096" s="172"/>
      <c r="W1096" s="172"/>
      <c r="X1096" s="172"/>
      <c r="Y1096" s="172"/>
      <c r="Z1096" s="172"/>
    </row>
    <row r="1097" spans="1:26" ht="18.75">
      <c r="A1097" s="172"/>
      <c r="B1097" s="172"/>
      <c r="C1097" s="172"/>
      <c r="D1097" s="172"/>
      <c r="E1097" s="172"/>
      <c r="F1097" s="172"/>
      <c r="G1097" s="172"/>
      <c r="H1097" s="172"/>
      <c r="I1097" s="172"/>
      <c r="J1097" s="172"/>
      <c r="K1097" s="172"/>
      <c r="L1097" s="172"/>
      <c r="M1097" s="172"/>
      <c r="N1097" s="172"/>
      <c r="O1097" s="172"/>
      <c r="P1097" s="172"/>
      <c r="Q1097" s="172"/>
      <c r="R1097" s="172"/>
      <c r="S1097" s="172"/>
      <c r="T1097" s="172"/>
      <c r="U1097" s="172"/>
      <c r="V1097" s="172"/>
      <c r="W1097" s="172"/>
      <c r="X1097" s="172"/>
      <c r="Y1097" s="172"/>
      <c r="Z1097" s="172"/>
    </row>
    <row r="1098" spans="1:26" ht="18.75">
      <c r="A1098" s="172"/>
      <c r="B1098" s="172"/>
      <c r="C1098" s="172"/>
      <c r="D1098" s="172"/>
      <c r="E1098" s="172"/>
      <c r="F1098" s="172"/>
      <c r="G1098" s="172"/>
      <c r="H1098" s="172"/>
      <c r="I1098" s="172"/>
      <c r="J1098" s="172"/>
      <c r="K1098" s="172"/>
      <c r="L1098" s="172"/>
      <c r="M1098" s="172"/>
      <c r="N1098" s="172"/>
      <c r="O1098" s="172"/>
      <c r="P1098" s="172"/>
      <c r="Q1098" s="172"/>
      <c r="R1098" s="172"/>
      <c r="S1098" s="172"/>
      <c r="T1098" s="172"/>
      <c r="U1098" s="172"/>
      <c r="V1098" s="172"/>
      <c r="W1098" s="172"/>
      <c r="X1098" s="172"/>
      <c r="Y1098" s="172"/>
      <c r="Z1098" s="172"/>
    </row>
    <row r="1099" spans="1:26" ht="18.75">
      <c r="A1099" s="172"/>
      <c r="B1099" s="172"/>
      <c r="C1099" s="172"/>
      <c r="D1099" s="172"/>
      <c r="E1099" s="172"/>
      <c r="F1099" s="172"/>
      <c r="G1099" s="172"/>
      <c r="H1099" s="172"/>
      <c r="I1099" s="172"/>
      <c r="J1099" s="172"/>
      <c r="K1099" s="172"/>
      <c r="L1099" s="172"/>
      <c r="M1099" s="172"/>
      <c r="N1099" s="172"/>
      <c r="O1099" s="172"/>
      <c r="P1099" s="172"/>
      <c r="Q1099" s="172"/>
      <c r="R1099" s="172"/>
      <c r="S1099" s="172"/>
      <c r="T1099" s="172"/>
      <c r="U1099" s="172"/>
      <c r="V1099" s="172"/>
      <c r="W1099" s="172"/>
      <c r="X1099" s="172"/>
      <c r="Y1099" s="172"/>
      <c r="Z1099" s="172"/>
    </row>
    <row r="1100" spans="1:26" ht="18.75">
      <c r="A1100" s="172"/>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row>
    <row r="1101" spans="1:26" ht="18.75">
      <c r="A1101" s="172"/>
      <c r="B1101" s="172"/>
      <c r="C1101" s="172"/>
      <c r="D1101" s="172"/>
      <c r="E1101" s="172"/>
      <c r="F1101" s="172"/>
      <c r="G1101" s="172"/>
      <c r="H1101" s="172"/>
      <c r="I1101" s="172"/>
      <c r="J1101" s="172"/>
      <c r="K1101" s="172"/>
      <c r="L1101" s="172"/>
      <c r="M1101" s="172"/>
      <c r="N1101" s="172"/>
      <c r="O1101" s="172"/>
      <c r="P1101" s="172"/>
      <c r="Q1101" s="172"/>
      <c r="R1101" s="172"/>
      <c r="S1101" s="172"/>
      <c r="T1101" s="172"/>
      <c r="U1101" s="172"/>
      <c r="V1101" s="172"/>
      <c r="W1101" s="172"/>
      <c r="X1101" s="172"/>
      <c r="Y1101" s="172"/>
      <c r="Z1101" s="172"/>
    </row>
    <row r="1102" spans="1:26" ht="18.75">
      <c r="A1102" s="172"/>
      <c r="B1102" s="172"/>
      <c r="C1102" s="172"/>
      <c r="D1102" s="172"/>
      <c r="E1102" s="172"/>
      <c r="F1102" s="172"/>
      <c r="G1102" s="172"/>
      <c r="H1102" s="172"/>
      <c r="I1102" s="172"/>
      <c r="J1102" s="172"/>
      <c r="K1102" s="172"/>
      <c r="L1102" s="172"/>
      <c r="M1102" s="172"/>
      <c r="N1102" s="172"/>
      <c r="O1102" s="172"/>
      <c r="P1102" s="172"/>
      <c r="Q1102" s="172"/>
      <c r="R1102" s="172"/>
      <c r="S1102" s="172"/>
      <c r="T1102" s="172"/>
      <c r="U1102" s="172"/>
      <c r="V1102" s="172"/>
      <c r="W1102" s="172"/>
      <c r="X1102" s="172"/>
      <c r="Y1102" s="172"/>
      <c r="Z1102" s="172"/>
    </row>
    <row r="1103" spans="1:26" ht="18.75">
      <c r="A1103" s="172"/>
      <c r="B1103" s="172"/>
      <c r="C1103" s="172"/>
      <c r="D1103" s="172"/>
      <c r="E1103" s="172"/>
      <c r="F1103" s="172"/>
      <c r="G1103" s="172"/>
      <c r="H1103" s="172"/>
      <c r="I1103" s="172"/>
      <c r="J1103" s="172"/>
      <c r="K1103" s="172"/>
      <c r="L1103" s="172"/>
      <c r="M1103" s="172"/>
      <c r="N1103" s="172"/>
      <c r="O1103" s="172"/>
      <c r="P1103" s="172"/>
      <c r="Q1103" s="172"/>
      <c r="R1103" s="172"/>
      <c r="S1103" s="172"/>
      <c r="T1103" s="172"/>
      <c r="U1103" s="172"/>
      <c r="V1103" s="172"/>
      <c r="W1103" s="172"/>
      <c r="X1103" s="172"/>
      <c r="Y1103" s="172"/>
      <c r="Z1103" s="172"/>
    </row>
    <row r="1104" spans="1:26" ht="18.75">
      <c r="A1104" s="172"/>
      <c r="B1104" s="172"/>
      <c r="C1104" s="172"/>
      <c r="D1104" s="172"/>
      <c r="E1104" s="172"/>
      <c r="F1104" s="172"/>
      <c r="G1104" s="172"/>
      <c r="H1104" s="172"/>
      <c r="I1104" s="172"/>
      <c r="J1104" s="172"/>
      <c r="K1104" s="172"/>
      <c r="L1104" s="172"/>
      <c r="M1104" s="172"/>
      <c r="N1104" s="172"/>
      <c r="O1104" s="172"/>
      <c r="P1104" s="172"/>
      <c r="Q1104" s="172"/>
      <c r="R1104" s="172"/>
      <c r="S1104" s="172"/>
      <c r="T1104" s="172"/>
      <c r="U1104" s="172"/>
      <c r="V1104" s="172"/>
      <c r="W1104" s="172"/>
      <c r="X1104" s="172"/>
      <c r="Y1104" s="172"/>
      <c r="Z1104" s="172"/>
    </row>
    <row r="1105" spans="1:26" ht="18.75">
      <c r="A1105" s="172"/>
      <c r="B1105" s="172"/>
      <c r="C1105" s="172"/>
      <c r="D1105" s="172"/>
      <c r="E1105" s="172"/>
      <c r="F1105" s="172"/>
      <c r="G1105" s="172"/>
      <c r="H1105" s="172"/>
      <c r="I1105" s="172"/>
      <c r="J1105" s="172"/>
      <c r="K1105" s="172"/>
      <c r="L1105" s="172"/>
      <c r="M1105" s="172"/>
      <c r="N1105" s="172"/>
      <c r="O1105" s="172"/>
      <c r="P1105" s="172"/>
      <c r="Q1105" s="172"/>
      <c r="R1105" s="172"/>
      <c r="S1105" s="172"/>
      <c r="T1105" s="172"/>
      <c r="U1105" s="172"/>
      <c r="V1105" s="172"/>
      <c r="W1105" s="172"/>
      <c r="X1105" s="172"/>
      <c r="Y1105" s="172"/>
      <c r="Z1105" s="172"/>
    </row>
    <row r="1106" spans="1:26" ht="18.75">
      <c r="A1106" s="172"/>
      <c r="B1106" s="172"/>
      <c r="C1106" s="172"/>
      <c r="D1106" s="172"/>
      <c r="E1106" s="172"/>
      <c r="F1106" s="172"/>
      <c r="G1106" s="172"/>
      <c r="H1106" s="172"/>
      <c r="I1106" s="172"/>
      <c r="J1106" s="172"/>
      <c r="K1106" s="172"/>
      <c r="L1106" s="172"/>
      <c r="M1106" s="172"/>
      <c r="N1106" s="172"/>
      <c r="O1106" s="172"/>
      <c r="P1106" s="172"/>
      <c r="Q1106" s="172"/>
      <c r="R1106" s="172"/>
      <c r="S1106" s="172"/>
      <c r="T1106" s="172"/>
      <c r="U1106" s="172"/>
      <c r="V1106" s="172"/>
      <c r="W1106" s="172"/>
      <c r="X1106" s="172"/>
      <c r="Y1106" s="172"/>
      <c r="Z1106" s="172"/>
    </row>
    <row r="1107" spans="1:26" ht="18.75">
      <c r="A1107" s="172"/>
      <c r="B1107" s="172"/>
      <c r="C1107" s="172"/>
      <c r="D1107" s="172"/>
      <c r="E1107" s="172"/>
      <c r="F1107" s="172"/>
      <c r="G1107" s="172"/>
      <c r="H1107" s="172"/>
      <c r="I1107" s="172"/>
      <c r="J1107" s="172"/>
      <c r="K1107" s="172"/>
      <c r="L1107" s="172"/>
      <c r="M1107" s="172"/>
      <c r="N1107" s="172"/>
      <c r="O1107" s="172"/>
      <c r="P1107" s="172"/>
      <c r="Q1107" s="172"/>
      <c r="R1107" s="172"/>
      <c r="S1107" s="172"/>
      <c r="T1107" s="172"/>
      <c r="U1107" s="172"/>
      <c r="V1107" s="172"/>
      <c r="W1107" s="172"/>
      <c r="X1107" s="172"/>
      <c r="Y1107" s="172"/>
      <c r="Z1107" s="172"/>
    </row>
    <row r="1108" spans="1:26" ht="18.75">
      <c r="A1108" s="172"/>
      <c r="B1108" s="172"/>
      <c r="C1108" s="172"/>
      <c r="D1108" s="172"/>
      <c r="E1108" s="172"/>
      <c r="F1108" s="172"/>
      <c r="G1108" s="172"/>
      <c r="H1108" s="172"/>
      <c r="I1108" s="172"/>
      <c r="J1108" s="172"/>
      <c r="K1108" s="172"/>
      <c r="L1108" s="172"/>
      <c r="M1108" s="172"/>
      <c r="N1108" s="172"/>
      <c r="O1108" s="172"/>
      <c r="P1108" s="172"/>
      <c r="Q1108" s="172"/>
      <c r="R1108" s="172"/>
      <c r="S1108" s="172"/>
      <c r="T1108" s="172"/>
      <c r="U1108" s="172"/>
      <c r="V1108" s="172"/>
      <c r="W1108" s="172"/>
      <c r="X1108" s="172"/>
      <c r="Y1108" s="172"/>
      <c r="Z1108" s="172"/>
    </row>
    <row r="1109" spans="1:26" ht="18.75">
      <c r="A1109" s="172"/>
      <c r="B1109" s="172"/>
      <c r="C1109" s="172"/>
      <c r="D1109" s="172"/>
      <c r="E1109" s="172"/>
      <c r="F1109" s="172"/>
      <c r="G1109" s="172"/>
      <c r="H1109" s="172"/>
      <c r="I1109" s="172"/>
      <c r="J1109" s="172"/>
      <c r="K1109" s="172"/>
      <c r="L1109" s="172"/>
      <c r="M1109" s="172"/>
      <c r="N1109" s="172"/>
      <c r="O1109" s="172"/>
      <c r="P1109" s="172"/>
      <c r="Q1109" s="172"/>
      <c r="R1109" s="172"/>
      <c r="S1109" s="172"/>
      <c r="T1109" s="172"/>
      <c r="U1109" s="172"/>
      <c r="V1109" s="172"/>
      <c r="W1109" s="172"/>
      <c r="X1109" s="172"/>
      <c r="Y1109" s="172"/>
      <c r="Z1109" s="172"/>
    </row>
    <row r="1110" spans="1:26" ht="18.75">
      <c r="A1110" s="172"/>
      <c r="B1110" s="172"/>
      <c r="C1110" s="172"/>
      <c r="D1110" s="172"/>
      <c r="E1110" s="172"/>
      <c r="F1110" s="172"/>
      <c r="G1110" s="172"/>
      <c r="H1110" s="172"/>
      <c r="I1110" s="172"/>
      <c r="J1110" s="172"/>
      <c r="K1110" s="172"/>
      <c r="L1110" s="172"/>
      <c r="M1110" s="172"/>
      <c r="N1110" s="172"/>
      <c r="O1110" s="172"/>
      <c r="P1110" s="172"/>
      <c r="Q1110" s="172"/>
      <c r="R1110" s="172"/>
      <c r="S1110" s="172"/>
      <c r="T1110" s="172"/>
      <c r="U1110" s="172"/>
      <c r="V1110" s="172"/>
      <c r="W1110" s="172"/>
      <c r="X1110" s="172"/>
      <c r="Y1110" s="172"/>
      <c r="Z1110" s="172"/>
    </row>
    <row r="1111" spans="1:26" ht="18.75">
      <c r="A1111" s="172"/>
      <c r="B1111" s="172"/>
      <c r="C1111" s="172"/>
      <c r="D1111" s="172"/>
      <c r="E1111" s="172"/>
      <c r="F1111" s="172"/>
      <c r="G1111" s="172"/>
      <c r="H1111" s="172"/>
      <c r="I1111" s="172"/>
      <c r="J1111" s="172"/>
      <c r="K1111" s="172"/>
      <c r="L1111" s="172"/>
      <c r="M1111" s="172"/>
      <c r="N1111" s="172"/>
      <c r="O1111" s="172"/>
      <c r="P1111" s="172"/>
      <c r="Q1111" s="172"/>
      <c r="R1111" s="172"/>
      <c r="S1111" s="172"/>
      <c r="T1111" s="172"/>
      <c r="U1111" s="172"/>
      <c r="V1111" s="172"/>
      <c r="W1111" s="172"/>
      <c r="X1111" s="172"/>
      <c r="Y1111" s="172"/>
      <c r="Z1111" s="172"/>
    </row>
    <row r="1112" spans="1:26" ht="18.75">
      <c r="A1112" s="172"/>
      <c r="B1112" s="172"/>
      <c r="C1112" s="172"/>
      <c r="D1112" s="172"/>
      <c r="E1112" s="172"/>
      <c r="F1112" s="172"/>
      <c r="G1112" s="172"/>
      <c r="H1112" s="172"/>
      <c r="I1112" s="172"/>
      <c r="J1112" s="172"/>
      <c r="K1112" s="172"/>
      <c r="L1112" s="172"/>
      <c r="M1112" s="172"/>
      <c r="N1112" s="172"/>
      <c r="O1112" s="172"/>
      <c r="P1112" s="172"/>
      <c r="Q1112" s="172"/>
      <c r="R1112" s="172"/>
      <c r="S1112" s="172"/>
      <c r="T1112" s="172"/>
      <c r="U1112" s="172"/>
      <c r="V1112" s="172"/>
      <c r="W1112" s="172"/>
      <c r="X1112" s="172"/>
      <c r="Y1112" s="172"/>
      <c r="Z1112" s="172"/>
    </row>
    <row r="1113" spans="1:26" ht="18.75">
      <c r="A1113" s="172"/>
      <c r="B1113" s="172"/>
      <c r="C1113" s="172"/>
      <c r="D1113" s="172"/>
      <c r="E1113" s="172"/>
      <c r="F1113" s="172"/>
      <c r="G1113" s="172"/>
      <c r="H1113" s="172"/>
      <c r="I1113" s="172"/>
      <c r="J1113" s="172"/>
      <c r="K1113" s="172"/>
      <c r="L1113" s="172"/>
      <c r="M1113" s="172"/>
      <c r="N1113" s="172"/>
      <c r="O1113" s="172"/>
      <c r="P1113" s="172"/>
      <c r="Q1113" s="172"/>
      <c r="R1113" s="172"/>
      <c r="S1113" s="172"/>
      <c r="T1113" s="172"/>
      <c r="U1113" s="172"/>
      <c r="V1113" s="172"/>
      <c r="W1113" s="172"/>
      <c r="X1113" s="172"/>
      <c r="Y1113" s="172"/>
      <c r="Z1113" s="172"/>
    </row>
    <row r="1114" spans="1:26" ht="18.75">
      <c r="A1114" s="172"/>
      <c r="B1114" s="172"/>
      <c r="C1114" s="172"/>
      <c r="D1114" s="172"/>
      <c r="E1114" s="172"/>
      <c r="F1114" s="172"/>
      <c r="G1114" s="172"/>
      <c r="H1114" s="172"/>
      <c r="I1114" s="172"/>
      <c r="J1114" s="172"/>
      <c r="K1114" s="172"/>
      <c r="L1114" s="172"/>
      <c r="M1114" s="172"/>
      <c r="N1114" s="172"/>
      <c r="O1114" s="172"/>
      <c r="P1114" s="172"/>
      <c r="Q1114" s="172"/>
      <c r="R1114" s="172"/>
      <c r="S1114" s="172"/>
      <c r="T1114" s="172"/>
      <c r="U1114" s="172"/>
      <c r="V1114" s="172"/>
      <c r="W1114" s="172"/>
      <c r="X1114" s="172"/>
      <c r="Y1114" s="172"/>
      <c r="Z1114" s="172"/>
    </row>
    <row r="1115" spans="1:26" ht="18.75">
      <c r="A1115" s="172"/>
      <c r="B1115" s="172"/>
      <c r="C1115" s="172"/>
      <c r="D1115" s="172"/>
      <c r="E1115" s="172"/>
      <c r="F1115" s="172"/>
      <c r="G1115" s="172"/>
      <c r="H1115" s="172"/>
      <c r="I1115" s="172"/>
      <c r="J1115" s="172"/>
      <c r="K1115" s="172"/>
      <c r="L1115" s="172"/>
      <c r="M1115" s="172"/>
      <c r="N1115" s="172"/>
      <c r="O1115" s="172"/>
      <c r="P1115" s="172"/>
      <c r="Q1115" s="172"/>
      <c r="R1115" s="172"/>
      <c r="S1115" s="172"/>
      <c r="T1115" s="172"/>
      <c r="U1115" s="172"/>
      <c r="V1115" s="172"/>
      <c r="W1115" s="172"/>
      <c r="X1115" s="172"/>
      <c r="Y1115" s="172"/>
      <c r="Z1115" s="172"/>
    </row>
    <row r="1116" spans="1:26" ht="18.75">
      <c r="A1116" s="172"/>
      <c r="B1116" s="172"/>
      <c r="C1116" s="172"/>
      <c r="D1116" s="172"/>
      <c r="E1116" s="172"/>
      <c r="F1116" s="172"/>
      <c r="G1116" s="172"/>
      <c r="H1116" s="172"/>
      <c r="I1116" s="172"/>
      <c r="J1116" s="172"/>
      <c r="K1116" s="172"/>
      <c r="L1116" s="172"/>
      <c r="M1116" s="172"/>
      <c r="N1116" s="172"/>
      <c r="O1116" s="172"/>
      <c r="P1116" s="172"/>
      <c r="Q1116" s="172"/>
      <c r="R1116" s="172"/>
      <c r="S1116" s="172"/>
      <c r="T1116" s="172"/>
      <c r="U1116" s="172"/>
      <c r="V1116" s="172"/>
      <c r="W1116" s="172"/>
      <c r="X1116" s="172"/>
      <c r="Y1116" s="172"/>
      <c r="Z1116" s="172"/>
    </row>
    <row r="1117" spans="1:26" ht="18.75">
      <c r="A1117" s="172"/>
      <c r="B1117" s="172"/>
      <c r="C1117" s="172"/>
      <c r="D1117" s="172"/>
      <c r="E1117" s="172"/>
      <c r="F1117" s="172"/>
      <c r="G1117" s="172"/>
      <c r="H1117" s="172"/>
      <c r="I1117" s="172"/>
      <c r="J1117" s="172"/>
      <c r="K1117" s="172"/>
      <c r="L1117" s="172"/>
      <c r="M1117" s="172"/>
      <c r="N1117" s="172"/>
      <c r="O1117" s="172"/>
      <c r="P1117" s="172"/>
      <c r="Q1117" s="172"/>
      <c r="R1117" s="172"/>
      <c r="S1117" s="172"/>
      <c r="T1117" s="172"/>
      <c r="U1117" s="172"/>
      <c r="V1117" s="172"/>
      <c r="W1117" s="172"/>
      <c r="X1117" s="172"/>
      <c r="Y1117" s="172"/>
      <c r="Z1117" s="172"/>
    </row>
    <row r="1118" spans="1:26" ht="18.75">
      <c r="A1118" s="172"/>
      <c r="B1118" s="172"/>
      <c r="C1118" s="172"/>
      <c r="D1118" s="172"/>
      <c r="E1118" s="172"/>
      <c r="F1118" s="172"/>
      <c r="G1118" s="172"/>
      <c r="H1118" s="172"/>
      <c r="I1118" s="172"/>
      <c r="J1118" s="172"/>
      <c r="K1118" s="172"/>
      <c r="L1118" s="172"/>
      <c r="M1118" s="172"/>
      <c r="N1118" s="172"/>
      <c r="O1118" s="172"/>
      <c r="P1118" s="172"/>
      <c r="Q1118" s="172"/>
      <c r="R1118" s="172"/>
      <c r="S1118" s="172"/>
      <c r="T1118" s="172"/>
      <c r="U1118" s="172"/>
      <c r="V1118" s="172"/>
      <c r="W1118" s="172"/>
      <c r="X1118" s="172"/>
      <c r="Y1118" s="172"/>
      <c r="Z1118" s="172"/>
    </row>
    <row r="1119" spans="1:26" ht="18.75">
      <c r="A1119" s="172"/>
      <c r="B1119" s="172"/>
      <c r="C1119" s="172"/>
      <c r="D1119" s="172"/>
      <c r="E1119" s="172"/>
      <c r="F1119" s="172"/>
      <c r="G1119" s="172"/>
      <c r="H1119" s="172"/>
      <c r="I1119" s="172"/>
      <c r="J1119" s="172"/>
      <c r="K1119" s="172"/>
      <c r="L1119" s="172"/>
      <c r="M1119" s="172"/>
      <c r="N1119" s="172"/>
      <c r="O1119" s="172"/>
      <c r="P1119" s="172"/>
      <c r="Q1119" s="172"/>
      <c r="R1119" s="172"/>
      <c r="S1119" s="172"/>
      <c r="T1119" s="172"/>
      <c r="U1119" s="172"/>
      <c r="V1119" s="172"/>
      <c r="W1119" s="172"/>
      <c r="X1119" s="172"/>
      <c r="Y1119" s="172"/>
      <c r="Z1119" s="172"/>
    </row>
    <row r="1120" spans="1:26" ht="18.75">
      <c r="A1120" s="172"/>
      <c r="B1120" s="172"/>
      <c r="C1120" s="172"/>
      <c r="D1120" s="172"/>
      <c r="E1120" s="172"/>
      <c r="F1120" s="172"/>
      <c r="G1120" s="172"/>
      <c r="H1120" s="172"/>
      <c r="I1120" s="172"/>
      <c r="J1120" s="172"/>
      <c r="K1120" s="172"/>
      <c r="L1120" s="172"/>
      <c r="M1120" s="172"/>
      <c r="N1120" s="172"/>
      <c r="O1120" s="172"/>
      <c r="P1120" s="172"/>
      <c r="Q1120" s="172"/>
      <c r="R1120" s="172"/>
      <c r="S1120" s="172"/>
      <c r="T1120" s="172"/>
      <c r="U1120" s="172"/>
      <c r="V1120" s="172"/>
      <c r="W1120" s="172"/>
      <c r="X1120" s="172"/>
      <c r="Y1120" s="172"/>
      <c r="Z1120" s="172"/>
    </row>
    <row r="1121" spans="1:26" ht="18.75">
      <c r="A1121" s="172"/>
      <c r="B1121" s="172"/>
      <c r="C1121" s="172"/>
      <c r="D1121" s="172"/>
      <c r="E1121" s="172"/>
      <c r="F1121" s="172"/>
      <c r="G1121" s="172"/>
      <c r="H1121" s="172"/>
      <c r="I1121" s="172"/>
      <c r="J1121" s="172"/>
      <c r="K1121" s="172"/>
      <c r="L1121" s="172"/>
      <c r="M1121" s="172"/>
      <c r="N1121" s="172"/>
      <c r="O1121" s="172"/>
      <c r="P1121" s="172"/>
      <c r="Q1121" s="172"/>
      <c r="R1121" s="172"/>
      <c r="S1121" s="172"/>
      <c r="T1121" s="172"/>
      <c r="U1121" s="172"/>
      <c r="V1121" s="172"/>
      <c r="W1121" s="172"/>
      <c r="X1121" s="172"/>
      <c r="Y1121" s="172"/>
      <c r="Z1121" s="172"/>
    </row>
    <row r="1122" spans="1:26" ht="18.75">
      <c r="A1122" s="172"/>
      <c r="B1122" s="172"/>
      <c r="C1122" s="172"/>
      <c r="D1122" s="172"/>
      <c r="E1122" s="172"/>
      <c r="F1122" s="172"/>
      <c r="G1122" s="172"/>
      <c r="H1122" s="172"/>
      <c r="I1122" s="172"/>
      <c r="J1122" s="172"/>
      <c r="K1122" s="172"/>
      <c r="L1122" s="172"/>
      <c r="M1122" s="172"/>
      <c r="N1122" s="172"/>
      <c r="O1122" s="172"/>
      <c r="P1122" s="172"/>
      <c r="Q1122" s="172"/>
      <c r="R1122" s="172"/>
      <c r="S1122" s="172"/>
      <c r="T1122" s="172"/>
      <c r="U1122" s="172"/>
      <c r="V1122" s="172"/>
      <c r="W1122" s="172"/>
      <c r="X1122" s="172"/>
      <c r="Y1122" s="172"/>
      <c r="Z1122" s="172"/>
    </row>
    <row r="1123" spans="1:26" ht="18.75">
      <c r="A1123" s="172"/>
      <c r="B1123" s="172"/>
      <c r="C1123" s="172"/>
      <c r="D1123" s="172"/>
      <c r="E1123" s="172"/>
      <c r="F1123" s="172"/>
      <c r="G1123" s="172"/>
      <c r="H1123" s="172"/>
      <c r="I1123" s="172"/>
      <c r="J1123" s="172"/>
      <c r="K1123" s="172"/>
      <c r="L1123" s="172"/>
      <c r="M1123" s="172"/>
      <c r="N1123" s="172"/>
      <c r="O1123" s="172"/>
      <c r="P1123" s="172"/>
      <c r="Q1123" s="172"/>
      <c r="R1123" s="172"/>
      <c r="S1123" s="172"/>
      <c r="T1123" s="172"/>
      <c r="U1123" s="172"/>
      <c r="V1123" s="172"/>
      <c r="W1123" s="172"/>
      <c r="X1123" s="172"/>
      <c r="Y1123" s="172"/>
      <c r="Z1123" s="172"/>
    </row>
    <row r="1124" spans="1:26" ht="18.75">
      <c r="A1124" s="172"/>
      <c r="B1124" s="172"/>
      <c r="C1124" s="172"/>
      <c r="D1124" s="172"/>
      <c r="E1124" s="172"/>
      <c r="F1124" s="172"/>
      <c r="G1124" s="172"/>
      <c r="H1124" s="172"/>
      <c r="I1124" s="172"/>
      <c r="J1124" s="172"/>
      <c r="K1124" s="172"/>
      <c r="L1124" s="172"/>
      <c r="M1124" s="172"/>
      <c r="N1124" s="172"/>
      <c r="O1124" s="172"/>
      <c r="P1124" s="172"/>
      <c r="Q1124" s="172"/>
      <c r="R1124" s="172"/>
      <c r="S1124" s="172"/>
      <c r="T1124" s="172"/>
      <c r="U1124" s="172"/>
      <c r="V1124" s="172"/>
      <c r="W1124" s="172"/>
      <c r="X1124" s="172"/>
      <c r="Y1124" s="172"/>
      <c r="Z1124" s="172"/>
    </row>
    <row r="1125" spans="1:26" ht="18.75">
      <c r="A1125" s="172"/>
      <c r="B1125" s="172"/>
      <c r="C1125" s="172"/>
      <c r="D1125" s="172"/>
      <c r="E1125" s="172"/>
      <c r="F1125" s="172"/>
      <c r="G1125" s="172"/>
      <c r="H1125" s="172"/>
      <c r="I1125" s="172"/>
      <c r="J1125" s="172"/>
      <c r="K1125" s="172"/>
      <c r="L1125" s="172"/>
      <c r="M1125" s="172"/>
      <c r="N1125" s="172"/>
      <c r="O1125" s="172"/>
      <c r="P1125" s="172"/>
      <c r="Q1125" s="172"/>
      <c r="R1125" s="172"/>
      <c r="S1125" s="172"/>
      <c r="T1125" s="172"/>
      <c r="U1125" s="172"/>
      <c r="V1125" s="172"/>
      <c r="W1125" s="172"/>
      <c r="X1125" s="172"/>
      <c r="Y1125" s="172"/>
      <c r="Z1125" s="172"/>
    </row>
    <row r="1126" spans="1:26" ht="18.75">
      <c r="A1126" s="172"/>
      <c r="B1126" s="172"/>
      <c r="C1126" s="172"/>
      <c r="D1126" s="172"/>
      <c r="E1126" s="172"/>
      <c r="F1126" s="172"/>
      <c r="G1126" s="172"/>
      <c r="H1126" s="172"/>
      <c r="I1126" s="172"/>
      <c r="J1126" s="172"/>
      <c r="K1126" s="172"/>
      <c r="L1126" s="172"/>
      <c r="M1126" s="172"/>
      <c r="N1126" s="172"/>
      <c r="O1126" s="172"/>
      <c r="P1126" s="172"/>
      <c r="Q1126" s="172"/>
      <c r="R1126" s="172"/>
      <c r="S1126" s="172"/>
      <c r="T1126" s="172"/>
      <c r="U1126" s="172"/>
      <c r="V1126" s="172"/>
      <c r="W1126" s="172"/>
      <c r="X1126" s="172"/>
      <c r="Y1126" s="172"/>
      <c r="Z1126" s="172"/>
    </row>
    <row r="1127" spans="1:26" ht="18.75">
      <c r="A1127" s="172"/>
      <c r="B1127" s="172"/>
      <c r="C1127" s="172"/>
      <c r="D1127" s="172"/>
      <c r="E1127" s="172"/>
      <c r="F1127" s="172"/>
      <c r="G1127" s="172"/>
      <c r="H1127" s="172"/>
      <c r="I1127" s="172"/>
      <c r="J1127" s="172"/>
      <c r="K1127" s="172"/>
      <c r="L1127" s="172"/>
      <c r="M1127" s="172"/>
      <c r="N1127" s="172"/>
      <c r="O1127" s="172"/>
      <c r="P1127" s="172"/>
      <c r="Q1127" s="172"/>
      <c r="R1127" s="172"/>
      <c r="S1127" s="172"/>
      <c r="T1127" s="172"/>
      <c r="U1127" s="172"/>
      <c r="V1127" s="172"/>
      <c r="W1127" s="172"/>
      <c r="X1127" s="172"/>
      <c r="Y1127" s="172"/>
      <c r="Z1127" s="172"/>
    </row>
    <row r="1128" spans="1:26" ht="18.75">
      <c r="A1128" s="172"/>
      <c r="B1128" s="172"/>
      <c r="C1128" s="172"/>
      <c r="D1128" s="172"/>
      <c r="E1128" s="172"/>
      <c r="F1128" s="172"/>
      <c r="G1128" s="172"/>
      <c r="H1128" s="172"/>
      <c r="I1128" s="172"/>
      <c r="J1128" s="172"/>
      <c r="K1128" s="172"/>
      <c r="L1128" s="172"/>
      <c r="M1128" s="172"/>
      <c r="N1128" s="172"/>
      <c r="O1128" s="172"/>
      <c r="P1128" s="172"/>
      <c r="Q1128" s="172"/>
      <c r="R1128" s="172"/>
      <c r="S1128" s="172"/>
      <c r="T1128" s="172"/>
      <c r="U1128" s="172"/>
      <c r="V1128" s="172"/>
      <c r="W1128" s="172"/>
      <c r="X1128" s="172"/>
      <c r="Y1128" s="172"/>
      <c r="Z1128" s="172"/>
    </row>
    <row r="1129" spans="1:26" ht="18.75">
      <c r="A1129" s="172"/>
      <c r="B1129" s="172"/>
      <c r="C1129" s="172"/>
      <c r="D1129" s="172"/>
      <c r="E1129" s="172"/>
      <c r="F1129" s="172"/>
      <c r="G1129" s="172"/>
      <c r="H1129" s="172"/>
      <c r="I1129" s="172"/>
      <c r="J1129" s="172"/>
      <c r="K1129" s="172"/>
      <c r="L1129" s="172"/>
      <c r="M1129" s="172"/>
      <c r="N1129" s="172"/>
      <c r="O1129" s="172"/>
      <c r="P1129" s="172"/>
      <c r="Q1129" s="172"/>
      <c r="R1129" s="172"/>
      <c r="S1129" s="172"/>
      <c r="T1129" s="172"/>
      <c r="U1129" s="172"/>
      <c r="V1129" s="172"/>
      <c r="W1129" s="172"/>
      <c r="X1129" s="172"/>
      <c r="Y1129" s="172"/>
      <c r="Z1129" s="172"/>
    </row>
    <row r="1130" spans="1:26" ht="18.75">
      <c r="A1130" s="172"/>
      <c r="B1130" s="172"/>
      <c r="C1130" s="172"/>
      <c r="D1130" s="172"/>
      <c r="E1130" s="172"/>
      <c r="F1130" s="172"/>
      <c r="G1130" s="172"/>
      <c r="H1130" s="172"/>
      <c r="I1130" s="172"/>
      <c r="J1130" s="172"/>
      <c r="K1130" s="172"/>
      <c r="L1130" s="172"/>
      <c r="M1130" s="172"/>
      <c r="N1130" s="172"/>
      <c r="O1130" s="172"/>
      <c r="P1130" s="172"/>
      <c r="Q1130" s="172"/>
      <c r="R1130" s="172"/>
      <c r="S1130" s="172"/>
      <c r="T1130" s="172"/>
      <c r="U1130" s="172"/>
      <c r="V1130" s="172"/>
      <c r="W1130" s="172"/>
      <c r="X1130" s="172"/>
      <c r="Y1130" s="172"/>
      <c r="Z1130" s="172"/>
    </row>
    <row r="1131" spans="1:26" ht="18.75">
      <c r="A1131" s="172"/>
      <c r="B1131" s="172"/>
      <c r="C1131" s="172"/>
      <c r="D1131" s="172"/>
      <c r="E1131" s="172"/>
      <c r="F1131" s="172"/>
      <c r="G1131" s="172"/>
      <c r="H1131" s="172"/>
      <c r="I1131" s="172"/>
      <c r="J1131" s="172"/>
      <c r="K1131" s="172"/>
      <c r="L1131" s="172"/>
      <c r="M1131" s="172"/>
      <c r="N1131" s="172"/>
      <c r="O1131" s="172"/>
      <c r="P1131" s="172"/>
      <c r="Q1131" s="172"/>
      <c r="R1131" s="172"/>
      <c r="S1131" s="172"/>
      <c r="T1131" s="172"/>
      <c r="U1131" s="172"/>
      <c r="V1131" s="172"/>
      <c r="W1131" s="172"/>
      <c r="X1131" s="172"/>
      <c r="Y1131" s="172"/>
      <c r="Z1131" s="172"/>
    </row>
    <row r="1132" spans="1:26" ht="18.75">
      <c r="A1132" s="172"/>
      <c r="B1132" s="172"/>
      <c r="C1132" s="172"/>
      <c r="D1132" s="172"/>
      <c r="E1132" s="172"/>
      <c r="F1132" s="172"/>
      <c r="G1132" s="172"/>
      <c r="H1132" s="172"/>
      <c r="I1132" s="172"/>
      <c r="J1132" s="172"/>
      <c r="K1132" s="172"/>
      <c r="L1132" s="172"/>
      <c r="M1132" s="172"/>
      <c r="N1132" s="172"/>
      <c r="O1132" s="172"/>
      <c r="P1132" s="172"/>
      <c r="Q1132" s="172"/>
      <c r="R1132" s="172"/>
      <c r="S1132" s="172"/>
      <c r="T1132" s="172"/>
      <c r="U1132" s="172"/>
      <c r="V1132" s="172"/>
      <c r="W1132" s="172"/>
      <c r="X1132" s="172"/>
      <c r="Y1132" s="172"/>
      <c r="Z1132" s="172"/>
    </row>
    <row r="1133" spans="1:26" ht="18.75">
      <c r="A1133" s="172"/>
      <c r="B1133" s="172"/>
      <c r="C1133" s="172"/>
      <c r="D1133" s="172"/>
      <c r="E1133" s="172"/>
      <c r="F1133" s="172"/>
      <c r="G1133" s="172"/>
      <c r="H1133" s="172"/>
      <c r="I1133" s="172"/>
      <c r="J1133" s="172"/>
      <c r="K1133" s="172"/>
      <c r="L1133" s="172"/>
      <c r="M1133" s="172"/>
      <c r="N1133" s="172"/>
      <c r="O1133" s="172"/>
      <c r="P1133" s="172"/>
      <c r="Q1133" s="172"/>
      <c r="R1133" s="172"/>
      <c r="S1133" s="172"/>
      <c r="T1133" s="172"/>
      <c r="U1133" s="172"/>
      <c r="V1133" s="172"/>
      <c r="W1133" s="172"/>
      <c r="X1133" s="172"/>
      <c r="Y1133" s="172"/>
      <c r="Z1133" s="172"/>
    </row>
    <row r="1134" spans="1:26" ht="18.75">
      <c r="A1134" s="172"/>
      <c r="B1134" s="172"/>
      <c r="C1134" s="172"/>
      <c r="D1134" s="172"/>
      <c r="E1134" s="172"/>
      <c r="F1134" s="172"/>
      <c r="G1134" s="172"/>
      <c r="H1134" s="172"/>
      <c r="I1134" s="172"/>
      <c r="J1134" s="172"/>
      <c r="K1134" s="172"/>
      <c r="L1134" s="172"/>
      <c r="M1134" s="172"/>
      <c r="N1134" s="172"/>
      <c r="O1134" s="172"/>
      <c r="P1134" s="172"/>
      <c r="Q1134" s="172"/>
      <c r="R1134" s="172"/>
      <c r="S1134" s="172"/>
      <c r="T1134" s="172"/>
      <c r="U1134" s="172"/>
      <c r="V1134" s="172"/>
      <c r="W1134" s="172"/>
      <c r="X1134" s="172"/>
      <c r="Y1134" s="172"/>
      <c r="Z1134" s="172"/>
    </row>
    <row r="1135" spans="1:26" ht="18.75">
      <c r="A1135" s="172"/>
      <c r="B1135" s="172"/>
      <c r="C1135" s="172"/>
      <c r="D1135" s="172"/>
      <c r="E1135" s="172"/>
      <c r="F1135" s="172"/>
      <c r="G1135" s="172"/>
      <c r="H1135" s="172"/>
      <c r="I1135" s="172"/>
      <c r="J1135" s="172"/>
      <c r="K1135" s="172"/>
      <c r="L1135" s="172"/>
      <c r="M1135" s="172"/>
      <c r="N1135" s="172"/>
      <c r="O1135" s="172"/>
      <c r="P1135" s="172"/>
      <c r="Q1135" s="172"/>
      <c r="R1135" s="172"/>
      <c r="S1135" s="172"/>
      <c r="T1135" s="172"/>
      <c r="U1135" s="172"/>
      <c r="V1135" s="172"/>
      <c r="W1135" s="172"/>
      <c r="X1135" s="172"/>
      <c r="Y1135" s="172"/>
      <c r="Z1135" s="172"/>
    </row>
    <row r="1136" spans="1:26" ht="18.75">
      <c r="A1136" s="172"/>
      <c r="B1136" s="172"/>
      <c r="C1136" s="172"/>
      <c r="D1136" s="172"/>
      <c r="E1136" s="172"/>
      <c r="F1136" s="172"/>
      <c r="G1136" s="172"/>
      <c r="H1136" s="172"/>
      <c r="I1136" s="172"/>
      <c r="J1136" s="172"/>
      <c r="K1136" s="172"/>
      <c r="L1136" s="172"/>
      <c r="M1136" s="172"/>
      <c r="N1136" s="172"/>
      <c r="O1136" s="172"/>
      <c r="P1136" s="172"/>
      <c r="Q1136" s="172"/>
      <c r="R1136" s="172"/>
      <c r="S1136" s="172"/>
      <c r="T1136" s="172"/>
      <c r="U1136" s="172"/>
      <c r="V1136" s="172"/>
      <c r="W1136" s="172"/>
      <c r="X1136" s="172"/>
      <c r="Y1136" s="172"/>
      <c r="Z1136" s="172"/>
    </row>
    <row r="1137" spans="1:26" ht="18.75">
      <c r="A1137" s="172"/>
      <c r="B1137" s="172"/>
      <c r="C1137" s="172"/>
      <c r="D1137" s="172"/>
      <c r="E1137" s="172"/>
      <c r="F1137" s="172"/>
      <c r="G1137" s="172"/>
      <c r="H1137" s="172"/>
      <c r="I1137" s="172"/>
      <c r="J1137" s="172"/>
      <c r="K1137" s="172"/>
      <c r="L1137" s="172"/>
      <c r="M1137" s="172"/>
      <c r="N1137" s="172"/>
      <c r="O1137" s="172"/>
      <c r="P1137" s="172"/>
      <c r="Q1137" s="172"/>
      <c r="R1137" s="172"/>
      <c r="S1137" s="172"/>
      <c r="T1137" s="172"/>
      <c r="U1137" s="172"/>
      <c r="V1137" s="172"/>
      <c r="W1137" s="172"/>
      <c r="X1137" s="172"/>
      <c r="Y1137" s="172"/>
      <c r="Z1137" s="172"/>
    </row>
    <row r="1138" spans="1:26" ht="18.75">
      <c r="A1138" s="172"/>
      <c r="B1138" s="172"/>
      <c r="C1138" s="172"/>
      <c r="D1138" s="172"/>
      <c r="E1138" s="172"/>
      <c r="F1138" s="172"/>
      <c r="G1138" s="172"/>
      <c r="H1138" s="172"/>
      <c r="I1138" s="172"/>
      <c r="J1138" s="172"/>
      <c r="K1138" s="172"/>
      <c r="L1138" s="172"/>
      <c r="M1138" s="172"/>
      <c r="N1138" s="172"/>
      <c r="O1138" s="172"/>
      <c r="P1138" s="172"/>
      <c r="Q1138" s="172"/>
      <c r="R1138" s="172"/>
      <c r="S1138" s="172"/>
      <c r="T1138" s="172"/>
      <c r="U1138" s="172"/>
      <c r="V1138" s="172"/>
      <c r="W1138" s="172"/>
      <c r="X1138" s="172"/>
      <c r="Y1138" s="172"/>
      <c r="Z1138" s="172"/>
    </row>
    <row r="1139" spans="1:26" ht="18.75">
      <c r="A1139" s="172"/>
      <c r="B1139" s="172"/>
      <c r="C1139" s="172"/>
      <c r="D1139" s="172"/>
      <c r="E1139" s="172"/>
      <c r="F1139" s="172"/>
      <c r="G1139" s="172"/>
      <c r="H1139" s="172"/>
      <c r="I1139" s="172"/>
      <c r="J1139" s="172"/>
      <c r="K1139" s="172"/>
      <c r="L1139" s="172"/>
      <c r="M1139" s="172"/>
      <c r="N1139" s="172"/>
      <c r="O1139" s="172"/>
      <c r="P1139" s="172"/>
      <c r="Q1139" s="172"/>
      <c r="R1139" s="172"/>
      <c r="S1139" s="172"/>
      <c r="T1139" s="172"/>
      <c r="U1139" s="172"/>
      <c r="V1139" s="172"/>
      <c r="W1139" s="172"/>
      <c r="X1139" s="172"/>
      <c r="Y1139" s="172"/>
      <c r="Z1139" s="172"/>
    </row>
    <row r="1140" spans="1:26" ht="18.75">
      <c r="A1140" s="172"/>
      <c r="B1140" s="172"/>
      <c r="C1140" s="172"/>
      <c r="D1140" s="172"/>
      <c r="E1140" s="172"/>
      <c r="F1140" s="172"/>
      <c r="G1140" s="172"/>
      <c r="H1140" s="172"/>
      <c r="I1140" s="172"/>
      <c r="J1140" s="172"/>
      <c r="K1140" s="172"/>
      <c r="L1140" s="172"/>
      <c r="M1140" s="172"/>
      <c r="N1140" s="172"/>
      <c r="O1140" s="172"/>
      <c r="P1140" s="172"/>
      <c r="Q1140" s="172"/>
      <c r="R1140" s="172"/>
      <c r="S1140" s="172"/>
      <c r="T1140" s="172"/>
      <c r="U1140" s="172"/>
      <c r="V1140" s="172"/>
      <c r="W1140" s="172"/>
      <c r="X1140" s="172"/>
      <c r="Y1140" s="172"/>
      <c r="Z1140" s="172"/>
    </row>
    <row r="1141" spans="1:26" ht="18.75">
      <c r="A1141" s="172"/>
      <c r="B1141" s="172"/>
      <c r="C1141" s="172"/>
      <c r="D1141" s="172"/>
      <c r="E1141" s="172"/>
      <c r="F1141" s="172"/>
      <c r="G1141" s="172"/>
      <c r="H1141" s="172"/>
      <c r="I1141" s="172"/>
      <c r="J1141" s="172"/>
      <c r="K1141" s="172"/>
      <c r="L1141" s="172"/>
      <c r="M1141" s="172"/>
      <c r="N1141" s="172"/>
      <c r="O1141" s="172"/>
      <c r="P1141" s="172"/>
      <c r="Q1141" s="172"/>
      <c r="R1141" s="172"/>
      <c r="S1141" s="172"/>
      <c r="T1141" s="172"/>
      <c r="U1141" s="172"/>
      <c r="V1141" s="172"/>
      <c r="W1141" s="172"/>
      <c r="X1141" s="172"/>
      <c r="Y1141" s="172"/>
      <c r="Z1141" s="172"/>
    </row>
    <row r="1142" spans="1:26" ht="18.75">
      <c r="A1142" s="172"/>
      <c r="B1142" s="172"/>
      <c r="C1142" s="172"/>
      <c r="D1142" s="172"/>
      <c r="E1142" s="172"/>
      <c r="F1142" s="172"/>
      <c r="G1142" s="172"/>
      <c r="H1142" s="172"/>
      <c r="I1142" s="172"/>
      <c r="J1142" s="172"/>
      <c r="K1142" s="172"/>
      <c r="L1142" s="172"/>
      <c r="M1142" s="172"/>
      <c r="N1142" s="172"/>
      <c r="O1142" s="172"/>
      <c r="P1142" s="172"/>
      <c r="Q1142" s="172"/>
      <c r="R1142" s="172"/>
      <c r="S1142" s="172"/>
      <c r="T1142" s="172"/>
      <c r="U1142" s="172"/>
      <c r="V1142" s="172"/>
      <c r="W1142" s="172"/>
      <c r="X1142" s="172"/>
      <c r="Y1142" s="172"/>
      <c r="Z1142" s="172"/>
    </row>
    <row r="1143" spans="1:26" ht="18.75">
      <c r="A1143" s="172"/>
      <c r="B1143" s="172"/>
      <c r="C1143" s="172"/>
      <c r="D1143" s="172"/>
      <c r="E1143" s="172"/>
      <c r="F1143" s="172"/>
      <c r="G1143" s="172"/>
      <c r="H1143" s="172"/>
      <c r="I1143" s="172"/>
      <c r="J1143" s="172"/>
      <c r="K1143" s="172"/>
      <c r="L1143" s="172"/>
      <c r="M1143" s="172"/>
      <c r="N1143" s="172"/>
      <c r="O1143" s="172"/>
      <c r="P1143" s="172"/>
      <c r="Q1143" s="172"/>
      <c r="R1143" s="172"/>
      <c r="S1143" s="172"/>
      <c r="T1143" s="172"/>
      <c r="U1143" s="172"/>
      <c r="V1143" s="172"/>
      <c r="W1143" s="172"/>
      <c r="X1143" s="172"/>
      <c r="Y1143" s="172"/>
      <c r="Z1143" s="172"/>
    </row>
    <row r="1144" spans="1:26" ht="18.75">
      <c r="A1144" s="172"/>
      <c r="B1144" s="172"/>
      <c r="C1144" s="172"/>
      <c r="D1144" s="172"/>
      <c r="E1144" s="172"/>
      <c r="F1144" s="172"/>
      <c r="G1144" s="172"/>
      <c r="H1144" s="172"/>
      <c r="I1144" s="172"/>
      <c r="J1144" s="172"/>
      <c r="K1144" s="172"/>
      <c r="L1144" s="172"/>
      <c r="M1144" s="172"/>
      <c r="N1144" s="172"/>
      <c r="O1144" s="172"/>
      <c r="P1144" s="172"/>
      <c r="Q1144" s="172"/>
      <c r="R1144" s="172"/>
      <c r="S1144" s="172"/>
      <c r="T1144" s="172"/>
      <c r="U1144" s="172"/>
      <c r="V1144" s="172"/>
      <c r="W1144" s="172"/>
      <c r="X1144" s="172"/>
      <c r="Y1144" s="172"/>
      <c r="Z1144" s="172"/>
    </row>
    <row r="1145" spans="1:26" ht="18.75">
      <c r="A1145" s="172"/>
      <c r="B1145" s="172"/>
      <c r="C1145" s="172"/>
      <c r="D1145" s="172"/>
      <c r="E1145" s="172"/>
      <c r="F1145" s="172"/>
      <c r="G1145" s="172"/>
      <c r="H1145" s="172"/>
      <c r="I1145" s="172"/>
      <c r="J1145" s="172"/>
      <c r="K1145" s="172"/>
      <c r="L1145" s="172"/>
      <c r="M1145" s="172"/>
      <c r="N1145" s="172"/>
      <c r="O1145" s="172"/>
      <c r="P1145" s="172"/>
      <c r="Q1145" s="172"/>
      <c r="R1145" s="172"/>
      <c r="S1145" s="172"/>
      <c r="T1145" s="172"/>
      <c r="U1145" s="172"/>
      <c r="V1145" s="172"/>
      <c r="W1145" s="172"/>
      <c r="X1145" s="172"/>
      <c r="Y1145" s="172"/>
      <c r="Z1145" s="172"/>
    </row>
    <row r="1146" spans="1:26" ht="18.75">
      <c r="A1146" s="172"/>
      <c r="B1146" s="172"/>
      <c r="C1146" s="172"/>
      <c r="D1146" s="172"/>
      <c r="E1146" s="172"/>
      <c r="F1146" s="172"/>
      <c r="G1146" s="172"/>
      <c r="H1146" s="172"/>
      <c r="I1146" s="172"/>
      <c r="J1146" s="172"/>
      <c r="K1146" s="172"/>
      <c r="L1146" s="172"/>
      <c r="M1146" s="172"/>
      <c r="N1146" s="172"/>
      <c r="O1146" s="172"/>
      <c r="P1146" s="172"/>
      <c r="Q1146" s="172"/>
      <c r="R1146" s="172"/>
      <c r="S1146" s="172"/>
      <c r="T1146" s="172"/>
      <c r="U1146" s="172"/>
      <c r="V1146" s="172"/>
      <c r="W1146" s="172"/>
      <c r="X1146" s="172"/>
      <c r="Y1146" s="172"/>
      <c r="Z1146" s="172"/>
    </row>
    <row r="1147" spans="1:26" ht="18.75">
      <c r="A1147" s="172"/>
      <c r="B1147" s="172"/>
      <c r="C1147" s="172"/>
      <c r="D1147" s="172"/>
      <c r="E1147" s="172"/>
      <c r="F1147" s="172"/>
      <c r="G1147" s="172"/>
      <c r="H1147" s="172"/>
      <c r="I1147" s="172"/>
      <c r="J1147" s="172"/>
      <c r="K1147" s="172"/>
      <c r="L1147" s="172"/>
      <c r="M1147" s="172"/>
      <c r="N1147" s="172"/>
      <c r="O1147" s="172"/>
      <c r="P1147" s="172"/>
      <c r="Q1147" s="172"/>
      <c r="R1147" s="172"/>
      <c r="S1147" s="172"/>
      <c r="T1147" s="172"/>
      <c r="U1147" s="172"/>
      <c r="V1147" s="172"/>
      <c r="W1147" s="172"/>
      <c r="X1147" s="172"/>
      <c r="Y1147" s="172"/>
      <c r="Z1147" s="172"/>
    </row>
    <row r="1148" spans="1:26" ht="18.75">
      <c r="A1148" s="172"/>
      <c r="B1148" s="172"/>
      <c r="C1148" s="172"/>
      <c r="D1148" s="172"/>
      <c r="E1148" s="172"/>
      <c r="F1148" s="172"/>
      <c r="G1148" s="172"/>
      <c r="H1148" s="172"/>
      <c r="I1148" s="172"/>
      <c r="J1148" s="172"/>
      <c r="K1148" s="172"/>
      <c r="L1148" s="172"/>
      <c r="M1148" s="172"/>
      <c r="N1148" s="172"/>
      <c r="O1148" s="172"/>
      <c r="P1148" s="172"/>
      <c r="Q1148" s="172"/>
      <c r="R1148" s="172"/>
      <c r="S1148" s="172"/>
      <c r="T1148" s="172"/>
      <c r="U1148" s="172"/>
      <c r="V1148" s="172"/>
      <c r="W1148" s="172"/>
      <c r="X1148" s="172"/>
      <c r="Y1148" s="172"/>
      <c r="Z1148" s="172"/>
    </row>
    <row r="1149" spans="1:26" ht="18.75">
      <c r="A1149" s="172"/>
      <c r="B1149" s="172"/>
      <c r="C1149" s="172"/>
      <c r="D1149" s="172"/>
      <c r="E1149" s="172"/>
      <c r="F1149" s="172"/>
      <c r="G1149" s="172"/>
      <c r="H1149" s="172"/>
      <c r="I1149" s="172"/>
      <c r="J1149" s="172"/>
      <c r="K1149" s="172"/>
      <c r="L1149" s="172"/>
      <c r="M1149" s="172"/>
      <c r="N1149" s="172"/>
      <c r="O1149" s="172"/>
      <c r="P1149" s="172"/>
      <c r="Q1149" s="172"/>
      <c r="R1149" s="172"/>
      <c r="S1149" s="172"/>
      <c r="T1149" s="172"/>
      <c r="U1149" s="172"/>
      <c r="V1149" s="172"/>
      <c r="W1149" s="172"/>
      <c r="X1149" s="172"/>
      <c r="Y1149" s="172"/>
      <c r="Z1149" s="172"/>
    </row>
    <row r="1150" spans="1:26" ht="18.75">
      <c r="A1150" s="172"/>
      <c r="B1150" s="172"/>
      <c r="C1150" s="172"/>
      <c r="D1150" s="172"/>
      <c r="E1150" s="172"/>
      <c r="F1150" s="172"/>
      <c r="G1150" s="172"/>
      <c r="H1150" s="172"/>
      <c r="I1150" s="172"/>
      <c r="J1150" s="172"/>
      <c r="K1150" s="172"/>
      <c r="L1150" s="172"/>
      <c r="M1150" s="172"/>
      <c r="N1150" s="172"/>
      <c r="O1150" s="172"/>
      <c r="P1150" s="172"/>
      <c r="Q1150" s="172"/>
      <c r="R1150" s="172"/>
      <c r="S1150" s="172"/>
      <c r="T1150" s="172"/>
      <c r="U1150" s="172"/>
      <c r="V1150" s="172"/>
      <c r="W1150" s="172"/>
      <c r="X1150" s="172"/>
      <c r="Y1150" s="172"/>
      <c r="Z1150" s="172"/>
    </row>
    <row r="1151" spans="1:26" ht="18.75">
      <c r="A1151" s="172"/>
      <c r="B1151" s="172"/>
      <c r="C1151" s="172"/>
      <c r="D1151" s="172"/>
      <c r="E1151" s="172"/>
      <c r="F1151" s="172"/>
      <c r="G1151" s="172"/>
      <c r="H1151" s="172"/>
      <c r="I1151" s="172"/>
      <c r="J1151" s="172"/>
      <c r="K1151" s="172"/>
      <c r="L1151" s="172"/>
      <c r="M1151" s="172"/>
      <c r="N1151" s="172"/>
      <c r="O1151" s="172"/>
      <c r="P1151" s="172"/>
      <c r="Q1151" s="172"/>
      <c r="R1151" s="172"/>
      <c r="S1151" s="172"/>
      <c r="T1151" s="172"/>
      <c r="U1151" s="172"/>
      <c r="V1151" s="172"/>
      <c r="W1151" s="172"/>
      <c r="X1151" s="172"/>
      <c r="Y1151" s="172"/>
      <c r="Z1151" s="172"/>
    </row>
    <row r="1152" spans="1:26" ht="18.75">
      <c r="A1152" s="172"/>
      <c r="B1152" s="172"/>
      <c r="C1152" s="172"/>
      <c r="D1152" s="172"/>
      <c r="E1152" s="172"/>
      <c r="F1152" s="172"/>
      <c r="G1152" s="172"/>
      <c r="H1152" s="172"/>
      <c r="I1152" s="172"/>
      <c r="J1152" s="172"/>
      <c r="K1152" s="172"/>
      <c r="L1152" s="172"/>
      <c r="M1152" s="172"/>
      <c r="N1152" s="172"/>
      <c r="O1152" s="172"/>
      <c r="P1152" s="172"/>
      <c r="Q1152" s="172"/>
      <c r="R1152" s="172"/>
      <c r="S1152" s="172"/>
      <c r="T1152" s="172"/>
      <c r="U1152" s="172"/>
      <c r="V1152" s="172"/>
      <c r="W1152" s="172"/>
      <c r="X1152" s="172"/>
      <c r="Y1152" s="172"/>
      <c r="Z1152" s="172"/>
    </row>
    <row r="1153" spans="1:26" ht="18.75">
      <c r="A1153" s="172"/>
      <c r="B1153" s="172"/>
      <c r="C1153" s="172"/>
      <c r="D1153" s="172"/>
      <c r="E1153" s="172"/>
      <c r="F1153" s="172"/>
      <c r="G1153" s="172"/>
      <c r="H1153" s="172"/>
      <c r="I1153" s="172"/>
      <c r="J1153" s="172"/>
      <c r="K1153" s="172"/>
      <c r="L1153" s="172"/>
      <c r="M1153" s="172"/>
      <c r="N1153" s="172"/>
      <c r="O1153" s="172"/>
      <c r="P1153" s="172"/>
      <c r="Q1153" s="172"/>
      <c r="R1153" s="172"/>
      <c r="S1153" s="172"/>
      <c r="T1153" s="172"/>
      <c r="U1153" s="172"/>
      <c r="V1153" s="172"/>
      <c r="W1153" s="172"/>
      <c r="X1153" s="172"/>
      <c r="Y1153" s="172"/>
      <c r="Z1153" s="172"/>
    </row>
    <row r="1154" spans="1:26" ht="18.75">
      <c r="A1154" s="172"/>
      <c r="B1154" s="172"/>
      <c r="C1154" s="172"/>
      <c r="D1154" s="172"/>
      <c r="E1154" s="172"/>
      <c r="F1154" s="172"/>
      <c r="G1154" s="172"/>
      <c r="H1154" s="172"/>
      <c r="I1154" s="172"/>
      <c r="J1154" s="172"/>
      <c r="K1154" s="172"/>
      <c r="L1154" s="172"/>
      <c r="M1154" s="172"/>
      <c r="N1154" s="172"/>
      <c r="O1154" s="172"/>
      <c r="P1154" s="172"/>
      <c r="Q1154" s="172"/>
      <c r="R1154" s="172"/>
      <c r="S1154" s="172"/>
      <c r="T1154" s="172"/>
      <c r="U1154" s="172"/>
      <c r="V1154" s="172"/>
      <c r="W1154" s="172"/>
      <c r="X1154" s="172"/>
      <c r="Y1154" s="172"/>
      <c r="Z1154" s="172"/>
    </row>
    <row r="1155" spans="1:26" ht="18.75">
      <c r="A1155" s="172"/>
      <c r="B1155" s="172"/>
      <c r="C1155" s="172"/>
      <c r="D1155" s="172"/>
      <c r="E1155" s="172"/>
      <c r="F1155" s="172"/>
      <c r="G1155" s="172"/>
      <c r="H1155" s="172"/>
      <c r="I1155" s="172"/>
      <c r="J1155" s="172"/>
      <c r="K1155" s="172"/>
      <c r="L1155" s="172"/>
      <c r="M1155" s="172"/>
      <c r="N1155" s="172"/>
      <c r="O1155" s="172"/>
      <c r="P1155" s="172"/>
      <c r="Q1155" s="172"/>
      <c r="R1155" s="172"/>
      <c r="S1155" s="172"/>
      <c r="T1155" s="172"/>
      <c r="U1155" s="172"/>
      <c r="V1155" s="172"/>
      <c r="W1155" s="172"/>
      <c r="X1155" s="172"/>
      <c r="Y1155" s="172"/>
      <c r="Z1155" s="172"/>
    </row>
    <row r="1156" spans="1:26" ht="18.75">
      <c r="A1156" s="172"/>
      <c r="B1156" s="172"/>
      <c r="C1156" s="172"/>
      <c r="D1156" s="172"/>
      <c r="E1156" s="172"/>
      <c r="F1156" s="172"/>
      <c r="G1156" s="172"/>
      <c r="H1156" s="172"/>
      <c r="I1156" s="172"/>
      <c r="J1156" s="172"/>
      <c r="K1156" s="172"/>
      <c r="L1156" s="172"/>
      <c r="M1156" s="172"/>
      <c r="N1156" s="172"/>
      <c r="O1156" s="172"/>
      <c r="P1156" s="172"/>
      <c r="Q1156" s="172"/>
      <c r="R1156" s="172"/>
      <c r="S1156" s="172"/>
      <c r="T1156" s="172"/>
      <c r="U1156" s="172"/>
      <c r="V1156" s="172"/>
      <c r="W1156" s="172"/>
      <c r="X1156" s="172"/>
      <c r="Y1156" s="172"/>
      <c r="Z1156" s="172"/>
    </row>
    <row r="1157" spans="1:26" ht="18.75">
      <c r="A1157" s="172"/>
      <c r="B1157" s="172"/>
      <c r="C1157" s="172"/>
      <c r="D1157" s="172"/>
      <c r="E1157" s="172"/>
      <c r="F1157" s="172"/>
      <c r="G1157" s="172"/>
      <c r="H1157" s="172"/>
      <c r="I1157" s="172"/>
      <c r="J1157" s="172"/>
      <c r="K1157" s="172"/>
      <c r="L1157" s="172"/>
      <c r="M1157" s="172"/>
      <c r="N1157" s="172"/>
      <c r="O1157" s="172"/>
      <c r="P1157" s="172"/>
      <c r="Q1157" s="172"/>
      <c r="R1157" s="172"/>
      <c r="S1157" s="172"/>
      <c r="T1157" s="172"/>
      <c r="U1157" s="172"/>
      <c r="V1157" s="172"/>
      <c r="W1157" s="172"/>
      <c r="X1157" s="172"/>
      <c r="Y1157" s="172"/>
      <c r="Z1157" s="172"/>
    </row>
    <row r="1158" spans="1:26" ht="18.75">
      <c r="A1158" s="172"/>
      <c r="B1158" s="172"/>
      <c r="C1158" s="172"/>
      <c r="D1158" s="172"/>
      <c r="E1158" s="172"/>
      <c r="F1158" s="172"/>
      <c r="G1158" s="172"/>
      <c r="H1158" s="172"/>
      <c r="I1158" s="172"/>
      <c r="J1158" s="172"/>
      <c r="K1158" s="172"/>
      <c r="L1158" s="172"/>
      <c r="M1158" s="172"/>
      <c r="N1158" s="172"/>
      <c r="O1158" s="172"/>
      <c r="P1158" s="172"/>
      <c r="Q1158" s="172"/>
      <c r="R1158" s="172"/>
      <c r="S1158" s="172"/>
      <c r="T1158" s="172"/>
      <c r="U1158" s="172"/>
      <c r="V1158" s="172"/>
      <c r="W1158" s="172"/>
      <c r="X1158" s="172"/>
      <c r="Y1158" s="172"/>
      <c r="Z1158" s="172"/>
    </row>
    <row r="1159" spans="1:26" ht="18.75">
      <c r="A1159" s="172"/>
      <c r="B1159" s="172"/>
      <c r="C1159" s="172"/>
      <c r="D1159" s="172"/>
      <c r="E1159" s="172"/>
      <c r="F1159" s="172"/>
      <c r="G1159" s="172"/>
      <c r="H1159" s="172"/>
      <c r="I1159" s="172"/>
      <c r="J1159" s="172"/>
      <c r="K1159" s="172"/>
      <c r="L1159" s="172"/>
      <c r="M1159" s="172"/>
      <c r="N1159" s="172"/>
      <c r="O1159" s="172"/>
      <c r="P1159" s="172"/>
      <c r="Q1159" s="172"/>
      <c r="R1159" s="172"/>
      <c r="S1159" s="172"/>
      <c r="T1159" s="172"/>
      <c r="U1159" s="172"/>
      <c r="V1159" s="172"/>
      <c r="W1159" s="172"/>
      <c r="X1159" s="172"/>
      <c r="Y1159" s="172"/>
      <c r="Z1159" s="172"/>
    </row>
    <row r="1160" spans="1:26" ht="18.75">
      <c r="A1160" s="172"/>
      <c r="B1160" s="172"/>
      <c r="C1160" s="172"/>
      <c r="D1160" s="172"/>
      <c r="E1160" s="172"/>
      <c r="F1160" s="172"/>
      <c r="G1160" s="172"/>
      <c r="H1160" s="172"/>
      <c r="I1160" s="172"/>
      <c r="J1160" s="172"/>
      <c r="K1160" s="172"/>
      <c r="L1160" s="172"/>
      <c r="M1160" s="172"/>
      <c r="N1160" s="172"/>
      <c r="O1160" s="172"/>
      <c r="P1160" s="172"/>
      <c r="Q1160" s="172"/>
      <c r="R1160" s="172"/>
      <c r="S1160" s="172"/>
      <c r="T1160" s="172"/>
      <c r="U1160" s="172"/>
      <c r="V1160" s="172"/>
      <c r="W1160" s="172"/>
      <c r="X1160" s="172"/>
      <c r="Y1160" s="172"/>
      <c r="Z1160" s="172"/>
    </row>
    <row r="1161" spans="1:26" ht="18.75">
      <c r="A1161" s="172"/>
      <c r="B1161" s="172"/>
      <c r="C1161" s="172"/>
      <c r="D1161" s="172"/>
      <c r="E1161" s="172"/>
      <c r="F1161" s="172"/>
      <c r="G1161" s="172"/>
      <c r="H1161" s="172"/>
      <c r="I1161" s="172"/>
      <c r="J1161" s="172"/>
      <c r="K1161" s="172"/>
      <c r="L1161" s="172"/>
      <c r="M1161" s="172"/>
      <c r="N1161" s="172"/>
      <c r="O1161" s="172"/>
      <c r="P1161" s="172"/>
      <c r="Q1161" s="172"/>
      <c r="R1161" s="172"/>
      <c r="S1161" s="172"/>
      <c r="T1161" s="172"/>
      <c r="U1161" s="172"/>
      <c r="V1161" s="172"/>
      <c r="W1161" s="172"/>
      <c r="X1161" s="172"/>
      <c r="Y1161" s="172"/>
      <c r="Z1161" s="172"/>
    </row>
    <row r="1162" spans="1:26" ht="18.75">
      <c r="A1162" s="172"/>
      <c r="B1162" s="172"/>
      <c r="C1162" s="172"/>
      <c r="D1162" s="172"/>
      <c r="E1162" s="172"/>
      <c r="F1162" s="172"/>
      <c r="G1162" s="172"/>
      <c r="H1162" s="172"/>
      <c r="I1162" s="172"/>
      <c r="J1162" s="172"/>
      <c r="K1162" s="172"/>
      <c r="L1162" s="172"/>
      <c r="M1162" s="172"/>
      <c r="N1162" s="172"/>
      <c r="O1162" s="172"/>
      <c r="P1162" s="172"/>
      <c r="Q1162" s="172"/>
      <c r="R1162" s="172"/>
      <c r="S1162" s="172"/>
      <c r="T1162" s="172"/>
      <c r="U1162" s="172"/>
      <c r="V1162" s="172"/>
      <c r="W1162" s="172"/>
      <c r="X1162" s="172"/>
      <c r="Y1162" s="172"/>
      <c r="Z1162" s="172"/>
    </row>
    <row r="1163" spans="1:26" ht="18.75">
      <c r="A1163" s="172"/>
      <c r="B1163" s="172"/>
      <c r="C1163" s="172"/>
      <c r="D1163" s="172"/>
      <c r="E1163" s="172"/>
      <c r="F1163" s="172"/>
      <c r="G1163" s="172"/>
      <c r="H1163" s="172"/>
      <c r="I1163" s="172"/>
      <c r="J1163" s="172"/>
      <c r="K1163" s="172"/>
      <c r="L1163" s="172"/>
      <c r="M1163" s="172"/>
      <c r="N1163" s="172"/>
      <c r="O1163" s="172"/>
      <c r="P1163" s="172"/>
      <c r="Q1163" s="172"/>
      <c r="R1163" s="172"/>
      <c r="S1163" s="172"/>
      <c r="T1163" s="172"/>
      <c r="U1163" s="172"/>
      <c r="V1163" s="172"/>
      <c r="W1163" s="172"/>
      <c r="X1163" s="172"/>
      <c r="Y1163" s="172"/>
      <c r="Z1163" s="172"/>
    </row>
    <row r="1164" spans="1:26" ht="18.75">
      <c r="A1164" s="172"/>
      <c r="B1164" s="172"/>
      <c r="C1164" s="172"/>
      <c r="D1164" s="172"/>
      <c r="E1164" s="172"/>
      <c r="F1164" s="172"/>
      <c r="G1164" s="172"/>
      <c r="H1164" s="172"/>
      <c r="I1164" s="172"/>
      <c r="J1164" s="172"/>
      <c r="K1164" s="172"/>
      <c r="L1164" s="172"/>
      <c r="M1164" s="172"/>
      <c r="N1164" s="172"/>
      <c r="O1164" s="172"/>
      <c r="P1164" s="172"/>
      <c r="Q1164" s="172"/>
      <c r="R1164" s="172"/>
      <c r="S1164" s="172"/>
      <c r="T1164" s="172"/>
      <c r="U1164" s="172"/>
      <c r="V1164" s="172"/>
      <c r="W1164" s="172"/>
      <c r="X1164" s="172"/>
      <c r="Y1164" s="172"/>
      <c r="Z1164" s="172"/>
    </row>
    <row r="1165" spans="1:26" ht="18.75">
      <c r="A1165" s="172"/>
      <c r="B1165" s="172"/>
      <c r="C1165" s="172"/>
      <c r="D1165" s="172"/>
      <c r="E1165" s="172"/>
      <c r="F1165" s="172"/>
      <c r="G1165" s="172"/>
      <c r="H1165" s="172"/>
      <c r="I1165" s="172"/>
      <c r="J1165" s="172"/>
      <c r="K1165" s="172"/>
      <c r="L1165" s="172"/>
      <c r="M1165" s="172"/>
      <c r="N1165" s="172"/>
      <c r="O1165" s="172"/>
      <c r="P1165" s="172"/>
      <c r="Q1165" s="172"/>
      <c r="R1165" s="172"/>
      <c r="S1165" s="172"/>
      <c r="T1165" s="172"/>
      <c r="U1165" s="172"/>
      <c r="V1165" s="172"/>
      <c r="W1165" s="172"/>
      <c r="X1165" s="172"/>
      <c r="Y1165" s="172"/>
      <c r="Z1165" s="172"/>
    </row>
    <row r="1166" spans="1:26" ht="18.75">
      <c r="A1166" s="172"/>
      <c r="B1166" s="172"/>
      <c r="C1166" s="172"/>
      <c r="D1166" s="172"/>
      <c r="E1166" s="172"/>
      <c r="F1166" s="172"/>
      <c r="G1166" s="172"/>
      <c r="H1166" s="172"/>
      <c r="I1166" s="172"/>
      <c r="J1166" s="172"/>
      <c r="K1166" s="172"/>
      <c r="L1166" s="172"/>
      <c r="M1166" s="172"/>
      <c r="N1166" s="172"/>
      <c r="O1166" s="172"/>
      <c r="P1166" s="172"/>
      <c r="Q1166" s="172"/>
      <c r="R1166" s="172"/>
      <c r="S1166" s="172"/>
      <c r="T1166" s="172"/>
      <c r="U1166" s="172"/>
      <c r="V1166" s="172"/>
      <c r="W1166" s="172"/>
      <c r="X1166" s="172"/>
      <c r="Y1166" s="172"/>
      <c r="Z1166" s="172"/>
    </row>
    <row r="1167" spans="1:26" ht="18.75">
      <c r="A1167" s="172"/>
      <c r="B1167" s="172"/>
      <c r="C1167" s="172"/>
      <c r="D1167" s="172"/>
      <c r="E1167" s="172"/>
      <c r="F1167" s="172"/>
      <c r="G1167" s="172"/>
      <c r="H1167" s="172"/>
      <c r="I1167" s="172"/>
      <c r="J1167" s="172"/>
      <c r="K1167" s="172"/>
      <c r="L1167" s="172"/>
      <c r="M1167" s="172"/>
      <c r="N1167" s="172"/>
      <c r="O1167" s="172"/>
      <c r="P1167" s="172"/>
      <c r="Q1167" s="172"/>
      <c r="R1167" s="172"/>
      <c r="S1167" s="172"/>
      <c r="T1167" s="172"/>
      <c r="U1167" s="172"/>
      <c r="V1167" s="172"/>
      <c r="W1167" s="172"/>
      <c r="X1167" s="172"/>
      <c r="Y1167" s="172"/>
      <c r="Z1167" s="172"/>
    </row>
    <row r="1168" spans="1:26" ht="18.75">
      <c r="A1168" s="172"/>
      <c r="B1168" s="172"/>
      <c r="C1168" s="172"/>
      <c r="D1168" s="172"/>
      <c r="E1168" s="172"/>
      <c r="F1168" s="172"/>
      <c r="G1168" s="172"/>
      <c r="H1168" s="172"/>
      <c r="I1168" s="172"/>
      <c r="J1168" s="172"/>
      <c r="K1168" s="172"/>
      <c r="L1168" s="172"/>
      <c r="M1168" s="172"/>
      <c r="N1168" s="172"/>
      <c r="O1168" s="172"/>
      <c r="P1168" s="172"/>
      <c r="Q1168" s="172"/>
      <c r="R1168" s="172"/>
      <c r="S1168" s="172"/>
      <c r="T1168" s="172"/>
      <c r="U1168" s="172"/>
      <c r="V1168" s="172"/>
      <c r="W1168" s="172"/>
      <c r="X1168" s="172"/>
      <c r="Y1168" s="172"/>
      <c r="Z1168" s="172"/>
    </row>
    <row r="1169" spans="1:26" ht="18.75">
      <c r="A1169" s="172"/>
      <c r="B1169" s="172"/>
      <c r="C1169" s="172"/>
      <c r="D1169" s="172"/>
      <c r="E1169" s="172"/>
      <c r="F1169" s="172"/>
      <c r="G1169" s="172"/>
      <c r="H1169" s="172"/>
      <c r="I1169" s="172"/>
      <c r="J1169" s="172"/>
      <c r="K1169" s="172"/>
      <c r="L1169" s="172"/>
      <c r="M1169" s="172"/>
      <c r="N1169" s="172"/>
      <c r="O1169" s="172"/>
      <c r="P1169" s="172"/>
      <c r="Q1169" s="172"/>
      <c r="R1169" s="172"/>
      <c r="S1169" s="172"/>
      <c r="T1169" s="172"/>
      <c r="U1169" s="172"/>
      <c r="V1169" s="172"/>
      <c r="W1169" s="172"/>
      <c r="X1169" s="172"/>
      <c r="Y1169" s="172"/>
      <c r="Z1169" s="172"/>
    </row>
    <row r="1170" spans="1:26" ht="18.75">
      <c r="A1170" s="172"/>
      <c r="B1170" s="172"/>
      <c r="C1170" s="172"/>
      <c r="D1170" s="172"/>
      <c r="E1170" s="172"/>
      <c r="F1170" s="172"/>
      <c r="G1170" s="172"/>
      <c r="H1170" s="172"/>
      <c r="I1170" s="172"/>
      <c r="J1170" s="172"/>
      <c r="K1170" s="172"/>
      <c r="L1170" s="172"/>
      <c r="M1170" s="172"/>
      <c r="N1170" s="172"/>
      <c r="O1170" s="172"/>
      <c r="P1170" s="172"/>
      <c r="Q1170" s="172"/>
      <c r="R1170" s="172"/>
      <c r="S1170" s="172"/>
      <c r="T1170" s="172"/>
      <c r="U1170" s="172"/>
      <c r="V1170" s="172"/>
      <c r="W1170" s="172"/>
      <c r="X1170" s="172"/>
      <c r="Y1170" s="172"/>
      <c r="Z1170" s="172"/>
    </row>
    <row r="1171" spans="1:26" ht="18.75">
      <c r="A1171" s="172"/>
      <c r="B1171" s="172"/>
      <c r="C1171" s="172"/>
      <c r="D1171" s="172"/>
      <c r="E1171" s="172"/>
      <c r="F1171" s="172"/>
      <c r="G1171" s="172"/>
      <c r="H1171" s="172"/>
      <c r="I1171" s="172"/>
      <c r="J1171" s="172"/>
      <c r="K1171" s="172"/>
      <c r="L1171" s="172"/>
      <c r="M1171" s="172"/>
      <c r="N1171" s="172"/>
      <c r="O1171" s="172"/>
      <c r="P1171" s="172"/>
      <c r="Q1171" s="172"/>
      <c r="R1171" s="172"/>
      <c r="S1171" s="172"/>
      <c r="T1171" s="172"/>
      <c r="U1171" s="172"/>
      <c r="V1171" s="172"/>
      <c r="W1171" s="172"/>
      <c r="X1171" s="172"/>
      <c r="Y1171" s="172"/>
      <c r="Z1171" s="172"/>
    </row>
    <row r="1172" spans="1:26" ht="18.75">
      <c r="A1172" s="172"/>
      <c r="B1172" s="172"/>
      <c r="C1172" s="172"/>
      <c r="D1172" s="172"/>
      <c r="E1172" s="172"/>
      <c r="F1172" s="172"/>
      <c r="G1172" s="172"/>
      <c r="H1172" s="172"/>
      <c r="I1172" s="172"/>
      <c r="J1172" s="172"/>
      <c r="K1172" s="172"/>
      <c r="L1172" s="172"/>
      <c r="M1172" s="172"/>
      <c r="N1172" s="172"/>
      <c r="O1172" s="172"/>
      <c r="P1172" s="172"/>
      <c r="Q1172" s="172"/>
      <c r="R1172" s="172"/>
      <c r="S1172" s="172"/>
      <c r="T1172" s="172"/>
      <c r="U1172" s="172"/>
      <c r="V1172" s="172"/>
      <c r="W1172" s="172"/>
      <c r="X1172" s="172"/>
      <c r="Y1172" s="172"/>
      <c r="Z1172" s="172"/>
    </row>
    <row r="1173" spans="1:26" ht="18.75">
      <c r="A1173" s="172"/>
      <c r="B1173" s="172"/>
      <c r="C1173" s="172"/>
      <c r="D1173" s="172"/>
      <c r="E1173" s="172"/>
      <c r="F1173" s="172"/>
      <c r="G1173" s="172"/>
      <c r="H1173" s="172"/>
      <c r="I1173" s="172"/>
      <c r="J1173" s="172"/>
      <c r="K1173" s="172"/>
      <c r="L1173" s="172"/>
      <c r="M1173" s="172"/>
      <c r="N1173" s="172"/>
      <c r="O1173" s="172"/>
      <c r="P1173" s="172"/>
      <c r="Q1173" s="172"/>
      <c r="R1173" s="172"/>
      <c r="S1173" s="172"/>
      <c r="T1173" s="172"/>
      <c r="U1173" s="172"/>
      <c r="V1173" s="172"/>
      <c r="W1173" s="172"/>
      <c r="X1173" s="172"/>
      <c r="Y1173" s="172"/>
      <c r="Z1173" s="172"/>
    </row>
    <row r="1174" spans="1:26" ht="18.75">
      <c r="A1174" s="172"/>
      <c r="B1174" s="172"/>
      <c r="C1174" s="172"/>
      <c r="D1174" s="172"/>
      <c r="E1174" s="172"/>
      <c r="F1174" s="172"/>
      <c r="G1174" s="172"/>
      <c r="H1174" s="172"/>
      <c r="I1174" s="172"/>
      <c r="J1174" s="172"/>
      <c r="K1174" s="172"/>
      <c r="L1174" s="172"/>
      <c r="M1174" s="172"/>
      <c r="N1174" s="172"/>
      <c r="O1174" s="172"/>
      <c r="P1174" s="172"/>
      <c r="Q1174" s="172"/>
      <c r="R1174" s="172"/>
      <c r="S1174" s="172"/>
      <c r="T1174" s="172"/>
      <c r="U1174" s="172"/>
      <c r="V1174" s="172"/>
      <c r="W1174" s="172"/>
      <c r="X1174" s="172"/>
      <c r="Y1174" s="172"/>
      <c r="Z1174" s="172"/>
    </row>
    <row r="1175" spans="1:26" ht="18.75">
      <c r="A1175" s="172"/>
      <c r="B1175" s="172"/>
      <c r="C1175" s="172"/>
      <c r="D1175" s="172"/>
      <c r="E1175" s="172"/>
      <c r="F1175" s="172"/>
      <c r="G1175" s="172"/>
      <c r="H1175" s="172"/>
      <c r="I1175" s="172"/>
      <c r="J1175" s="172"/>
      <c r="K1175" s="172"/>
      <c r="L1175" s="172"/>
      <c r="M1175" s="172"/>
      <c r="N1175" s="172"/>
      <c r="O1175" s="172"/>
      <c r="P1175" s="172"/>
      <c r="Q1175" s="172"/>
      <c r="R1175" s="172"/>
      <c r="S1175" s="172"/>
      <c r="T1175" s="172"/>
      <c r="U1175" s="172"/>
      <c r="V1175" s="172"/>
      <c r="W1175" s="172"/>
      <c r="X1175" s="172"/>
      <c r="Y1175" s="172"/>
      <c r="Z1175" s="172"/>
    </row>
    <row r="1176" spans="1:26" ht="18.75">
      <c r="A1176" s="172"/>
      <c r="B1176" s="172"/>
      <c r="C1176" s="172"/>
      <c r="D1176" s="172"/>
      <c r="E1176" s="172"/>
      <c r="F1176" s="172"/>
      <c r="G1176" s="172"/>
      <c r="H1176" s="172"/>
      <c r="I1176" s="172"/>
      <c r="J1176" s="172"/>
      <c r="K1176" s="172"/>
      <c r="L1176" s="172"/>
      <c r="M1176" s="172"/>
      <c r="N1176" s="172"/>
      <c r="O1176" s="172"/>
      <c r="P1176" s="172"/>
      <c r="Q1176" s="172"/>
      <c r="R1176" s="172"/>
      <c r="S1176" s="172"/>
      <c r="T1176" s="172"/>
      <c r="U1176" s="172"/>
      <c r="V1176" s="172"/>
      <c r="W1176" s="172"/>
      <c r="X1176" s="172"/>
      <c r="Y1176" s="172"/>
      <c r="Z1176" s="172"/>
    </row>
    <row r="1177" spans="1:26" ht="18.75">
      <c r="A1177" s="172"/>
      <c r="B1177" s="172"/>
      <c r="C1177" s="172"/>
      <c r="D1177" s="172"/>
      <c r="E1177" s="172"/>
      <c r="F1177" s="172"/>
      <c r="G1177" s="172"/>
      <c r="H1177" s="172"/>
      <c r="I1177" s="172"/>
      <c r="J1177" s="172"/>
      <c r="K1177" s="172"/>
      <c r="L1177" s="172"/>
      <c r="M1177" s="172"/>
      <c r="N1177" s="172"/>
      <c r="O1177" s="172"/>
      <c r="P1177" s="172"/>
      <c r="Q1177" s="172"/>
      <c r="R1177" s="172"/>
      <c r="S1177" s="172"/>
      <c r="T1177" s="172"/>
      <c r="U1177" s="172"/>
      <c r="V1177" s="172"/>
      <c r="W1177" s="172"/>
      <c r="X1177" s="172"/>
      <c r="Y1177" s="172"/>
      <c r="Z1177" s="172"/>
    </row>
    <row r="1178" spans="1:26" ht="18.75">
      <c r="A1178" s="172"/>
      <c r="B1178" s="172"/>
      <c r="C1178" s="172"/>
      <c r="D1178" s="172"/>
      <c r="E1178" s="172"/>
      <c r="F1178" s="172"/>
      <c r="G1178" s="172"/>
      <c r="H1178" s="172"/>
      <c r="I1178" s="172"/>
      <c r="J1178" s="172"/>
      <c r="K1178" s="172"/>
      <c r="L1178" s="172"/>
      <c r="M1178" s="172"/>
      <c r="N1178" s="172"/>
      <c r="O1178" s="172"/>
      <c r="P1178" s="172"/>
      <c r="Q1178" s="172"/>
      <c r="R1178" s="172"/>
      <c r="S1178" s="172"/>
      <c r="T1178" s="172"/>
      <c r="U1178" s="172"/>
      <c r="V1178" s="172"/>
      <c r="W1178" s="172"/>
      <c r="X1178" s="172"/>
      <c r="Y1178" s="172"/>
      <c r="Z1178" s="172"/>
    </row>
    <row r="1179" spans="1:26" ht="18.75">
      <c r="A1179" s="172"/>
      <c r="B1179" s="172"/>
      <c r="C1179" s="172"/>
      <c r="D1179" s="172"/>
      <c r="E1179" s="172"/>
      <c r="F1179" s="172"/>
      <c r="G1179" s="172"/>
      <c r="H1179" s="172"/>
      <c r="I1179" s="172"/>
      <c r="J1179" s="172"/>
      <c r="K1179" s="172"/>
      <c r="L1179" s="172"/>
      <c r="M1179" s="172"/>
      <c r="N1179" s="172"/>
      <c r="O1179" s="172"/>
      <c r="P1179" s="172"/>
      <c r="Q1179" s="172"/>
      <c r="R1179" s="172"/>
      <c r="S1179" s="172"/>
      <c r="T1179" s="172"/>
      <c r="U1179" s="172"/>
      <c r="V1179" s="172"/>
      <c r="W1179" s="172"/>
      <c r="X1179" s="172"/>
      <c r="Y1179" s="172"/>
      <c r="Z1179" s="172"/>
    </row>
    <row r="1180" spans="1:26" ht="18.75">
      <c r="A1180" s="172"/>
      <c r="B1180" s="172"/>
      <c r="C1180" s="172"/>
      <c r="D1180" s="172"/>
      <c r="E1180" s="172"/>
      <c r="F1180" s="172"/>
      <c r="G1180" s="172"/>
      <c r="H1180" s="172"/>
      <c r="I1180" s="172"/>
      <c r="J1180" s="172"/>
      <c r="K1180" s="172"/>
      <c r="L1180" s="172"/>
      <c r="M1180" s="172"/>
      <c r="N1180" s="172"/>
      <c r="O1180" s="172"/>
      <c r="P1180" s="172"/>
      <c r="Q1180" s="172"/>
      <c r="R1180" s="172"/>
      <c r="S1180" s="172"/>
      <c r="T1180" s="172"/>
      <c r="U1180" s="172"/>
      <c r="V1180" s="172"/>
      <c r="W1180" s="172"/>
      <c r="X1180" s="172"/>
      <c r="Y1180" s="172"/>
      <c r="Z1180" s="172"/>
    </row>
    <row r="1181" spans="1:26" ht="18.75">
      <c r="A1181" s="172"/>
      <c r="B1181" s="172"/>
      <c r="C1181" s="172"/>
      <c r="D1181" s="172"/>
      <c r="E1181" s="172"/>
      <c r="F1181" s="172"/>
      <c r="G1181" s="172"/>
      <c r="H1181" s="172"/>
      <c r="I1181" s="172"/>
      <c r="J1181" s="172"/>
      <c r="K1181" s="172"/>
      <c r="L1181" s="172"/>
      <c r="M1181" s="172"/>
      <c r="N1181" s="172"/>
      <c r="O1181" s="172"/>
      <c r="P1181" s="172"/>
      <c r="Q1181" s="172"/>
      <c r="R1181" s="172"/>
      <c r="S1181" s="172"/>
      <c r="T1181" s="172"/>
      <c r="U1181" s="172"/>
      <c r="V1181" s="172"/>
      <c r="W1181" s="172"/>
      <c r="X1181" s="172"/>
      <c r="Y1181" s="172"/>
      <c r="Z1181" s="172"/>
    </row>
    <row r="1182" spans="1:26" ht="18.75">
      <c r="A1182" s="172"/>
      <c r="B1182" s="172"/>
      <c r="C1182" s="172"/>
      <c r="D1182" s="172"/>
      <c r="E1182" s="172"/>
      <c r="F1182" s="172"/>
      <c r="G1182" s="172"/>
      <c r="H1182" s="172"/>
      <c r="I1182" s="172"/>
      <c r="J1182" s="172"/>
      <c r="K1182" s="172"/>
      <c r="L1182" s="172"/>
      <c r="M1182" s="172"/>
      <c r="N1182" s="172"/>
      <c r="O1182" s="172"/>
      <c r="P1182" s="172"/>
      <c r="Q1182" s="172"/>
      <c r="R1182" s="172"/>
      <c r="S1182" s="172"/>
      <c r="T1182" s="172"/>
      <c r="U1182" s="172"/>
      <c r="V1182" s="172"/>
      <c r="W1182" s="172"/>
      <c r="X1182" s="172"/>
      <c r="Y1182" s="172"/>
      <c r="Z1182" s="172"/>
    </row>
    <row r="1183" spans="1:26" ht="18.75">
      <c r="A1183" s="172"/>
      <c r="B1183" s="172"/>
      <c r="C1183" s="172"/>
      <c r="D1183" s="172"/>
      <c r="E1183" s="172"/>
      <c r="F1183" s="172"/>
      <c r="G1183" s="172"/>
      <c r="H1183" s="172"/>
      <c r="I1183" s="172"/>
      <c r="J1183" s="172"/>
      <c r="K1183" s="172"/>
      <c r="L1183" s="172"/>
      <c r="M1183" s="172"/>
      <c r="N1183" s="172"/>
      <c r="O1183" s="172"/>
      <c r="P1183" s="172"/>
      <c r="Q1183" s="172"/>
      <c r="R1183" s="172"/>
      <c r="S1183" s="172"/>
      <c r="T1183" s="172"/>
      <c r="U1183" s="172"/>
      <c r="V1183" s="172"/>
      <c r="W1183" s="172"/>
      <c r="X1183" s="172"/>
      <c r="Y1183" s="172"/>
      <c r="Z1183" s="172"/>
    </row>
    <row r="1184" spans="1:26" ht="18.75">
      <c r="A1184" s="172"/>
      <c r="B1184" s="172"/>
      <c r="C1184" s="172"/>
      <c r="D1184" s="172"/>
      <c r="E1184" s="172"/>
      <c r="F1184" s="172"/>
      <c r="G1184" s="172"/>
      <c r="H1184" s="172"/>
      <c r="I1184" s="172"/>
      <c r="J1184" s="172"/>
      <c r="K1184" s="172"/>
      <c r="L1184" s="172"/>
      <c r="M1184" s="172"/>
      <c r="N1184" s="172"/>
      <c r="O1184" s="172"/>
      <c r="P1184" s="172"/>
      <c r="Q1184" s="172"/>
      <c r="R1184" s="172"/>
      <c r="S1184" s="172"/>
      <c r="T1184" s="172"/>
      <c r="U1184" s="172"/>
      <c r="V1184" s="172"/>
      <c r="W1184" s="172"/>
      <c r="X1184" s="172"/>
      <c r="Y1184" s="172"/>
      <c r="Z1184" s="172"/>
    </row>
    <row r="1185" spans="1:26" ht="18.75">
      <c r="A1185" s="172"/>
      <c r="B1185" s="172"/>
      <c r="C1185" s="172"/>
      <c r="D1185" s="172"/>
      <c r="E1185" s="172"/>
      <c r="F1185" s="172"/>
      <c r="G1185" s="172"/>
      <c r="H1185" s="172"/>
      <c r="I1185" s="172"/>
      <c r="J1185" s="172"/>
      <c r="K1185" s="172"/>
      <c r="L1185" s="172"/>
      <c r="M1185" s="172"/>
      <c r="N1185" s="172"/>
      <c r="O1185" s="172"/>
      <c r="P1185" s="172"/>
      <c r="Q1185" s="172"/>
      <c r="R1185" s="172"/>
      <c r="S1185" s="172"/>
      <c r="T1185" s="172"/>
      <c r="U1185" s="172"/>
      <c r="V1185" s="172"/>
      <c r="W1185" s="172"/>
      <c r="X1185" s="172"/>
      <c r="Y1185" s="172"/>
      <c r="Z1185" s="172"/>
    </row>
    <row r="1186" spans="1:26" ht="18.75">
      <c r="A1186" s="172"/>
      <c r="B1186" s="172"/>
      <c r="C1186" s="172"/>
      <c r="D1186" s="172"/>
      <c r="E1186" s="172"/>
      <c r="F1186" s="172"/>
      <c r="G1186" s="172"/>
      <c r="H1186" s="172"/>
      <c r="I1186" s="172"/>
      <c r="J1186" s="172"/>
      <c r="K1186" s="172"/>
      <c r="L1186" s="172"/>
      <c r="M1186" s="172"/>
      <c r="N1186" s="172"/>
      <c r="O1186" s="172"/>
      <c r="P1186" s="172"/>
      <c r="Q1186" s="172"/>
      <c r="R1186" s="172"/>
      <c r="S1186" s="172"/>
      <c r="T1186" s="172"/>
      <c r="U1186" s="172"/>
      <c r="V1186" s="172"/>
      <c r="W1186" s="172"/>
      <c r="X1186" s="172"/>
      <c r="Y1186" s="172"/>
      <c r="Z1186" s="172"/>
    </row>
    <row r="1187" spans="1:26" ht="18.75">
      <c r="A1187" s="172"/>
      <c r="B1187" s="172"/>
      <c r="C1187" s="172"/>
      <c r="D1187" s="172"/>
      <c r="E1187" s="172"/>
      <c r="F1187" s="172"/>
      <c r="G1187" s="172"/>
      <c r="H1187" s="172"/>
      <c r="I1187" s="172"/>
      <c r="J1187" s="172"/>
      <c r="K1187" s="172"/>
      <c r="L1187" s="172"/>
      <c r="M1187" s="172"/>
      <c r="N1187" s="172"/>
      <c r="O1187" s="172"/>
      <c r="P1187" s="172"/>
      <c r="Q1187" s="172"/>
      <c r="R1187" s="172"/>
      <c r="S1187" s="172"/>
      <c r="T1187" s="172"/>
      <c r="U1187" s="172"/>
      <c r="V1187" s="172"/>
      <c r="W1187" s="172"/>
      <c r="X1187" s="172"/>
      <c r="Y1187" s="172"/>
      <c r="Z1187" s="172"/>
    </row>
    <row r="1188" spans="1:26" ht="18.75">
      <c r="A1188" s="172"/>
      <c r="B1188" s="172"/>
      <c r="C1188" s="172"/>
      <c r="D1188" s="172"/>
      <c r="E1188" s="172"/>
      <c r="F1188" s="172"/>
      <c r="G1188" s="172"/>
      <c r="H1188" s="172"/>
      <c r="I1188" s="172"/>
      <c r="J1188" s="172"/>
      <c r="K1188" s="172"/>
      <c r="L1188" s="172"/>
      <c r="M1188" s="172"/>
      <c r="N1188" s="172"/>
      <c r="O1188" s="172"/>
      <c r="P1188" s="172"/>
      <c r="Q1188" s="172"/>
      <c r="R1188" s="172"/>
      <c r="S1188" s="172"/>
      <c r="T1188" s="172"/>
      <c r="U1188" s="172"/>
      <c r="V1188" s="172"/>
      <c r="W1188" s="172"/>
      <c r="X1188" s="172"/>
      <c r="Y1188" s="172"/>
      <c r="Z1188" s="172"/>
    </row>
    <row r="1189" spans="1:26" ht="18.75">
      <c r="A1189" s="172"/>
      <c r="B1189" s="172"/>
      <c r="C1189" s="172"/>
      <c r="D1189" s="172"/>
      <c r="E1189" s="172"/>
      <c r="F1189" s="172"/>
      <c r="G1189" s="172"/>
      <c r="H1189" s="172"/>
      <c r="I1189" s="172"/>
      <c r="J1189" s="172"/>
      <c r="K1189" s="172"/>
      <c r="L1189" s="172"/>
      <c r="M1189" s="172"/>
      <c r="N1189" s="172"/>
      <c r="O1189" s="172"/>
      <c r="P1189" s="172"/>
      <c r="Q1189" s="172"/>
      <c r="R1189" s="172"/>
      <c r="S1189" s="172"/>
      <c r="T1189" s="172"/>
      <c r="U1189" s="172"/>
      <c r="V1189" s="172"/>
      <c r="W1189" s="172"/>
      <c r="X1189" s="172"/>
      <c r="Y1189" s="172"/>
      <c r="Z1189" s="172"/>
    </row>
    <row r="1190" spans="1:26" ht="18.75">
      <c r="A1190" s="172"/>
      <c r="B1190" s="172"/>
      <c r="C1190" s="172"/>
      <c r="D1190" s="172"/>
      <c r="E1190" s="172"/>
      <c r="F1190" s="172"/>
      <c r="G1190" s="172"/>
      <c r="H1190" s="172"/>
      <c r="I1190" s="172"/>
      <c r="J1190" s="172"/>
      <c r="K1190" s="172"/>
      <c r="L1190" s="172"/>
      <c r="M1190" s="172"/>
      <c r="N1190" s="172"/>
      <c r="O1190" s="172"/>
      <c r="P1190" s="172"/>
      <c r="Q1190" s="172"/>
      <c r="R1190" s="172"/>
      <c r="S1190" s="172"/>
      <c r="T1190" s="172"/>
      <c r="U1190" s="172"/>
      <c r="V1190" s="172"/>
      <c r="W1190" s="172"/>
      <c r="X1190" s="172"/>
      <c r="Y1190" s="172"/>
      <c r="Z1190" s="172"/>
    </row>
    <row r="1191" spans="1:26" ht="18.75">
      <c r="A1191" s="172"/>
      <c r="B1191" s="172"/>
      <c r="C1191" s="172"/>
      <c r="D1191" s="172"/>
      <c r="E1191" s="172"/>
      <c r="F1191" s="172"/>
      <c r="G1191" s="172"/>
      <c r="H1191" s="172"/>
      <c r="I1191" s="172"/>
      <c r="J1191" s="172"/>
      <c r="K1191" s="172"/>
      <c r="L1191" s="172"/>
      <c r="M1191" s="172"/>
      <c r="N1191" s="172"/>
      <c r="O1191" s="172"/>
      <c r="P1191" s="172"/>
      <c r="Q1191" s="172"/>
      <c r="R1191" s="172"/>
      <c r="S1191" s="172"/>
      <c r="T1191" s="172"/>
      <c r="U1191" s="172"/>
      <c r="V1191" s="172"/>
      <c r="W1191" s="172"/>
      <c r="X1191" s="172"/>
      <c r="Y1191" s="172"/>
      <c r="Z1191" s="172"/>
    </row>
    <row r="1192" spans="1:26" ht="18.75">
      <c r="A1192" s="172"/>
      <c r="B1192" s="172"/>
      <c r="C1192" s="172"/>
      <c r="D1192" s="172"/>
      <c r="E1192" s="172"/>
      <c r="F1192" s="172"/>
      <c r="G1192" s="172"/>
      <c r="H1192" s="172"/>
      <c r="I1192" s="172"/>
      <c r="J1192" s="172"/>
      <c r="K1192" s="172"/>
      <c r="L1192" s="172"/>
      <c r="M1192" s="172"/>
      <c r="N1192" s="172"/>
      <c r="O1192" s="172"/>
      <c r="P1192" s="172"/>
      <c r="Q1192" s="172"/>
      <c r="R1192" s="172"/>
      <c r="S1192" s="172"/>
      <c r="T1192" s="172"/>
      <c r="U1192" s="172"/>
      <c r="V1192" s="172"/>
      <c r="W1192" s="172"/>
      <c r="X1192" s="172"/>
      <c r="Y1192" s="172"/>
      <c r="Z1192" s="172"/>
    </row>
    <row r="1193" spans="1:26" ht="18.75">
      <c r="A1193" s="172"/>
      <c r="B1193" s="172"/>
      <c r="C1193" s="172"/>
      <c r="D1193" s="172"/>
      <c r="E1193" s="172"/>
      <c r="F1193" s="172"/>
      <c r="G1193" s="172"/>
      <c r="H1193" s="172"/>
      <c r="I1193" s="172"/>
      <c r="J1193" s="172"/>
      <c r="K1193" s="172"/>
      <c r="L1193" s="172"/>
      <c r="M1193" s="172"/>
      <c r="N1193" s="172"/>
      <c r="O1193" s="172"/>
      <c r="P1193" s="172"/>
      <c r="Q1193" s="172"/>
      <c r="R1193" s="172"/>
      <c r="S1193" s="172"/>
      <c r="T1193" s="172"/>
      <c r="U1193" s="172"/>
      <c r="V1193" s="172"/>
      <c r="W1193" s="172"/>
      <c r="X1193" s="172"/>
      <c r="Y1193" s="172"/>
      <c r="Z1193" s="172"/>
    </row>
    <row r="1194" spans="1:26" ht="18.75">
      <c r="A1194" s="172"/>
      <c r="B1194" s="172"/>
      <c r="C1194" s="172"/>
      <c r="D1194" s="172"/>
      <c r="E1194" s="172"/>
      <c r="F1194" s="172"/>
      <c r="G1194" s="172"/>
      <c r="H1194" s="172"/>
      <c r="I1194" s="172"/>
      <c r="J1194" s="172"/>
      <c r="K1194" s="172"/>
      <c r="L1194" s="172"/>
      <c r="M1194" s="172"/>
      <c r="N1194" s="172"/>
      <c r="O1194" s="172"/>
      <c r="P1194" s="172"/>
      <c r="Q1194" s="172"/>
      <c r="R1194" s="172"/>
      <c r="S1194" s="172"/>
      <c r="T1194" s="172"/>
      <c r="U1194" s="172"/>
      <c r="V1194" s="172"/>
      <c r="W1194" s="172"/>
      <c r="X1194" s="172"/>
      <c r="Y1194" s="172"/>
      <c r="Z1194" s="172"/>
    </row>
    <row r="1195" spans="1:26" ht="18.75">
      <c r="A1195" s="172"/>
      <c r="B1195" s="172"/>
      <c r="C1195" s="172"/>
      <c r="D1195" s="172"/>
      <c r="E1195" s="172"/>
      <c r="F1195" s="172"/>
      <c r="G1195" s="172"/>
      <c r="H1195" s="172"/>
      <c r="I1195" s="172"/>
      <c r="J1195" s="172"/>
      <c r="K1195" s="172"/>
      <c r="L1195" s="172"/>
      <c r="M1195" s="172"/>
      <c r="N1195" s="172"/>
      <c r="O1195" s="172"/>
      <c r="P1195" s="172"/>
      <c r="Q1195" s="172"/>
      <c r="R1195" s="172"/>
      <c r="S1195" s="172"/>
      <c r="T1195" s="172"/>
      <c r="U1195" s="172"/>
      <c r="V1195" s="172"/>
      <c r="W1195" s="172"/>
      <c r="X1195" s="172"/>
      <c r="Y1195" s="172"/>
      <c r="Z1195" s="172"/>
    </row>
    <row r="1196" spans="1:26" ht="18.75">
      <c r="A1196" s="172"/>
      <c r="B1196" s="172"/>
      <c r="C1196" s="172"/>
      <c r="D1196" s="172"/>
      <c r="E1196" s="172"/>
      <c r="F1196" s="172"/>
      <c r="G1196" s="172"/>
      <c r="H1196" s="172"/>
      <c r="I1196" s="172"/>
      <c r="J1196" s="172"/>
      <c r="K1196" s="172"/>
      <c r="L1196" s="172"/>
      <c r="M1196" s="172"/>
      <c r="N1196" s="172"/>
      <c r="O1196" s="172"/>
      <c r="P1196" s="172"/>
      <c r="Q1196" s="172"/>
      <c r="R1196" s="172"/>
      <c r="S1196" s="172"/>
      <c r="T1196" s="172"/>
      <c r="U1196" s="172"/>
      <c r="V1196" s="172"/>
      <c r="W1196" s="172"/>
      <c r="X1196" s="172"/>
      <c r="Y1196" s="172"/>
      <c r="Z1196" s="172"/>
    </row>
    <row r="1197" spans="1:26" ht="18.75">
      <c r="A1197" s="172"/>
      <c r="B1197" s="172"/>
      <c r="C1197" s="172"/>
      <c r="D1197" s="172"/>
      <c r="E1197" s="172"/>
      <c r="F1197" s="172"/>
      <c r="G1197" s="172"/>
      <c r="H1197" s="172"/>
      <c r="I1197" s="172"/>
      <c r="J1197" s="172"/>
      <c r="K1197" s="172"/>
      <c r="L1197" s="172"/>
      <c r="M1197" s="172"/>
      <c r="N1197" s="172"/>
      <c r="O1197" s="172"/>
      <c r="P1197" s="172"/>
      <c r="Q1197" s="172"/>
      <c r="R1197" s="172"/>
      <c r="S1197" s="172"/>
      <c r="T1197" s="172"/>
      <c r="U1197" s="172"/>
      <c r="V1197" s="172"/>
      <c r="W1197" s="172"/>
      <c r="X1197" s="172"/>
      <c r="Y1197" s="172"/>
      <c r="Z1197" s="172"/>
    </row>
    <row r="1198" spans="1:26" ht="18.75">
      <c r="A1198" s="172"/>
      <c r="B1198" s="172"/>
      <c r="C1198" s="172"/>
      <c r="D1198" s="172"/>
      <c r="E1198" s="172"/>
      <c r="F1198" s="172"/>
      <c r="G1198" s="172"/>
      <c r="H1198" s="172"/>
      <c r="I1198" s="172"/>
      <c r="J1198" s="172"/>
      <c r="K1198" s="172"/>
      <c r="L1198" s="172"/>
      <c r="M1198" s="172"/>
      <c r="N1198" s="172"/>
      <c r="O1198" s="172"/>
      <c r="P1198" s="172"/>
      <c r="Q1198" s="172"/>
      <c r="R1198" s="172"/>
      <c r="S1198" s="172"/>
      <c r="T1198" s="172"/>
      <c r="U1198" s="172"/>
      <c r="V1198" s="172"/>
      <c r="W1198" s="172"/>
      <c r="X1198" s="172"/>
      <c r="Y1198" s="172"/>
      <c r="Z1198" s="172"/>
    </row>
    <row r="1199" spans="1:26" ht="18.75">
      <c r="A1199" s="172"/>
      <c r="B1199" s="172"/>
      <c r="C1199" s="172"/>
      <c r="D1199" s="172"/>
      <c r="E1199" s="172"/>
      <c r="F1199" s="172"/>
      <c r="G1199" s="172"/>
      <c r="H1199" s="172"/>
      <c r="I1199" s="172"/>
      <c r="J1199" s="172"/>
      <c r="K1199" s="172"/>
      <c r="L1199" s="172"/>
      <c r="M1199" s="172"/>
      <c r="N1199" s="172"/>
      <c r="O1199" s="172"/>
      <c r="P1199" s="172"/>
      <c r="Q1199" s="172"/>
      <c r="R1199" s="172"/>
      <c r="S1199" s="172"/>
      <c r="T1199" s="172"/>
      <c r="U1199" s="172"/>
      <c r="V1199" s="172"/>
      <c r="W1199" s="172"/>
      <c r="X1199" s="172"/>
      <c r="Y1199" s="172"/>
      <c r="Z1199" s="172"/>
    </row>
    <row r="1200" spans="1:26" ht="18.75">
      <c r="A1200" s="172"/>
      <c r="B1200" s="172"/>
      <c r="C1200" s="172"/>
      <c r="D1200" s="172"/>
      <c r="E1200" s="172"/>
      <c r="F1200" s="172"/>
      <c r="G1200" s="172"/>
      <c r="H1200" s="172"/>
      <c r="I1200" s="172"/>
      <c r="J1200" s="172"/>
      <c r="K1200" s="172"/>
      <c r="L1200" s="172"/>
      <c r="M1200" s="172"/>
      <c r="N1200" s="172"/>
      <c r="O1200" s="172"/>
      <c r="P1200" s="172"/>
      <c r="Q1200" s="172"/>
      <c r="R1200" s="172"/>
      <c r="S1200" s="172"/>
      <c r="T1200" s="172"/>
      <c r="U1200" s="172"/>
      <c r="V1200" s="172"/>
      <c r="W1200" s="172"/>
      <c r="X1200" s="172"/>
      <c r="Y1200" s="172"/>
      <c r="Z1200" s="172"/>
    </row>
    <row r="1201" spans="1:26" ht="18.75">
      <c r="A1201" s="172"/>
      <c r="B1201" s="172"/>
      <c r="C1201" s="172"/>
      <c r="D1201" s="172"/>
      <c r="E1201" s="172"/>
      <c r="F1201" s="172"/>
      <c r="G1201" s="172"/>
      <c r="H1201" s="172"/>
      <c r="I1201" s="172"/>
      <c r="J1201" s="172"/>
      <c r="K1201" s="172"/>
      <c r="L1201" s="172"/>
      <c r="M1201" s="172"/>
      <c r="N1201" s="172"/>
      <c r="O1201" s="172"/>
      <c r="P1201" s="172"/>
      <c r="Q1201" s="172"/>
      <c r="R1201" s="172"/>
      <c r="S1201" s="172"/>
      <c r="T1201" s="172"/>
      <c r="U1201" s="172"/>
      <c r="V1201" s="172"/>
      <c r="W1201" s="172"/>
      <c r="X1201" s="172"/>
      <c r="Y1201" s="172"/>
      <c r="Z1201" s="172"/>
    </row>
    <row r="1202" spans="1:26" ht="18.75">
      <c r="A1202" s="172"/>
      <c r="B1202" s="172"/>
      <c r="C1202" s="172"/>
      <c r="D1202" s="172"/>
      <c r="E1202" s="172"/>
      <c r="F1202" s="172"/>
      <c r="G1202" s="172"/>
      <c r="H1202" s="172"/>
      <c r="I1202" s="172"/>
      <c r="J1202" s="172"/>
      <c r="K1202" s="172"/>
      <c r="L1202" s="172"/>
      <c r="M1202" s="172"/>
      <c r="N1202" s="172"/>
      <c r="O1202" s="172"/>
      <c r="P1202" s="172"/>
      <c r="Q1202" s="172"/>
      <c r="R1202" s="172"/>
      <c r="S1202" s="172"/>
      <c r="T1202" s="172"/>
      <c r="U1202" s="172"/>
      <c r="V1202" s="172"/>
      <c r="W1202" s="172"/>
      <c r="X1202" s="172"/>
      <c r="Y1202" s="172"/>
      <c r="Z1202" s="172"/>
    </row>
    <row r="1203" spans="1:26" ht="18.75">
      <c r="A1203" s="172"/>
      <c r="B1203" s="172"/>
      <c r="C1203" s="172"/>
      <c r="D1203" s="172"/>
      <c r="E1203" s="172"/>
      <c r="F1203" s="172"/>
      <c r="G1203" s="172"/>
      <c r="H1203" s="172"/>
      <c r="I1203" s="172"/>
      <c r="J1203" s="172"/>
      <c r="K1203" s="172"/>
      <c r="L1203" s="172"/>
      <c r="M1203" s="172"/>
      <c r="N1203" s="172"/>
      <c r="O1203" s="172"/>
      <c r="P1203" s="172"/>
      <c r="Q1203" s="172"/>
      <c r="R1203" s="172"/>
      <c r="S1203" s="172"/>
      <c r="T1203" s="172"/>
      <c r="U1203" s="172"/>
      <c r="V1203" s="172"/>
      <c r="W1203" s="172"/>
      <c r="X1203" s="172"/>
      <c r="Y1203" s="172"/>
      <c r="Z1203" s="172"/>
    </row>
    <row r="1204" spans="1:26" ht="18.75">
      <c r="A1204" s="172"/>
      <c r="B1204" s="172"/>
      <c r="C1204" s="172"/>
      <c r="D1204" s="172"/>
      <c r="E1204" s="172"/>
      <c r="F1204" s="172"/>
      <c r="G1204" s="172"/>
      <c r="H1204" s="172"/>
      <c r="I1204" s="172"/>
      <c r="J1204" s="172"/>
      <c r="K1204" s="172"/>
      <c r="L1204" s="172"/>
      <c r="M1204" s="172"/>
      <c r="N1204" s="172"/>
      <c r="O1204" s="172"/>
      <c r="P1204" s="172"/>
      <c r="Q1204" s="172"/>
      <c r="R1204" s="172"/>
      <c r="S1204" s="172"/>
      <c r="T1204" s="172"/>
      <c r="U1204" s="172"/>
      <c r="V1204" s="172"/>
      <c r="W1204" s="172"/>
      <c r="X1204" s="172"/>
      <c r="Y1204" s="172"/>
      <c r="Z1204" s="172"/>
    </row>
    <row r="1205" spans="1:26" ht="18.75">
      <c r="A1205" s="172"/>
      <c r="B1205" s="172"/>
      <c r="C1205" s="172"/>
      <c r="D1205" s="172"/>
      <c r="E1205" s="172"/>
      <c r="F1205" s="172"/>
      <c r="G1205" s="172"/>
      <c r="H1205" s="172"/>
      <c r="I1205" s="172"/>
      <c r="J1205" s="172"/>
      <c r="K1205" s="172"/>
      <c r="L1205" s="172"/>
      <c r="M1205" s="172"/>
      <c r="N1205" s="172"/>
      <c r="O1205" s="172"/>
      <c r="P1205" s="172"/>
      <c r="Q1205" s="172"/>
      <c r="R1205" s="172"/>
      <c r="S1205" s="172"/>
      <c r="T1205" s="172"/>
      <c r="U1205" s="172"/>
      <c r="V1205" s="172"/>
      <c r="W1205" s="172"/>
      <c r="X1205" s="172"/>
      <c r="Y1205" s="172"/>
      <c r="Z1205" s="172"/>
    </row>
    <row r="1206" spans="1:26" ht="18.75">
      <c r="A1206" s="172"/>
      <c r="B1206" s="172"/>
      <c r="C1206" s="172"/>
      <c r="D1206" s="172"/>
      <c r="E1206" s="172"/>
      <c r="F1206" s="172"/>
      <c r="G1206" s="172"/>
      <c r="H1206" s="172"/>
      <c r="I1206" s="172"/>
      <c r="J1206" s="172"/>
      <c r="K1206" s="172"/>
      <c r="L1206" s="172"/>
      <c r="M1206" s="172"/>
      <c r="N1206" s="172"/>
      <c r="O1206" s="172"/>
      <c r="P1206" s="172"/>
      <c r="Q1206" s="172"/>
      <c r="R1206" s="172"/>
      <c r="S1206" s="172"/>
      <c r="T1206" s="172"/>
      <c r="U1206" s="172"/>
      <c r="V1206" s="172"/>
      <c r="W1206" s="172"/>
      <c r="X1206" s="172"/>
      <c r="Y1206" s="172"/>
      <c r="Z1206" s="172"/>
    </row>
    <row r="1207" spans="1:26" ht="18.75">
      <c r="A1207" s="172"/>
      <c r="B1207" s="172"/>
      <c r="C1207" s="172"/>
      <c r="D1207" s="172"/>
      <c r="E1207" s="172"/>
      <c r="F1207" s="172"/>
      <c r="G1207" s="172"/>
      <c r="H1207" s="172"/>
      <c r="I1207" s="172"/>
      <c r="J1207" s="172"/>
      <c r="K1207" s="172"/>
      <c r="L1207" s="172"/>
      <c r="M1207" s="172"/>
      <c r="N1207" s="172"/>
      <c r="O1207" s="172"/>
      <c r="P1207" s="172"/>
      <c r="Q1207" s="172"/>
      <c r="R1207" s="172"/>
      <c r="S1207" s="172"/>
      <c r="T1207" s="172"/>
      <c r="U1207" s="172"/>
      <c r="V1207" s="172"/>
      <c r="W1207" s="172"/>
      <c r="X1207" s="172"/>
      <c r="Y1207" s="172"/>
      <c r="Z1207" s="172"/>
    </row>
    <row r="1208" spans="1:26" ht="18.75">
      <c r="A1208" s="172"/>
      <c r="B1208" s="172"/>
      <c r="C1208" s="172"/>
      <c r="D1208" s="172"/>
      <c r="E1208" s="172"/>
      <c r="F1208" s="172"/>
      <c r="G1208" s="172"/>
      <c r="H1208" s="172"/>
      <c r="I1208" s="172"/>
      <c r="J1208" s="172"/>
      <c r="K1208" s="172"/>
      <c r="L1208" s="172"/>
      <c r="M1208" s="172"/>
      <c r="N1208" s="172"/>
      <c r="O1208" s="172"/>
      <c r="P1208" s="172"/>
      <c r="Q1208" s="172"/>
      <c r="R1208" s="172"/>
      <c r="S1208" s="172"/>
      <c r="T1208" s="172"/>
      <c r="U1208" s="172"/>
      <c r="V1208" s="172"/>
      <c r="W1208" s="172"/>
      <c r="X1208" s="172"/>
      <c r="Y1208" s="172"/>
      <c r="Z1208" s="172"/>
    </row>
    <row r="1209" spans="1:26" ht="18.75">
      <c r="A1209" s="172"/>
      <c r="B1209" s="172"/>
      <c r="C1209" s="172"/>
      <c r="D1209" s="172"/>
      <c r="E1209" s="172"/>
      <c r="F1209" s="172"/>
      <c r="G1209" s="172"/>
      <c r="H1209" s="172"/>
      <c r="I1209" s="172"/>
      <c r="J1209" s="172"/>
      <c r="K1209" s="172"/>
      <c r="L1209" s="172"/>
      <c r="M1209" s="172"/>
      <c r="N1209" s="172"/>
      <c r="O1209" s="172"/>
      <c r="P1209" s="172"/>
      <c r="Q1209" s="172"/>
      <c r="R1209" s="172"/>
      <c r="S1209" s="172"/>
      <c r="T1209" s="172"/>
      <c r="U1209" s="172"/>
      <c r="V1209" s="172"/>
      <c r="W1209" s="172"/>
      <c r="X1209" s="172"/>
      <c r="Y1209" s="172"/>
      <c r="Z1209" s="172"/>
    </row>
    <row r="1210" spans="1:26" ht="18.75">
      <c r="A1210" s="172"/>
      <c r="B1210" s="172"/>
      <c r="C1210" s="172"/>
      <c r="D1210" s="172"/>
      <c r="E1210" s="172"/>
      <c r="F1210" s="172"/>
      <c r="G1210" s="172"/>
      <c r="H1210" s="172"/>
      <c r="I1210" s="172"/>
      <c r="J1210" s="172"/>
      <c r="K1210" s="172"/>
      <c r="L1210" s="172"/>
      <c r="M1210" s="172"/>
      <c r="N1210" s="172"/>
      <c r="O1210" s="172"/>
      <c r="P1210" s="172"/>
      <c r="Q1210" s="172"/>
      <c r="R1210" s="172"/>
      <c r="S1210" s="172"/>
      <c r="T1210" s="172"/>
      <c r="U1210" s="172"/>
      <c r="V1210" s="172"/>
      <c r="W1210" s="172"/>
      <c r="X1210" s="172"/>
      <c r="Y1210" s="172"/>
      <c r="Z1210" s="172"/>
    </row>
    <row r="1211" spans="1:26" ht="18.75">
      <c r="A1211" s="172"/>
      <c r="B1211" s="172"/>
      <c r="C1211" s="172"/>
      <c r="D1211" s="172"/>
      <c r="E1211" s="172"/>
      <c r="F1211" s="172"/>
      <c r="G1211" s="172"/>
      <c r="H1211" s="172"/>
      <c r="I1211" s="172"/>
      <c r="J1211" s="172"/>
      <c r="K1211" s="172"/>
      <c r="L1211" s="172"/>
      <c r="M1211" s="172"/>
      <c r="N1211" s="172"/>
      <c r="O1211" s="172"/>
      <c r="P1211" s="172"/>
      <c r="Q1211" s="172"/>
      <c r="R1211" s="172"/>
      <c r="S1211" s="172"/>
      <c r="T1211" s="172"/>
      <c r="U1211" s="172"/>
      <c r="V1211" s="172"/>
      <c r="W1211" s="172"/>
      <c r="X1211" s="172"/>
      <c r="Y1211" s="172"/>
      <c r="Z1211" s="172"/>
    </row>
    <row r="1212" spans="1:26" ht="18.75">
      <c r="A1212" s="172"/>
      <c r="B1212" s="172"/>
      <c r="C1212" s="172"/>
      <c r="D1212" s="172"/>
      <c r="E1212" s="172"/>
      <c r="F1212" s="172"/>
      <c r="G1212" s="172"/>
      <c r="H1212" s="172"/>
      <c r="I1212" s="172"/>
      <c r="J1212" s="172"/>
      <c r="K1212" s="172"/>
      <c r="L1212" s="172"/>
      <c r="M1212" s="172"/>
      <c r="N1212" s="172"/>
      <c r="O1212" s="172"/>
      <c r="P1212" s="172"/>
      <c r="Q1212" s="172"/>
      <c r="R1212" s="172"/>
      <c r="S1212" s="172"/>
      <c r="T1212" s="172"/>
      <c r="U1212" s="172"/>
      <c r="V1212" s="172"/>
      <c r="W1212" s="172"/>
      <c r="X1212" s="172"/>
      <c r="Y1212" s="172"/>
      <c r="Z1212" s="172"/>
    </row>
    <row r="1213" spans="1:26" ht="18.75">
      <c r="A1213" s="172"/>
      <c r="B1213" s="172"/>
      <c r="C1213" s="172"/>
      <c r="D1213" s="172"/>
      <c r="E1213" s="172"/>
      <c r="F1213" s="172"/>
      <c r="G1213" s="172"/>
      <c r="H1213" s="172"/>
      <c r="I1213" s="172"/>
      <c r="J1213" s="172"/>
      <c r="K1213" s="172"/>
      <c r="L1213" s="172"/>
      <c r="M1213" s="172"/>
      <c r="N1213" s="172"/>
      <c r="O1213" s="172"/>
      <c r="P1213" s="172"/>
      <c r="Q1213" s="172"/>
      <c r="R1213" s="172"/>
      <c r="S1213" s="172"/>
      <c r="T1213" s="172"/>
      <c r="U1213" s="172"/>
      <c r="V1213" s="172"/>
      <c r="W1213" s="172"/>
      <c r="X1213" s="172"/>
      <c r="Y1213" s="172"/>
      <c r="Z1213" s="172"/>
    </row>
    <row r="1214" spans="1:26" ht="18.75">
      <c r="A1214" s="172"/>
      <c r="B1214" s="172"/>
      <c r="C1214" s="172"/>
      <c r="D1214" s="172"/>
      <c r="E1214" s="172"/>
      <c r="F1214" s="172"/>
      <c r="G1214" s="172"/>
      <c r="H1214" s="172"/>
      <c r="I1214" s="172"/>
      <c r="J1214" s="172"/>
      <c r="K1214" s="172"/>
      <c r="L1214" s="172"/>
      <c r="M1214" s="172"/>
      <c r="N1214" s="172"/>
      <c r="O1214" s="172"/>
      <c r="P1214" s="172"/>
      <c r="Q1214" s="172"/>
      <c r="R1214" s="172"/>
      <c r="S1214" s="172"/>
      <c r="T1214" s="172"/>
      <c r="U1214" s="172"/>
      <c r="V1214" s="172"/>
      <c r="W1214" s="172"/>
      <c r="X1214" s="172"/>
      <c r="Y1214" s="172"/>
      <c r="Z1214" s="172"/>
    </row>
    <row r="1215" spans="1:26" ht="18.75">
      <c r="A1215" s="172"/>
      <c r="B1215" s="172"/>
      <c r="C1215" s="172"/>
      <c r="D1215" s="172"/>
      <c r="E1215" s="172"/>
      <c r="F1215" s="172"/>
      <c r="G1215" s="172"/>
      <c r="H1215" s="172"/>
      <c r="I1215" s="172"/>
      <c r="J1215" s="172"/>
      <c r="K1215" s="172"/>
      <c r="L1215" s="172"/>
      <c r="M1215" s="172"/>
      <c r="N1215" s="172"/>
      <c r="O1215" s="172"/>
      <c r="P1215" s="172"/>
      <c r="Q1215" s="172"/>
      <c r="R1215" s="172"/>
      <c r="S1215" s="172"/>
      <c r="T1215" s="172"/>
      <c r="U1215" s="172"/>
      <c r="V1215" s="172"/>
      <c r="W1215" s="172"/>
      <c r="X1215" s="172"/>
      <c r="Y1215" s="172"/>
      <c r="Z1215" s="172"/>
    </row>
    <row r="1216" spans="1:26" ht="18.75">
      <c r="A1216" s="172"/>
      <c r="B1216" s="172"/>
      <c r="C1216" s="172"/>
      <c r="D1216" s="172"/>
      <c r="E1216" s="172"/>
      <c r="F1216" s="172"/>
      <c r="G1216" s="172"/>
      <c r="H1216" s="172"/>
      <c r="I1216" s="172"/>
      <c r="J1216" s="172"/>
      <c r="K1216" s="172"/>
      <c r="L1216" s="172"/>
      <c r="M1216" s="172"/>
      <c r="N1216" s="172"/>
      <c r="O1216" s="172"/>
      <c r="P1216" s="172"/>
      <c r="Q1216" s="172"/>
      <c r="R1216" s="172"/>
      <c r="S1216" s="172"/>
      <c r="T1216" s="172"/>
      <c r="U1216" s="172"/>
      <c r="V1216" s="172"/>
      <c r="W1216" s="172"/>
      <c r="X1216" s="172"/>
      <c r="Y1216" s="172"/>
      <c r="Z1216" s="172"/>
    </row>
    <row r="1217" spans="1:26" ht="18.75">
      <c r="A1217" s="172"/>
      <c r="B1217" s="172"/>
      <c r="C1217" s="172"/>
      <c r="D1217" s="172"/>
      <c r="E1217" s="172"/>
      <c r="F1217" s="172"/>
      <c r="G1217" s="172"/>
      <c r="H1217" s="172"/>
      <c r="I1217" s="172"/>
      <c r="J1217" s="172"/>
      <c r="K1217" s="172"/>
      <c r="L1217" s="172"/>
      <c r="M1217" s="172"/>
      <c r="N1217" s="172"/>
      <c r="O1217" s="172"/>
      <c r="P1217" s="172"/>
      <c r="Q1217" s="172"/>
      <c r="R1217" s="172"/>
      <c r="S1217" s="172"/>
      <c r="T1217" s="172"/>
      <c r="U1217" s="172"/>
      <c r="V1217" s="172"/>
      <c r="W1217" s="172"/>
      <c r="X1217" s="172"/>
      <c r="Y1217" s="172"/>
      <c r="Z1217" s="172"/>
    </row>
    <row r="1218" spans="1:26" ht="18.75">
      <c r="A1218" s="172"/>
      <c r="B1218" s="172"/>
      <c r="C1218" s="172"/>
      <c r="D1218" s="172"/>
      <c r="E1218" s="172"/>
      <c r="F1218" s="172"/>
      <c r="G1218" s="172"/>
      <c r="H1218" s="172"/>
      <c r="I1218" s="172"/>
      <c r="J1218" s="172"/>
      <c r="K1218" s="172"/>
      <c r="L1218" s="172"/>
      <c r="M1218" s="172"/>
      <c r="N1218" s="172"/>
      <c r="O1218" s="172"/>
      <c r="P1218" s="172"/>
      <c r="Q1218" s="172"/>
      <c r="R1218" s="172"/>
      <c r="S1218" s="172"/>
      <c r="T1218" s="172"/>
      <c r="U1218" s="172"/>
      <c r="V1218" s="172"/>
      <c r="W1218" s="172"/>
      <c r="X1218" s="172"/>
      <c r="Y1218" s="172"/>
      <c r="Z1218" s="172"/>
    </row>
    <row r="1219" spans="1:26" ht="18.75">
      <c r="A1219" s="172"/>
      <c r="B1219" s="172"/>
      <c r="C1219" s="172"/>
      <c r="D1219" s="172"/>
      <c r="E1219" s="172"/>
      <c r="F1219" s="172"/>
      <c r="G1219" s="172"/>
      <c r="H1219" s="172"/>
      <c r="I1219" s="172"/>
      <c r="J1219" s="172"/>
      <c r="K1219" s="172"/>
      <c r="L1219" s="172"/>
      <c r="M1219" s="172"/>
      <c r="N1219" s="172"/>
      <c r="O1219" s="172"/>
      <c r="P1219" s="172"/>
      <c r="Q1219" s="172"/>
      <c r="R1219" s="172"/>
      <c r="S1219" s="172"/>
      <c r="T1219" s="172"/>
      <c r="U1219" s="172"/>
      <c r="V1219" s="172"/>
      <c r="W1219" s="172"/>
      <c r="X1219" s="172"/>
      <c r="Y1219" s="172"/>
      <c r="Z1219" s="172"/>
    </row>
    <row r="1220" spans="1:26" ht="18.75">
      <c r="A1220" s="172"/>
      <c r="B1220" s="172"/>
      <c r="C1220" s="172"/>
      <c r="D1220" s="172"/>
      <c r="E1220" s="172"/>
      <c r="F1220" s="172"/>
      <c r="G1220" s="172"/>
      <c r="H1220" s="172"/>
      <c r="I1220" s="172"/>
      <c r="J1220" s="172"/>
      <c r="K1220" s="172"/>
      <c r="L1220" s="172"/>
      <c r="M1220" s="172"/>
      <c r="N1220" s="172"/>
      <c r="O1220" s="172"/>
      <c r="P1220" s="172"/>
      <c r="Q1220" s="172"/>
      <c r="R1220" s="172"/>
      <c r="S1220" s="172"/>
      <c r="T1220" s="172"/>
      <c r="U1220" s="172"/>
      <c r="V1220" s="172"/>
      <c r="W1220" s="172"/>
      <c r="X1220" s="172"/>
      <c r="Y1220" s="172"/>
      <c r="Z1220" s="172"/>
    </row>
    <row r="1221" spans="1:26" ht="18.75">
      <c r="A1221" s="172"/>
      <c r="B1221" s="172"/>
      <c r="C1221" s="172"/>
      <c r="D1221" s="172"/>
      <c r="E1221" s="172"/>
      <c r="F1221" s="172"/>
      <c r="G1221" s="172"/>
      <c r="H1221" s="172"/>
      <c r="I1221" s="172"/>
      <c r="J1221" s="172"/>
      <c r="K1221" s="172"/>
      <c r="L1221" s="172"/>
      <c r="M1221" s="172"/>
      <c r="N1221" s="172"/>
      <c r="O1221" s="172"/>
      <c r="P1221" s="172"/>
      <c r="Q1221" s="172"/>
      <c r="R1221" s="172"/>
      <c r="S1221" s="172"/>
      <c r="T1221" s="172"/>
      <c r="U1221" s="172"/>
      <c r="V1221" s="172"/>
      <c r="W1221" s="172"/>
      <c r="X1221" s="172"/>
      <c r="Y1221" s="172"/>
      <c r="Z1221" s="172"/>
    </row>
    <row r="1222" spans="1:26" ht="18.75">
      <c r="A1222" s="172"/>
      <c r="B1222" s="172"/>
      <c r="C1222" s="172"/>
      <c r="D1222" s="172"/>
      <c r="E1222" s="172"/>
      <c r="F1222" s="172"/>
      <c r="G1222" s="172"/>
      <c r="H1222" s="172"/>
      <c r="I1222" s="172"/>
      <c r="J1222" s="172"/>
      <c r="K1222" s="172"/>
      <c r="L1222" s="172"/>
      <c r="M1222" s="172"/>
      <c r="N1222" s="172"/>
      <c r="O1222" s="172"/>
      <c r="P1222" s="172"/>
      <c r="Q1222" s="172"/>
      <c r="R1222" s="172"/>
      <c r="S1222" s="172"/>
      <c r="T1222" s="172"/>
      <c r="U1222" s="172"/>
      <c r="V1222" s="172"/>
      <c r="W1222" s="172"/>
      <c r="X1222" s="172"/>
      <c r="Y1222" s="172"/>
      <c r="Z1222" s="172"/>
    </row>
    <row r="1223" spans="1:26" ht="18.75">
      <c r="A1223" s="172"/>
      <c r="B1223" s="172"/>
      <c r="C1223" s="172"/>
      <c r="D1223" s="172"/>
      <c r="E1223" s="172"/>
      <c r="F1223" s="172"/>
      <c r="G1223" s="172"/>
      <c r="H1223" s="172"/>
      <c r="I1223" s="172"/>
      <c r="J1223" s="172"/>
      <c r="K1223" s="172"/>
      <c r="L1223" s="172"/>
      <c r="M1223" s="172"/>
      <c r="N1223" s="172"/>
      <c r="O1223" s="172"/>
      <c r="P1223" s="172"/>
      <c r="Q1223" s="172"/>
      <c r="R1223" s="172"/>
      <c r="S1223" s="172"/>
      <c r="T1223" s="172"/>
      <c r="U1223" s="172"/>
      <c r="V1223" s="172"/>
      <c r="W1223" s="172"/>
      <c r="X1223" s="172"/>
      <c r="Y1223" s="172"/>
      <c r="Z1223" s="172"/>
    </row>
    <row r="1224" spans="1:26" ht="18.75">
      <c r="A1224" s="172"/>
      <c r="B1224" s="172"/>
      <c r="C1224" s="172"/>
      <c r="D1224" s="172"/>
      <c r="E1224" s="172"/>
      <c r="F1224" s="172"/>
      <c r="G1224" s="172"/>
      <c r="H1224" s="172"/>
      <c r="I1224" s="172"/>
      <c r="J1224" s="172"/>
      <c r="K1224" s="172"/>
      <c r="L1224" s="172"/>
      <c r="M1224" s="172"/>
      <c r="N1224" s="172"/>
      <c r="O1224" s="172"/>
      <c r="P1224" s="172"/>
      <c r="Q1224" s="172"/>
      <c r="R1224" s="172"/>
      <c r="S1224" s="172"/>
      <c r="T1224" s="172"/>
      <c r="U1224" s="172"/>
      <c r="V1224" s="172"/>
      <c r="W1224" s="172"/>
      <c r="X1224" s="172"/>
      <c r="Y1224" s="172"/>
      <c r="Z1224" s="172"/>
    </row>
    <row r="1225" spans="1:26" ht="18.75">
      <c r="A1225" s="172"/>
      <c r="B1225" s="172"/>
      <c r="C1225" s="172"/>
      <c r="D1225" s="172"/>
      <c r="E1225" s="172"/>
      <c r="F1225" s="172"/>
      <c r="G1225" s="172"/>
      <c r="H1225" s="172"/>
      <c r="I1225" s="172"/>
      <c r="J1225" s="172"/>
      <c r="K1225" s="172"/>
      <c r="L1225" s="172"/>
      <c r="M1225" s="172"/>
      <c r="N1225" s="172"/>
      <c r="O1225" s="172"/>
      <c r="P1225" s="172"/>
      <c r="Q1225" s="172"/>
      <c r="R1225" s="172"/>
      <c r="S1225" s="172"/>
      <c r="T1225" s="172"/>
      <c r="U1225" s="172"/>
      <c r="V1225" s="172"/>
      <c r="W1225" s="172"/>
      <c r="X1225" s="172"/>
      <c r="Y1225" s="172"/>
      <c r="Z1225" s="172"/>
    </row>
    <row r="1226" spans="1:26" ht="18.75">
      <c r="A1226" s="172"/>
      <c r="B1226" s="172"/>
      <c r="C1226" s="172"/>
      <c r="D1226" s="172"/>
      <c r="E1226" s="172"/>
      <c r="F1226" s="172"/>
      <c r="G1226" s="172"/>
      <c r="H1226" s="172"/>
      <c r="I1226" s="172"/>
      <c r="J1226" s="172"/>
      <c r="K1226" s="172"/>
      <c r="L1226" s="172"/>
      <c r="M1226" s="172"/>
      <c r="N1226" s="172"/>
      <c r="O1226" s="172"/>
      <c r="P1226" s="172"/>
      <c r="Q1226" s="172"/>
      <c r="R1226" s="172"/>
      <c r="S1226" s="172"/>
      <c r="T1226" s="172"/>
      <c r="U1226" s="172"/>
      <c r="V1226" s="172"/>
      <c r="W1226" s="172"/>
      <c r="X1226" s="172"/>
      <c r="Y1226" s="172"/>
      <c r="Z1226" s="172"/>
    </row>
    <row r="1227" spans="1:26" ht="18.75">
      <c r="A1227" s="172"/>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row>
    <row r="1228" spans="1:26" ht="18.75">
      <c r="A1228" s="172"/>
      <c r="B1228" s="172"/>
      <c r="C1228" s="172"/>
      <c r="D1228" s="172"/>
      <c r="E1228" s="172"/>
      <c r="F1228" s="172"/>
      <c r="G1228" s="172"/>
      <c r="H1228" s="172"/>
      <c r="I1228" s="172"/>
      <c r="J1228" s="172"/>
      <c r="K1228" s="172"/>
      <c r="L1228" s="172"/>
      <c r="M1228" s="172"/>
      <c r="N1228" s="172"/>
      <c r="O1228" s="172"/>
      <c r="P1228" s="172"/>
      <c r="Q1228" s="172"/>
      <c r="R1228" s="172"/>
      <c r="S1228" s="172"/>
      <c r="T1228" s="172"/>
      <c r="U1228" s="172"/>
      <c r="V1228" s="172"/>
      <c r="W1228" s="172"/>
      <c r="X1228" s="172"/>
      <c r="Y1228" s="172"/>
      <c r="Z1228" s="172"/>
    </row>
    <row r="1229" spans="1:26" ht="18.75">
      <c r="A1229" s="172"/>
      <c r="B1229" s="172"/>
      <c r="C1229" s="172"/>
      <c r="D1229" s="172"/>
      <c r="E1229" s="172"/>
      <c r="F1229" s="172"/>
      <c r="G1229" s="172"/>
      <c r="H1229" s="172"/>
      <c r="I1229" s="172"/>
      <c r="J1229" s="172"/>
      <c r="K1229" s="172"/>
      <c r="L1229" s="172"/>
      <c r="M1229" s="172"/>
      <c r="N1229" s="172"/>
      <c r="O1229" s="172"/>
      <c r="P1229" s="172"/>
      <c r="Q1229" s="172"/>
      <c r="R1229" s="172"/>
      <c r="S1229" s="172"/>
      <c r="T1229" s="172"/>
      <c r="U1229" s="172"/>
      <c r="V1229" s="172"/>
      <c r="W1229" s="172"/>
      <c r="X1229" s="172"/>
      <c r="Y1229" s="172"/>
      <c r="Z1229" s="172"/>
    </row>
    <row r="1230" spans="1:26" ht="18.75">
      <c r="A1230" s="172"/>
      <c r="B1230" s="172"/>
      <c r="C1230" s="172"/>
      <c r="D1230" s="172"/>
      <c r="E1230" s="172"/>
      <c r="F1230" s="172"/>
      <c r="G1230" s="172"/>
      <c r="H1230" s="172"/>
      <c r="I1230" s="172"/>
      <c r="J1230" s="172"/>
      <c r="K1230" s="172"/>
      <c r="L1230" s="172"/>
      <c r="M1230" s="172"/>
      <c r="N1230" s="172"/>
      <c r="O1230" s="172"/>
      <c r="P1230" s="172"/>
      <c r="Q1230" s="172"/>
      <c r="R1230" s="172"/>
      <c r="S1230" s="172"/>
      <c r="T1230" s="172"/>
      <c r="U1230" s="172"/>
      <c r="V1230" s="172"/>
      <c r="W1230" s="172"/>
      <c r="X1230" s="172"/>
      <c r="Y1230" s="172"/>
      <c r="Z1230" s="172"/>
    </row>
    <row r="1231" spans="1:26" ht="18.75">
      <c r="A1231" s="172"/>
      <c r="B1231" s="172"/>
      <c r="C1231" s="172"/>
      <c r="D1231" s="172"/>
      <c r="E1231" s="172"/>
      <c r="F1231" s="172"/>
      <c r="G1231" s="172"/>
      <c r="H1231" s="172"/>
      <c r="I1231" s="172"/>
      <c r="J1231" s="172"/>
      <c r="K1231" s="172"/>
      <c r="L1231" s="172"/>
      <c r="M1231" s="172"/>
      <c r="N1231" s="172"/>
      <c r="O1231" s="172"/>
      <c r="P1231" s="172"/>
      <c r="Q1231" s="172"/>
      <c r="R1231" s="172"/>
      <c r="S1231" s="172"/>
      <c r="T1231" s="172"/>
      <c r="U1231" s="172"/>
      <c r="V1231" s="172"/>
      <c r="W1231" s="172"/>
      <c r="X1231" s="172"/>
      <c r="Y1231" s="172"/>
      <c r="Z1231" s="172"/>
    </row>
    <row r="1232" spans="1:26" ht="18.75">
      <c r="A1232" s="172"/>
      <c r="B1232" s="172"/>
      <c r="C1232" s="172"/>
      <c r="D1232" s="172"/>
      <c r="E1232" s="172"/>
      <c r="F1232" s="172"/>
      <c r="G1232" s="172"/>
      <c r="H1232" s="172"/>
      <c r="I1232" s="172"/>
      <c r="J1232" s="172"/>
      <c r="K1232" s="172"/>
      <c r="L1232" s="172"/>
      <c r="M1232" s="172"/>
      <c r="N1232" s="172"/>
      <c r="O1232" s="172"/>
      <c r="P1232" s="172"/>
      <c r="Q1232" s="172"/>
      <c r="R1232" s="172"/>
      <c r="S1232" s="172"/>
      <c r="T1232" s="172"/>
      <c r="U1232" s="172"/>
      <c r="V1232" s="172"/>
      <c r="W1232" s="172"/>
      <c r="X1232" s="172"/>
      <c r="Y1232" s="172"/>
      <c r="Z1232" s="172"/>
    </row>
    <row r="1233" spans="1:26" ht="18.75">
      <c r="A1233" s="172"/>
      <c r="B1233" s="172"/>
      <c r="C1233" s="172"/>
      <c r="D1233" s="172"/>
      <c r="E1233" s="172"/>
      <c r="F1233" s="172"/>
      <c r="G1233" s="172"/>
      <c r="H1233" s="172"/>
      <c r="I1233" s="172"/>
      <c r="J1233" s="172"/>
      <c r="K1233" s="172"/>
      <c r="L1233" s="172"/>
      <c r="M1233" s="172"/>
      <c r="N1233" s="172"/>
      <c r="O1233" s="172"/>
      <c r="P1233" s="172"/>
      <c r="Q1233" s="172"/>
      <c r="R1233" s="172"/>
      <c r="S1233" s="172"/>
      <c r="T1233" s="172"/>
      <c r="U1233" s="172"/>
      <c r="V1233" s="172"/>
      <c r="W1233" s="172"/>
      <c r="X1233" s="172"/>
      <c r="Y1233" s="172"/>
      <c r="Z1233" s="172"/>
    </row>
    <row r="1234" spans="1:26" ht="18.75">
      <c r="A1234" s="172"/>
      <c r="B1234" s="172"/>
      <c r="C1234" s="172"/>
      <c r="D1234" s="172"/>
      <c r="E1234" s="172"/>
      <c r="F1234" s="172"/>
      <c r="G1234" s="172"/>
      <c r="H1234" s="172"/>
      <c r="I1234" s="172"/>
      <c r="J1234" s="172"/>
      <c r="K1234" s="172"/>
      <c r="L1234" s="172"/>
      <c r="M1234" s="172"/>
      <c r="N1234" s="172"/>
      <c r="O1234" s="172"/>
      <c r="P1234" s="172"/>
      <c r="Q1234" s="172"/>
      <c r="R1234" s="172"/>
      <c r="S1234" s="172"/>
      <c r="T1234" s="172"/>
      <c r="U1234" s="172"/>
      <c r="V1234" s="172"/>
      <c r="W1234" s="172"/>
      <c r="X1234" s="172"/>
      <c r="Y1234" s="172"/>
      <c r="Z1234" s="172"/>
    </row>
    <row r="1235" spans="1:26" ht="18.75">
      <c r="A1235" s="172"/>
      <c r="B1235" s="172"/>
      <c r="C1235" s="172"/>
      <c r="D1235" s="172"/>
      <c r="E1235" s="172"/>
      <c r="F1235" s="172"/>
      <c r="G1235" s="172"/>
      <c r="H1235" s="172"/>
      <c r="I1235" s="172"/>
      <c r="J1235" s="172"/>
      <c r="K1235" s="172"/>
      <c r="L1235" s="172"/>
      <c r="M1235" s="172"/>
      <c r="N1235" s="172"/>
      <c r="O1235" s="172"/>
      <c r="P1235" s="172"/>
      <c r="Q1235" s="172"/>
      <c r="R1235" s="172"/>
      <c r="S1235" s="172"/>
      <c r="T1235" s="172"/>
      <c r="U1235" s="172"/>
      <c r="V1235" s="172"/>
      <c r="W1235" s="172"/>
      <c r="X1235" s="172"/>
      <c r="Y1235" s="172"/>
      <c r="Z1235" s="172"/>
    </row>
    <row r="1236" spans="1:26" ht="18.75">
      <c r="A1236" s="172"/>
      <c r="B1236" s="172"/>
      <c r="C1236" s="172"/>
      <c r="D1236" s="172"/>
      <c r="E1236" s="172"/>
      <c r="F1236" s="172"/>
      <c r="G1236" s="172"/>
      <c r="H1236" s="172"/>
      <c r="I1236" s="172"/>
      <c r="J1236" s="172"/>
      <c r="K1236" s="172"/>
      <c r="L1236" s="172"/>
      <c r="M1236" s="172"/>
      <c r="N1236" s="172"/>
      <c r="O1236" s="172"/>
      <c r="P1236" s="172"/>
      <c r="Q1236" s="172"/>
      <c r="R1236" s="172"/>
      <c r="S1236" s="172"/>
      <c r="T1236" s="172"/>
      <c r="U1236" s="172"/>
      <c r="V1236" s="172"/>
      <c r="W1236" s="172"/>
      <c r="X1236" s="172"/>
      <c r="Y1236" s="172"/>
      <c r="Z1236" s="172"/>
    </row>
    <row r="1237" spans="1:26" ht="18.75">
      <c r="A1237" s="172"/>
      <c r="B1237" s="172"/>
      <c r="C1237" s="172"/>
      <c r="D1237" s="172"/>
      <c r="E1237" s="172"/>
      <c r="F1237" s="172"/>
      <c r="G1237" s="172"/>
      <c r="H1237" s="172"/>
      <c r="I1237" s="172"/>
      <c r="J1237" s="172"/>
      <c r="K1237" s="172"/>
      <c r="L1237" s="172"/>
      <c r="M1237" s="172"/>
      <c r="N1237" s="172"/>
      <c r="O1237" s="172"/>
      <c r="P1237" s="172"/>
      <c r="Q1237" s="172"/>
      <c r="R1237" s="172"/>
      <c r="S1237" s="172"/>
      <c r="T1237" s="172"/>
      <c r="U1237" s="172"/>
      <c r="V1237" s="172"/>
      <c r="W1237" s="172"/>
      <c r="X1237" s="172"/>
      <c r="Y1237" s="172"/>
      <c r="Z1237" s="172"/>
    </row>
    <row r="1238" spans="1:26" ht="18.75">
      <c r="A1238" s="172"/>
      <c r="B1238" s="172"/>
      <c r="C1238" s="172"/>
      <c r="D1238" s="172"/>
      <c r="E1238" s="172"/>
      <c r="F1238" s="172"/>
      <c r="G1238" s="172"/>
      <c r="H1238" s="172"/>
      <c r="I1238" s="172"/>
      <c r="J1238" s="172"/>
      <c r="K1238" s="172"/>
      <c r="L1238" s="172"/>
      <c r="M1238" s="172"/>
      <c r="N1238" s="172"/>
      <c r="O1238" s="172"/>
      <c r="P1238" s="172"/>
      <c r="Q1238" s="172"/>
      <c r="R1238" s="172"/>
      <c r="S1238" s="172"/>
      <c r="T1238" s="172"/>
      <c r="U1238" s="172"/>
      <c r="V1238" s="172"/>
      <c r="W1238" s="172"/>
      <c r="X1238" s="172"/>
      <c r="Y1238" s="172"/>
      <c r="Z1238" s="172"/>
    </row>
    <row r="1239" spans="1:26" ht="18.75">
      <c r="A1239" s="172"/>
      <c r="B1239" s="172"/>
      <c r="C1239" s="172"/>
      <c r="D1239" s="172"/>
      <c r="E1239" s="172"/>
      <c r="F1239" s="172"/>
      <c r="G1239" s="172"/>
      <c r="H1239" s="172"/>
      <c r="I1239" s="172"/>
      <c r="J1239" s="172"/>
      <c r="K1239" s="172"/>
      <c r="L1239" s="172"/>
      <c r="M1239" s="172"/>
      <c r="N1239" s="172"/>
      <c r="O1239" s="172"/>
      <c r="P1239" s="172"/>
      <c r="Q1239" s="172"/>
      <c r="R1239" s="172"/>
      <c r="S1239" s="172"/>
      <c r="T1239" s="172"/>
      <c r="U1239" s="172"/>
      <c r="V1239" s="172"/>
      <c r="W1239" s="172"/>
      <c r="X1239" s="172"/>
      <c r="Y1239" s="172"/>
      <c r="Z1239" s="172"/>
    </row>
    <row r="1240" spans="1:26" ht="18.75">
      <c r="A1240" s="172"/>
      <c r="B1240" s="172"/>
      <c r="C1240" s="172"/>
      <c r="D1240" s="172"/>
      <c r="E1240" s="172"/>
      <c r="F1240" s="172"/>
      <c r="G1240" s="172"/>
      <c r="H1240" s="172"/>
      <c r="I1240" s="172"/>
      <c r="J1240" s="172"/>
      <c r="K1240" s="172"/>
      <c r="L1240" s="172"/>
      <c r="M1240" s="172"/>
      <c r="N1240" s="172"/>
      <c r="O1240" s="172"/>
      <c r="P1240" s="172"/>
      <c r="Q1240" s="172"/>
      <c r="R1240" s="172"/>
      <c r="S1240" s="172"/>
      <c r="T1240" s="172"/>
      <c r="U1240" s="172"/>
      <c r="V1240" s="172"/>
      <c r="W1240" s="172"/>
      <c r="X1240" s="172"/>
      <c r="Y1240" s="172"/>
      <c r="Z1240" s="172"/>
    </row>
    <row r="1241" spans="1:26" ht="18.75">
      <c r="A1241" s="172"/>
      <c r="B1241" s="172"/>
      <c r="C1241" s="172"/>
      <c r="D1241" s="172"/>
      <c r="E1241" s="172"/>
      <c r="F1241" s="172"/>
      <c r="G1241" s="172"/>
      <c r="H1241" s="172"/>
      <c r="I1241" s="172"/>
      <c r="J1241" s="172"/>
      <c r="K1241" s="172"/>
      <c r="L1241" s="172"/>
      <c r="M1241" s="172"/>
      <c r="N1241" s="172"/>
      <c r="O1241" s="172"/>
      <c r="P1241" s="172"/>
      <c r="Q1241" s="172"/>
      <c r="R1241" s="172"/>
      <c r="S1241" s="172"/>
      <c r="T1241" s="172"/>
      <c r="U1241" s="172"/>
      <c r="V1241" s="172"/>
      <c r="W1241" s="172"/>
      <c r="X1241" s="172"/>
      <c r="Y1241" s="172"/>
      <c r="Z1241" s="172"/>
    </row>
    <row r="1242" spans="1:26" ht="18.75">
      <c r="A1242" s="172"/>
      <c r="B1242" s="172"/>
      <c r="C1242" s="172"/>
      <c r="D1242" s="172"/>
      <c r="E1242" s="172"/>
      <c r="F1242" s="172"/>
      <c r="G1242" s="172"/>
      <c r="H1242" s="172"/>
      <c r="I1242" s="172"/>
      <c r="J1242" s="172"/>
      <c r="K1242" s="172"/>
      <c r="L1242" s="172"/>
      <c r="M1242" s="172"/>
      <c r="N1242" s="172"/>
      <c r="O1242" s="172"/>
      <c r="P1242" s="172"/>
      <c r="Q1242" s="172"/>
      <c r="R1242" s="172"/>
      <c r="S1242" s="172"/>
      <c r="T1242" s="172"/>
      <c r="U1242" s="172"/>
      <c r="V1242" s="172"/>
      <c r="W1242" s="172"/>
      <c r="X1242" s="172"/>
      <c r="Y1242" s="172"/>
      <c r="Z1242" s="172"/>
    </row>
    <row r="1243" spans="1:26" ht="18.75">
      <c r="A1243" s="172"/>
      <c r="B1243" s="172"/>
      <c r="C1243" s="172"/>
      <c r="D1243" s="172"/>
      <c r="E1243" s="172"/>
      <c r="F1243" s="172"/>
      <c r="G1243" s="172"/>
      <c r="H1243" s="172"/>
      <c r="I1243" s="172"/>
      <c r="J1243" s="172"/>
      <c r="K1243" s="172"/>
      <c r="L1243" s="172"/>
      <c r="M1243" s="172"/>
      <c r="N1243" s="172"/>
      <c r="O1243" s="172"/>
      <c r="P1243" s="172"/>
      <c r="Q1243" s="172"/>
      <c r="R1243" s="172"/>
      <c r="S1243" s="172"/>
      <c r="T1243" s="172"/>
      <c r="U1243" s="172"/>
      <c r="V1243" s="172"/>
      <c r="W1243" s="172"/>
      <c r="X1243" s="172"/>
      <c r="Y1243" s="172"/>
      <c r="Z1243" s="172"/>
    </row>
    <row r="1244" spans="1:26" ht="18.75">
      <c r="A1244" s="172"/>
      <c r="B1244" s="172"/>
      <c r="C1244" s="172"/>
      <c r="D1244" s="172"/>
      <c r="E1244" s="172"/>
      <c r="F1244" s="172"/>
      <c r="G1244" s="172"/>
      <c r="H1244" s="172"/>
      <c r="I1244" s="172"/>
      <c r="J1244" s="172"/>
      <c r="K1244" s="172"/>
      <c r="L1244" s="172"/>
      <c r="M1244" s="172"/>
      <c r="N1244" s="172"/>
      <c r="O1244" s="172"/>
      <c r="P1244" s="172"/>
      <c r="Q1244" s="172"/>
      <c r="R1244" s="172"/>
      <c r="S1244" s="172"/>
      <c r="T1244" s="172"/>
      <c r="U1244" s="172"/>
      <c r="V1244" s="172"/>
      <c r="W1244" s="172"/>
      <c r="X1244" s="172"/>
      <c r="Y1244" s="172"/>
      <c r="Z1244" s="172"/>
    </row>
    <row r="1245" spans="1:26" ht="18.75">
      <c r="A1245" s="172"/>
      <c r="B1245" s="172"/>
      <c r="C1245" s="172"/>
      <c r="D1245" s="172"/>
      <c r="E1245" s="172"/>
      <c r="F1245" s="172"/>
      <c r="G1245" s="172"/>
      <c r="H1245" s="172"/>
      <c r="I1245" s="172"/>
      <c r="J1245" s="172"/>
      <c r="K1245" s="172"/>
      <c r="L1245" s="172"/>
      <c r="M1245" s="172"/>
      <c r="N1245" s="172"/>
      <c r="O1245" s="172"/>
      <c r="P1245" s="172"/>
      <c r="Q1245" s="172"/>
      <c r="R1245" s="172"/>
      <c r="S1245" s="172"/>
      <c r="T1245" s="172"/>
      <c r="U1245" s="172"/>
      <c r="V1245" s="172"/>
      <c r="W1245" s="172"/>
      <c r="X1245" s="172"/>
      <c r="Y1245" s="172"/>
      <c r="Z1245" s="172"/>
    </row>
    <row r="1246" spans="1:26" ht="18.75">
      <c r="A1246" s="172"/>
      <c r="B1246" s="172"/>
      <c r="C1246" s="172"/>
      <c r="D1246" s="172"/>
      <c r="E1246" s="172"/>
      <c r="F1246" s="172"/>
      <c r="G1246" s="172"/>
      <c r="H1246" s="172"/>
      <c r="I1246" s="172"/>
      <c r="J1246" s="172"/>
      <c r="K1246" s="172"/>
      <c r="L1246" s="172"/>
      <c r="M1246" s="172"/>
      <c r="N1246" s="172"/>
      <c r="O1246" s="172"/>
      <c r="P1246" s="172"/>
      <c r="Q1246" s="172"/>
      <c r="R1246" s="172"/>
      <c r="S1246" s="172"/>
      <c r="T1246" s="172"/>
      <c r="U1246" s="172"/>
      <c r="V1246" s="172"/>
      <c r="W1246" s="172"/>
      <c r="X1246" s="172"/>
      <c r="Y1246" s="172"/>
      <c r="Z1246" s="172"/>
    </row>
    <row r="1247" spans="1:26" ht="18.75">
      <c r="A1247" s="172"/>
      <c r="B1247" s="172"/>
      <c r="C1247" s="172"/>
      <c r="D1247" s="172"/>
      <c r="E1247" s="172"/>
      <c r="F1247" s="172"/>
      <c r="G1247" s="172"/>
      <c r="H1247" s="172"/>
      <c r="I1247" s="172"/>
      <c r="J1247" s="172"/>
      <c r="K1247" s="172"/>
      <c r="L1247" s="172"/>
      <c r="M1247" s="172"/>
      <c r="N1247" s="172"/>
      <c r="O1247" s="172"/>
      <c r="P1247" s="172"/>
      <c r="Q1247" s="172"/>
      <c r="R1247" s="172"/>
      <c r="S1247" s="172"/>
      <c r="T1247" s="172"/>
      <c r="U1247" s="172"/>
      <c r="V1247" s="172"/>
      <c r="W1247" s="172"/>
      <c r="X1247" s="172"/>
      <c r="Y1247" s="172"/>
      <c r="Z1247" s="172"/>
    </row>
    <row r="1248" spans="1:26" ht="18.75">
      <c r="A1248" s="172"/>
      <c r="B1248" s="172"/>
      <c r="C1248" s="172"/>
      <c r="D1248" s="172"/>
      <c r="E1248" s="172"/>
      <c r="F1248" s="172"/>
      <c r="G1248" s="172"/>
      <c r="H1248" s="172"/>
      <c r="I1248" s="172"/>
      <c r="J1248" s="172"/>
      <c r="K1248" s="172"/>
      <c r="L1248" s="172"/>
      <c r="M1248" s="172"/>
      <c r="N1248" s="172"/>
      <c r="O1248" s="172"/>
      <c r="P1248" s="172"/>
      <c r="Q1248" s="172"/>
      <c r="R1248" s="172"/>
      <c r="S1248" s="172"/>
      <c r="T1248" s="172"/>
      <c r="U1248" s="172"/>
      <c r="V1248" s="172"/>
      <c r="W1248" s="172"/>
      <c r="X1248" s="172"/>
      <c r="Y1248" s="172"/>
      <c r="Z1248" s="172"/>
    </row>
    <row r="1249" spans="1:26" ht="18.75">
      <c r="A1249" s="172"/>
      <c r="B1249" s="172"/>
      <c r="C1249" s="172"/>
      <c r="D1249" s="172"/>
      <c r="E1249" s="172"/>
      <c r="F1249" s="172"/>
      <c r="G1249" s="172"/>
      <c r="H1249" s="172"/>
      <c r="I1249" s="172"/>
      <c r="J1249" s="172"/>
      <c r="K1249" s="172"/>
      <c r="L1249" s="172"/>
      <c r="M1249" s="172"/>
      <c r="N1249" s="172"/>
      <c r="O1249" s="172"/>
      <c r="P1249" s="172"/>
      <c r="Q1249" s="172"/>
      <c r="R1249" s="172"/>
      <c r="S1249" s="172"/>
      <c r="T1249" s="172"/>
      <c r="U1249" s="172"/>
      <c r="V1249" s="172"/>
      <c r="W1249" s="172"/>
      <c r="X1249" s="172"/>
      <c r="Y1249" s="172"/>
      <c r="Z1249" s="172"/>
    </row>
    <row r="1250" spans="1:26" ht="18.75">
      <c r="A1250" s="172"/>
      <c r="B1250" s="172"/>
      <c r="C1250" s="172"/>
      <c r="D1250" s="172"/>
      <c r="E1250" s="172"/>
      <c r="F1250" s="172"/>
      <c r="G1250" s="172"/>
      <c r="H1250" s="172"/>
      <c r="I1250" s="172"/>
      <c r="J1250" s="172"/>
      <c r="K1250" s="172"/>
      <c r="L1250" s="172"/>
      <c r="M1250" s="172"/>
      <c r="N1250" s="172"/>
      <c r="O1250" s="172"/>
      <c r="P1250" s="172"/>
      <c r="Q1250" s="172"/>
      <c r="R1250" s="172"/>
      <c r="S1250" s="172"/>
      <c r="T1250" s="172"/>
      <c r="U1250" s="172"/>
      <c r="V1250" s="172"/>
      <c r="W1250" s="172"/>
      <c r="X1250" s="172"/>
      <c r="Y1250" s="172"/>
      <c r="Z1250" s="172"/>
    </row>
    <row r="1251" spans="1:26" ht="18.75">
      <c r="A1251" s="172"/>
      <c r="B1251" s="172"/>
      <c r="C1251" s="172"/>
      <c r="D1251" s="172"/>
      <c r="E1251" s="172"/>
      <c r="F1251" s="172"/>
      <c r="G1251" s="172"/>
      <c r="H1251" s="172"/>
      <c r="I1251" s="172"/>
      <c r="J1251" s="172"/>
      <c r="K1251" s="172"/>
      <c r="L1251" s="172"/>
      <c r="M1251" s="172"/>
      <c r="N1251" s="172"/>
      <c r="O1251" s="172"/>
      <c r="P1251" s="172"/>
      <c r="Q1251" s="172"/>
      <c r="R1251" s="172"/>
      <c r="S1251" s="172"/>
      <c r="T1251" s="172"/>
      <c r="U1251" s="172"/>
      <c r="V1251" s="172"/>
      <c r="W1251" s="172"/>
      <c r="X1251" s="172"/>
      <c r="Y1251" s="172"/>
      <c r="Z1251" s="172"/>
    </row>
    <row r="1252" spans="1:26" ht="18.75">
      <c r="A1252" s="172"/>
      <c r="B1252" s="172"/>
      <c r="C1252" s="172"/>
      <c r="D1252" s="172"/>
      <c r="E1252" s="172"/>
      <c r="F1252" s="172"/>
      <c r="G1252" s="172"/>
      <c r="H1252" s="172"/>
      <c r="I1252" s="172"/>
      <c r="J1252" s="172"/>
      <c r="K1252" s="172"/>
      <c r="L1252" s="172"/>
      <c r="M1252" s="172"/>
      <c r="N1252" s="172"/>
      <c r="O1252" s="172"/>
      <c r="P1252" s="172"/>
      <c r="Q1252" s="172"/>
      <c r="R1252" s="172"/>
      <c r="S1252" s="172"/>
      <c r="T1252" s="172"/>
      <c r="U1252" s="172"/>
      <c r="V1252" s="172"/>
      <c r="W1252" s="172"/>
      <c r="X1252" s="172"/>
      <c r="Y1252" s="172"/>
      <c r="Z1252" s="172"/>
    </row>
    <row r="1253" spans="1:26" ht="18.75">
      <c r="A1253" s="172"/>
      <c r="B1253" s="172"/>
      <c r="C1253" s="172"/>
      <c r="D1253" s="172"/>
      <c r="E1253" s="172"/>
      <c r="F1253" s="172"/>
      <c r="G1253" s="172"/>
      <c r="H1253" s="172"/>
      <c r="I1253" s="172"/>
      <c r="J1253" s="172"/>
      <c r="K1253" s="172"/>
      <c r="L1253" s="172"/>
      <c r="M1253" s="172"/>
      <c r="N1253" s="172"/>
      <c r="O1253" s="172"/>
      <c r="P1253" s="172"/>
      <c r="Q1253" s="172"/>
      <c r="R1253" s="172"/>
      <c r="S1253" s="172"/>
      <c r="T1253" s="172"/>
      <c r="U1253" s="172"/>
      <c r="V1253" s="172"/>
      <c r="W1253" s="172"/>
      <c r="X1253" s="172"/>
      <c r="Y1253" s="172"/>
      <c r="Z1253" s="172"/>
    </row>
    <row r="1254" spans="1:26" ht="18.75">
      <c r="A1254" s="172"/>
      <c r="B1254" s="172"/>
      <c r="C1254" s="172"/>
      <c r="D1254" s="172"/>
      <c r="E1254" s="172"/>
      <c r="F1254" s="172"/>
      <c r="G1254" s="172"/>
      <c r="H1254" s="172"/>
      <c r="I1254" s="172"/>
      <c r="J1254" s="172"/>
      <c r="K1254" s="172"/>
      <c r="L1254" s="172"/>
      <c r="M1254" s="172"/>
      <c r="N1254" s="172"/>
      <c r="O1254" s="172"/>
      <c r="P1254" s="172"/>
      <c r="Q1254" s="172"/>
      <c r="R1254" s="172"/>
      <c r="S1254" s="172"/>
      <c r="T1254" s="172"/>
      <c r="U1254" s="172"/>
      <c r="V1254" s="172"/>
      <c r="W1254" s="172"/>
      <c r="X1254" s="172"/>
      <c r="Y1254" s="172"/>
      <c r="Z1254" s="172"/>
    </row>
    <row r="1255" spans="1:26" ht="18.75">
      <c r="A1255" s="172"/>
      <c r="B1255" s="172"/>
      <c r="C1255" s="172"/>
      <c r="D1255" s="172"/>
      <c r="E1255" s="172"/>
      <c r="F1255" s="172"/>
      <c r="G1255" s="172"/>
      <c r="H1255" s="172"/>
      <c r="I1255" s="172"/>
      <c r="J1255" s="172"/>
      <c r="K1255" s="172"/>
      <c r="L1255" s="172"/>
      <c r="M1255" s="172"/>
      <c r="N1255" s="172"/>
      <c r="O1255" s="172"/>
      <c r="P1255" s="172"/>
      <c r="Q1255" s="172"/>
      <c r="R1255" s="172"/>
      <c r="S1255" s="172"/>
      <c r="T1255" s="172"/>
      <c r="U1255" s="172"/>
      <c r="V1255" s="172"/>
      <c r="W1255" s="172"/>
      <c r="X1255" s="172"/>
      <c r="Y1255" s="172"/>
      <c r="Z1255" s="172"/>
    </row>
    <row r="1256" spans="1:26" ht="18.75">
      <c r="A1256" s="172"/>
      <c r="B1256" s="172"/>
      <c r="C1256" s="172"/>
      <c r="D1256" s="172"/>
      <c r="E1256" s="172"/>
      <c r="F1256" s="172"/>
      <c r="G1256" s="172"/>
      <c r="H1256" s="172"/>
      <c r="I1256" s="172"/>
      <c r="J1256" s="172"/>
      <c r="K1256" s="172"/>
      <c r="L1256" s="172"/>
      <c r="M1256" s="172"/>
      <c r="N1256" s="172"/>
      <c r="O1256" s="172"/>
      <c r="P1256" s="172"/>
      <c r="Q1256" s="172"/>
      <c r="R1256" s="172"/>
      <c r="S1256" s="172"/>
      <c r="T1256" s="172"/>
      <c r="U1256" s="172"/>
      <c r="V1256" s="172"/>
      <c r="W1256" s="172"/>
      <c r="X1256" s="172"/>
      <c r="Y1256" s="172"/>
      <c r="Z1256" s="172"/>
    </row>
    <row r="1257" spans="1:26" ht="18.75">
      <c r="A1257" s="172"/>
      <c r="B1257" s="172"/>
      <c r="C1257" s="172"/>
      <c r="D1257" s="172"/>
      <c r="E1257" s="172"/>
      <c r="F1257" s="172"/>
      <c r="G1257" s="172"/>
      <c r="H1257" s="172"/>
      <c r="I1257" s="172"/>
      <c r="J1257" s="172"/>
      <c r="K1257" s="172"/>
      <c r="L1257" s="172"/>
      <c r="M1257" s="172"/>
      <c r="N1257" s="172"/>
      <c r="O1257" s="172"/>
      <c r="P1257" s="172"/>
      <c r="Q1257" s="172"/>
      <c r="R1257" s="172"/>
      <c r="S1257" s="172"/>
      <c r="T1257" s="172"/>
      <c r="U1257" s="172"/>
      <c r="V1257" s="172"/>
      <c r="W1257" s="172"/>
      <c r="X1257" s="172"/>
      <c r="Y1257" s="172"/>
      <c r="Z1257" s="172"/>
    </row>
    <row r="1258" spans="1:26" ht="18.75">
      <c r="A1258" s="172"/>
      <c r="B1258" s="172"/>
      <c r="C1258" s="172"/>
      <c r="D1258" s="172"/>
      <c r="E1258" s="172"/>
      <c r="F1258" s="172"/>
      <c r="G1258" s="172"/>
      <c r="H1258" s="172"/>
      <c r="I1258" s="172"/>
      <c r="J1258" s="172"/>
      <c r="K1258" s="172"/>
      <c r="L1258" s="172"/>
      <c r="M1258" s="172"/>
      <c r="N1258" s="172"/>
      <c r="O1258" s="172"/>
      <c r="P1258" s="172"/>
      <c r="Q1258" s="172"/>
      <c r="R1258" s="172"/>
      <c r="S1258" s="172"/>
      <c r="T1258" s="172"/>
      <c r="U1258" s="172"/>
      <c r="V1258" s="172"/>
      <c r="W1258" s="172"/>
      <c r="X1258" s="172"/>
      <c r="Y1258" s="172"/>
      <c r="Z1258" s="172"/>
    </row>
    <row r="1259" spans="1:26" ht="18.75">
      <c r="A1259" s="172"/>
      <c r="B1259" s="172"/>
      <c r="C1259" s="172"/>
      <c r="D1259" s="172"/>
      <c r="E1259" s="172"/>
      <c r="F1259" s="172"/>
      <c r="G1259" s="172"/>
      <c r="H1259" s="172"/>
      <c r="I1259" s="172"/>
      <c r="J1259" s="172"/>
      <c r="K1259" s="172"/>
      <c r="L1259" s="172"/>
      <c r="M1259" s="172"/>
      <c r="N1259" s="172"/>
      <c r="O1259" s="172"/>
      <c r="P1259" s="172"/>
      <c r="Q1259" s="172"/>
      <c r="R1259" s="172"/>
      <c r="S1259" s="172"/>
      <c r="T1259" s="172"/>
      <c r="U1259" s="172"/>
      <c r="V1259" s="172"/>
      <c r="W1259" s="172"/>
      <c r="X1259" s="172"/>
      <c r="Y1259" s="172"/>
      <c r="Z1259" s="172"/>
    </row>
    <row r="1260" spans="1:26" ht="18.75">
      <c r="A1260" s="172"/>
      <c r="B1260" s="172"/>
      <c r="C1260" s="172"/>
      <c r="D1260" s="172"/>
      <c r="E1260" s="172"/>
      <c r="F1260" s="172"/>
      <c r="G1260" s="172"/>
      <c r="H1260" s="172"/>
      <c r="I1260" s="172"/>
      <c r="J1260" s="172"/>
      <c r="K1260" s="172"/>
      <c r="L1260" s="172"/>
      <c r="M1260" s="172"/>
      <c r="N1260" s="172"/>
      <c r="O1260" s="172"/>
      <c r="P1260" s="172"/>
      <c r="Q1260" s="172"/>
      <c r="R1260" s="172"/>
      <c r="S1260" s="172"/>
      <c r="T1260" s="172"/>
      <c r="U1260" s="172"/>
      <c r="V1260" s="172"/>
      <c r="W1260" s="172"/>
      <c r="X1260" s="172"/>
      <c r="Y1260" s="172"/>
      <c r="Z1260" s="172"/>
    </row>
  </sheetData>
  <mergeCells count="38">
    <mergeCell ref="A32:H37"/>
    <mergeCell ref="I513:M519"/>
    <mergeCell ref="A213:F217"/>
    <mergeCell ref="A223:F226"/>
    <mergeCell ref="A232:F235"/>
    <mergeCell ref="A243:F246"/>
    <mergeCell ref="A156:E162"/>
    <mergeCell ref="A181:E186"/>
    <mergeCell ref="A200:E205"/>
    <mergeCell ref="A84:E88"/>
    <mergeCell ref="A93:E96"/>
    <mergeCell ref="A102:F108"/>
    <mergeCell ref="A131:E137"/>
    <mergeCell ref="A381:H384"/>
    <mergeCell ref="A257:H262"/>
    <mergeCell ref="A276:H280"/>
    <mergeCell ref="A287:H292"/>
    <mergeCell ref="A303:H307"/>
    <mergeCell ref="A313:H317"/>
    <mergeCell ref="A323:H326"/>
    <mergeCell ref="A334:H338"/>
    <mergeCell ref="A548:F552"/>
    <mergeCell ref="A455:H458"/>
    <mergeCell ref="A466:H470"/>
    <mergeCell ref="A478:H482"/>
    <mergeCell ref="A393:H396"/>
    <mergeCell ref="A406:H410"/>
    <mergeCell ref="A416:H419"/>
    <mergeCell ref="A425:H428"/>
    <mergeCell ref="A434:H437"/>
    <mergeCell ref="A443:H447"/>
    <mergeCell ref="A501:H507"/>
    <mergeCell ref="A516:G520"/>
    <mergeCell ref="A527:G530"/>
    <mergeCell ref="D341:G345"/>
    <mergeCell ref="A348:H352"/>
    <mergeCell ref="A358:H361"/>
    <mergeCell ref="A369:H37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D2425-00FF-4BC6-819C-F7183FF7A4DD}">
  <dimension ref="A1:R1116"/>
  <sheetViews>
    <sheetView topLeftCell="A621" zoomScale="70" zoomScaleNormal="70" workbookViewId="0">
      <selection activeCell="H633" sqref="H633"/>
    </sheetView>
  </sheetViews>
  <sheetFormatPr defaultColWidth="14.42578125" defaultRowHeight="15" customHeight="1"/>
  <cols>
    <col min="1" max="1" width="8.7109375" customWidth="1"/>
    <col min="2" max="2" width="11.42578125" customWidth="1"/>
    <col min="3" max="4" width="8.7109375" customWidth="1"/>
    <col min="5" max="5" width="11.5703125" customWidth="1"/>
    <col min="6" max="26" width="8.7109375" customWidth="1"/>
  </cols>
  <sheetData>
    <row r="1" spans="1:5" ht="18">
      <c r="A1" s="127" t="s">
        <v>1033</v>
      </c>
    </row>
    <row r="2" spans="1:5" ht="18">
      <c r="A2" s="125"/>
    </row>
    <row r="3" spans="1:5" ht="18">
      <c r="A3" s="181"/>
    </row>
    <row r="4" spans="1:5">
      <c r="A4" s="138"/>
    </row>
    <row r="5" spans="1:5" ht="14.45" customHeight="1">
      <c r="A5" s="24" t="s">
        <v>1034</v>
      </c>
      <c r="B5" s="24"/>
      <c r="C5" s="24"/>
      <c r="D5" s="24"/>
      <c r="E5" s="24"/>
    </row>
    <row r="6" spans="1:5">
      <c r="A6" s="80"/>
    </row>
    <row r="7" spans="1:5" ht="18">
      <c r="A7" s="126"/>
    </row>
    <row r="8" spans="1:5">
      <c r="A8" s="182" t="s">
        <v>723</v>
      </c>
      <c r="B8" s="34">
        <v>0.18</v>
      </c>
    </row>
    <row r="9" spans="1:5">
      <c r="A9" s="27" t="s">
        <v>725</v>
      </c>
      <c r="B9" s="34">
        <v>0.11</v>
      </c>
    </row>
    <row r="11" spans="1:5">
      <c r="A11" s="27" t="s">
        <v>506</v>
      </c>
      <c r="B11" s="27">
        <v>7</v>
      </c>
      <c r="C11" s="27">
        <v>-4</v>
      </c>
    </row>
    <row r="12" spans="1:5">
      <c r="B12" s="27">
        <v>-4</v>
      </c>
      <c r="C12" s="27">
        <v>5</v>
      </c>
    </row>
    <row r="14" spans="1:5">
      <c r="A14" s="27" t="s">
        <v>1035</v>
      </c>
      <c r="C14" s="27">
        <v>7</v>
      </c>
    </row>
    <row r="15" spans="1:5">
      <c r="A15" s="27" t="s">
        <v>771</v>
      </c>
      <c r="C15" s="27">
        <v>5</v>
      </c>
    </row>
    <row r="17" spans="1:6">
      <c r="A17" s="27" t="s">
        <v>1036</v>
      </c>
      <c r="C17" s="27">
        <v>-4</v>
      </c>
    </row>
    <row r="18" spans="1:6">
      <c r="A18" s="27" t="s">
        <v>1037</v>
      </c>
    </row>
    <row r="21" spans="1:6">
      <c r="A21" s="27" t="s">
        <v>722</v>
      </c>
      <c r="B21" s="27">
        <f>9/20</f>
        <v>0.45</v>
      </c>
      <c r="D21" s="27" t="s">
        <v>728</v>
      </c>
      <c r="E21" s="27">
        <f>SUMPRODUCT(B21:B22,B8:B9)</f>
        <v>0.14150000000000001</v>
      </c>
    </row>
    <row r="22" spans="1:6">
      <c r="A22" s="27" t="s">
        <v>724</v>
      </c>
      <c r="B22" s="27">
        <f>11/20</f>
        <v>0.55000000000000004</v>
      </c>
    </row>
    <row r="23" spans="1:6">
      <c r="E23" s="27">
        <f t="array" ref="E23:F24">MINVERSE(B11:C12)</f>
        <v>0.26315789473684209</v>
      </c>
      <c r="F23" s="27">
        <v>0.21052631578947367</v>
      </c>
    </row>
    <row r="24" spans="1:6">
      <c r="A24" s="27" t="s">
        <v>729</v>
      </c>
      <c r="B24" s="27">
        <f>7*B21^2-8*B21*B22+5*B22^2</f>
        <v>0.95</v>
      </c>
      <c r="D24" s="27" t="s">
        <v>1038</v>
      </c>
      <c r="E24" s="27">
        <v>0.21052631578947367</v>
      </c>
      <c r="F24" s="27">
        <v>0.36842105263157893</v>
      </c>
    </row>
    <row r="25" spans="1:6">
      <c r="A25" s="27" t="s">
        <v>730</v>
      </c>
      <c r="B25" s="27">
        <f>B24^0.5</f>
        <v>0.97467943448089633</v>
      </c>
    </row>
    <row r="26" spans="1:6">
      <c r="D26" s="27" t="s">
        <v>1039</v>
      </c>
      <c r="E26" s="27">
        <v>1</v>
      </c>
    </row>
    <row r="27" spans="1:6" ht="15.75" customHeight="1">
      <c r="A27" s="27" t="s">
        <v>1040</v>
      </c>
      <c r="E27" s="27">
        <v>1</v>
      </c>
    </row>
    <row r="28" spans="1:6" ht="15.75" customHeight="1"/>
    <row r="29" spans="1:6" ht="15.75" customHeight="1">
      <c r="D29" s="27" t="s">
        <v>1041</v>
      </c>
      <c r="E29" s="27">
        <v>1</v>
      </c>
      <c r="F29" s="27">
        <v>1</v>
      </c>
    </row>
    <row r="30" spans="1:6" ht="15.75" customHeight="1"/>
    <row r="31" spans="1:6" ht="15.75" customHeight="1">
      <c r="A31" s="27" t="s">
        <v>353</v>
      </c>
      <c r="B31" s="27">
        <f t="array" ref="B31">MMULT(E29:F29,MMULT(E23:F24,E26:E27))</f>
        <v>1.0526315789473684</v>
      </c>
    </row>
    <row r="32" spans="1:6" ht="15.75" customHeight="1"/>
    <row r="33" spans="1:7" ht="15.75" customHeight="1"/>
    <row r="34" spans="1:7" ht="15.75" customHeight="1">
      <c r="A34" s="27" t="s">
        <v>796</v>
      </c>
      <c r="B34" s="27">
        <f t="array" ref="B34:B35">1/B31*MMULT(E23:F24,E26:E27)</f>
        <v>0.45</v>
      </c>
    </row>
    <row r="35" spans="1:7" ht="15.75" customHeight="1">
      <c r="B35" s="27">
        <v>0.55000000000000004</v>
      </c>
    </row>
    <row r="36" spans="1:7" ht="15.75" customHeight="1">
      <c r="A36" s="126" t="s">
        <v>1042</v>
      </c>
    </row>
    <row r="37" spans="1:7" ht="15.75" customHeight="1">
      <c r="A37" s="183"/>
      <c r="B37" s="183"/>
      <c r="C37" s="183"/>
      <c r="D37" s="183"/>
      <c r="E37" s="183"/>
    </row>
    <row r="38" spans="1:7" ht="15.75" customHeight="1">
      <c r="A38" s="126"/>
      <c r="B38" s="27">
        <v>0.2</v>
      </c>
      <c r="C38" s="27">
        <v>0</v>
      </c>
      <c r="D38" s="27">
        <v>0</v>
      </c>
      <c r="E38" s="183"/>
    </row>
    <row r="39" spans="1:7" ht="15.75" customHeight="1">
      <c r="A39" s="27" t="s">
        <v>506</v>
      </c>
      <c r="B39" s="27">
        <v>0</v>
      </c>
      <c r="C39" s="27">
        <v>0.4</v>
      </c>
      <c r="D39" s="27">
        <v>0</v>
      </c>
      <c r="E39" s="183"/>
    </row>
    <row r="40" spans="1:7" ht="15.75" customHeight="1">
      <c r="B40" s="27">
        <v>0</v>
      </c>
      <c r="C40" s="27">
        <v>0</v>
      </c>
      <c r="D40" s="27">
        <v>0.8</v>
      </c>
      <c r="E40" s="183"/>
    </row>
    <row r="41" spans="1:7" ht="15.75" customHeight="1">
      <c r="A41" s="183"/>
      <c r="B41" s="183"/>
      <c r="C41" s="183"/>
      <c r="D41" s="183"/>
      <c r="E41" s="183"/>
    </row>
    <row r="42" spans="1:7" ht="15.75" customHeight="1">
      <c r="A42" s="24" t="s">
        <v>1043</v>
      </c>
    </row>
    <row r="43" spans="1:7" ht="15.75" customHeight="1">
      <c r="D43" s="27" t="s">
        <v>723</v>
      </c>
      <c r="E43" s="34">
        <v>0.1</v>
      </c>
    </row>
    <row r="44" spans="1:7" ht="15.75" customHeight="1">
      <c r="A44" s="27" t="s">
        <v>1044</v>
      </c>
      <c r="B44" s="27">
        <v>0.3</v>
      </c>
      <c r="D44" s="27" t="s">
        <v>725</v>
      </c>
      <c r="E44" s="34">
        <v>0.3</v>
      </c>
    </row>
    <row r="45" spans="1:7" ht="15.75" customHeight="1">
      <c r="D45" s="27" t="s">
        <v>727</v>
      </c>
      <c r="E45" s="34">
        <v>0.4</v>
      </c>
    </row>
    <row r="46" spans="1:7" ht="15.75" customHeight="1"/>
    <row r="47" spans="1:7" ht="15.75" customHeight="1">
      <c r="B47" s="27">
        <v>1</v>
      </c>
    </row>
    <row r="48" spans="1:7" ht="15.75" customHeight="1">
      <c r="A48" s="27" t="s">
        <v>1039</v>
      </c>
      <c r="B48" s="27">
        <v>1</v>
      </c>
      <c r="D48" s="27" t="s">
        <v>1041</v>
      </c>
      <c r="E48" s="27">
        <v>1</v>
      </c>
      <c r="F48" s="27">
        <v>1</v>
      </c>
      <c r="G48" s="27">
        <v>1</v>
      </c>
    </row>
    <row r="49" spans="1:7" ht="15.75" customHeight="1">
      <c r="B49" s="27">
        <v>1</v>
      </c>
    </row>
    <row r="50" spans="1:7" ht="15.75" customHeight="1"/>
    <row r="51" spans="1:7" ht="15.75" customHeight="1">
      <c r="B51" s="27">
        <f t="array" ref="B51:D53">MINVERSE(B38:D40)</f>
        <v>5</v>
      </c>
      <c r="C51" s="27">
        <v>0</v>
      </c>
      <c r="D51" s="27">
        <v>0</v>
      </c>
    </row>
    <row r="52" spans="1:7" ht="15.75" customHeight="1">
      <c r="A52" s="27" t="s">
        <v>1038</v>
      </c>
      <c r="B52" s="27">
        <v>0</v>
      </c>
      <c r="C52" s="27">
        <v>2.5</v>
      </c>
      <c r="D52" s="27">
        <v>0</v>
      </c>
      <c r="F52" s="27" t="s">
        <v>729</v>
      </c>
      <c r="G52" s="34" cm="1">
        <f t="array" ref="G52">MMULT(TRANSPOSE(B63:B65),MMULT(B38:D40,B63:B65))</f>
        <v>0.19428571428571423</v>
      </c>
    </row>
    <row r="53" spans="1:7" ht="15.75" customHeight="1">
      <c r="B53" s="27">
        <v>0</v>
      </c>
      <c r="C53" s="27">
        <v>0</v>
      </c>
      <c r="D53" s="27">
        <v>1.25</v>
      </c>
      <c r="F53" s="27" t="s">
        <v>730</v>
      </c>
      <c r="G53" s="165">
        <f>SQRT(G52)</f>
        <v>0.44077853201547174</v>
      </c>
    </row>
    <row r="54" spans="1:7" ht="15.75" customHeight="1"/>
    <row r="55" spans="1:7" ht="15.75" customHeight="1">
      <c r="A55" s="27" t="s">
        <v>353</v>
      </c>
      <c r="B55" s="27">
        <f t="array" ref="B55">MMULT(E48:G48,MMULT(B51:D53,B47:B49))</f>
        <v>8.75</v>
      </c>
    </row>
    <row r="56" spans="1:7" ht="15.75" customHeight="1">
      <c r="A56" s="27" t="s">
        <v>1045</v>
      </c>
      <c r="B56" s="27">
        <f t="array" ref="B56">MMULT(E48:G48,MMULT(B51:D53,E43:E45))</f>
        <v>1.75</v>
      </c>
    </row>
    <row r="57" spans="1:7" ht="15.75" customHeight="1">
      <c r="A57" s="27" t="s">
        <v>1046</v>
      </c>
      <c r="B57" s="27">
        <f t="array" ref="B57">MMULT(TRANSPOSE(E43:E45),MMULT(B51:D53,E43:E45))</f>
        <v>0.47499999999999998</v>
      </c>
    </row>
    <row r="58" spans="1:7" ht="15.75" customHeight="1">
      <c r="A58" s="27" t="s">
        <v>1047</v>
      </c>
      <c r="B58" s="27">
        <f>B55*B57-B56^2</f>
        <v>1.09375</v>
      </c>
    </row>
    <row r="59" spans="1:7" ht="15.75" customHeight="1"/>
    <row r="60" spans="1:7" ht="15.75" customHeight="1">
      <c r="A60" s="27" t="s">
        <v>1048</v>
      </c>
      <c r="B60" s="27">
        <f>(B57-B56*B44)/B58</f>
        <v>-4.5714285714285756E-2</v>
      </c>
    </row>
    <row r="61" spans="1:7" ht="15.75" customHeight="1">
      <c r="A61" s="27" t="s">
        <v>1049</v>
      </c>
      <c r="B61" s="27">
        <f>(B55*B44-B56)/B58</f>
        <v>0.8</v>
      </c>
    </row>
    <row r="62" spans="1:7" ht="15.75" customHeight="1"/>
    <row r="63" spans="1:7" ht="15.75" customHeight="1">
      <c r="A63" s="27" t="s">
        <v>796</v>
      </c>
      <c r="B63" s="27">
        <f t="array" ref="B63:B65">MMULT(B51:D53,B60*B47:B49+B61*E43:E45)</f>
        <v>0.17142857142857129</v>
      </c>
      <c r="D63" s="27" t="s">
        <v>1050</v>
      </c>
      <c r="F63" s="27">
        <f>SUMPRODUCT(B63:B65,E43:E45)</f>
        <v>0.29999999999999993</v>
      </c>
    </row>
    <row r="64" spans="1:7" ht="15.75" customHeight="1">
      <c r="B64" s="27">
        <v>0.48571428571428554</v>
      </c>
    </row>
    <row r="65" spans="1:10" ht="15.75" customHeight="1">
      <c r="B65" s="27">
        <v>0.34285714285714286</v>
      </c>
    </row>
    <row r="66" spans="1:10" ht="15.75" customHeight="1">
      <c r="A66" s="126" t="s">
        <v>1051</v>
      </c>
    </row>
    <row r="67" spans="1:10" ht="15.75" customHeight="1">
      <c r="A67" s="126"/>
      <c r="B67" s="27">
        <v>9</v>
      </c>
      <c r="C67" s="27">
        <v>-6</v>
      </c>
      <c r="D67" s="27">
        <v>0</v>
      </c>
    </row>
    <row r="68" spans="1:10" ht="15.75" customHeight="1">
      <c r="A68" s="27" t="s">
        <v>506</v>
      </c>
      <c r="B68" s="27">
        <v>-6</v>
      </c>
      <c r="C68" s="27">
        <v>16</v>
      </c>
      <c r="D68" s="27">
        <v>-5</v>
      </c>
    </row>
    <row r="69" spans="1:10" ht="15.75" customHeight="1">
      <c r="B69" s="27">
        <v>0</v>
      </c>
      <c r="C69" s="27">
        <v>-5</v>
      </c>
      <c r="D69" s="27">
        <v>4</v>
      </c>
    </row>
    <row r="70" spans="1:10" ht="15.75" customHeight="1">
      <c r="A70" t="s">
        <v>1052</v>
      </c>
    </row>
    <row r="71" spans="1:10" ht="15.75" customHeight="1">
      <c r="A71" s="27" t="s">
        <v>723</v>
      </c>
      <c r="B71" s="34">
        <v>0.12</v>
      </c>
      <c r="I71" s="27" t="s">
        <v>1039</v>
      </c>
      <c r="J71" s="27">
        <v>1</v>
      </c>
    </row>
    <row r="72" spans="1:10" ht="15.75" customHeight="1">
      <c r="A72" s="27" t="s">
        <v>725</v>
      </c>
      <c r="B72" s="34">
        <v>0.21</v>
      </c>
      <c r="J72" s="27">
        <v>1</v>
      </c>
    </row>
    <row r="73" spans="1:10" ht="15.75" customHeight="1">
      <c r="A73" s="27" t="s">
        <v>727</v>
      </c>
      <c r="B73" s="34">
        <v>0.35</v>
      </c>
      <c r="J73" s="27">
        <v>1</v>
      </c>
    </row>
    <row r="74" spans="1:10" ht="15.75" customHeight="1">
      <c r="A74" s="27" t="s">
        <v>728</v>
      </c>
      <c r="B74" s="34">
        <v>0.27</v>
      </c>
      <c r="E74" s="27" cm="1">
        <f t="array" ref="E74:G76">MINVERSE(B67:D69)</f>
        <v>0.18840579710144928</v>
      </c>
      <c r="F74" s="27">
        <v>0.11594202898550726</v>
      </c>
      <c r="G74" s="27">
        <v>0.14492753623188406</v>
      </c>
      <c r="I74" s="27" t="s">
        <v>1053</v>
      </c>
    </row>
    <row r="75" spans="1:10" ht="15.75" customHeight="1">
      <c r="A75" s="27" t="s">
        <v>1054</v>
      </c>
      <c r="D75" s="27" t="s">
        <v>1055</v>
      </c>
      <c r="E75" s="27">
        <v>0.11594202898550725</v>
      </c>
      <c r="F75" s="27">
        <v>0.17391304347826089</v>
      </c>
      <c r="G75" s="27">
        <v>0.21739130434782608</v>
      </c>
      <c r="H75" s="27">
        <v>1</v>
      </c>
      <c r="I75" s="27">
        <v>1</v>
      </c>
      <c r="J75" s="27">
        <v>1</v>
      </c>
    </row>
    <row r="76" spans="1:10" ht="15.75" customHeight="1">
      <c r="A76" s="212">
        <f t="array" ref="A76:C76">TRANSPOSE(B71:B73)</f>
        <v>0.12</v>
      </c>
      <c r="B76" s="212">
        <v>0.21</v>
      </c>
      <c r="C76" s="212">
        <v>0.35</v>
      </c>
      <c r="E76" s="27">
        <v>0.14492753623188406</v>
      </c>
      <c r="F76" s="27">
        <v>0.21739130434782611</v>
      </c>
      <c r="G76" s="27">
        <v>0.52173913043478259</v>
      </c>
    </row>
    <row r="77" spans="1:10" ht="15.75" customHeight="1">
      <c r="A77" s="213" t="s">
        <v>1056</v>
      </c>
      <c r="I77" s="27" t="s">
        <v>353</v>
      </c>
      <c r="J77" s="27">
        <f t="array" ref="J77">MMULT(H75:J75,MMULT(E74:G76,J71:J73))</f>
        <v>1.8405797101449277</v>
      </c>
    </row>
    <row r="78" spans="1:10" ht="15.75" customHeight="1">
      <c r="A78" s="27" t="s">
        <v>796</v>
      </c>
      <c r="B78" s="133">
        <f t="array" ref="B78:B80">MMULT(E74:G76,J81*J71:J73+J82*B71:B73)</f>
        <v>0.18621860972946774</v>
      </c>
      <c r="I78" s="27" t="s">
        <v>1057</v>
      </c>
      <c r="J78" s="27">
        <f t="array" ref="J78">MMULT(A76:C76,MMULT(E74:G76,J71:J73))</f>
        <v>0.46985507246376812</v>
      </c>
    </row>
    <row r="79" spans="1:10" ht="15.75" customHeight="1">
      <c r="B79" s="133">
        <v>0.26549799830159004</v>
      </c>
      <c r="I79" s="27" t="s">
        <v>1046</v>
      </c>
      <c r="J79" s="27">
        <f t="array" ref="J79">MMULT(A76:C76,MMULT(E74:G76,B71:B73))</f>
        <v>0.12426956521739127</v>
      </c>
    </row>
    <row r="80" spans="1:10" ht="15.75" customHeight="1">
      <c r="B80" s="133">
        <v>0.54828339196894549</v>
      </c>
      <c r="I80" s="27" t="s">
        <v>1047</v>
      </c>
      <c r="J80" s="27">
        <f>J77*J79-J78^2</f>
        <v>7.9642512077294225E-3</v>
      </c>
    </row>
    <row r="81" spans="1:10" ht="15.75" customHeight="1">
      <c r="I81" s="27" t="s">
        <v>1048</v>
      </c>
      <c r="J81" s="27">
        <f>(J79-J78*B74)/J80</f>
        <v>-0.32536697804198078</v>
      </c>
    </row>
    <row r="82" spans="1:10" ht="15.75" customHeight="1">
      <c r="A82" s="27" t="s">
        <v>729</v>
      </c>
      <c r="B82" s="34" cm="1">
        <f t="array" ref="B82">MMULT(TRANSPOSE(B78:B80),MMULT(B67:D69,B78:B80))</f>
        <v>0.59341259250273404</v>
      </c>
      <c r="I82" s="27" t="s">
        <v>1049</v>
      </c>
      <c r="J82" s="27">
        <f>(J77*B74-J78)/J80</f>
        <v>3.4028872983137504</v>
      </c>
    </row>
    <row r="83" spans="1:10" ht="15.75" customHeight="1">
      <c r="A83" s="27" t="s">
        <v>730</v>
      </c>
      <c r="B83" s="165">
        <f>SQRT(B82)</f>
        <v>0.77033278036361275</v>
      </c>
    </row>
    <row r="84" spans="1:10" ht="15.75" customHeight="1">
      <c r="A84" s="126" t="s">
        <v>1058</v>
      </c>
    </row>
    <row r="85" spans="1:10" ht="15.75" customHeight="1">
      <c r="A85" s="126"/>
      <c r="B85" s="27">
        <v>0.4</v>
      </c>
      <c r="C85" s="27">
        <v>0.2</v>
      </c>
    </row>
    <row r="86" spans="1:10" ht="15.75" customHeight="1">
      <c r="A86" s="27" t="s">
        <v>506</v>
      </c>
      <c r="B86" s="27">
        <v>0.2</v>
      </c>
      <c r="C86" s="27">
        <v>0.3</v>
      </c>
    </row>
    <row r="87" spans="1:10" ht="15.75" customHeight="1">
      <c r="A87" s="24" t="s">
        <v>1059</v>
      </c>
    </row>
    <row r="88" spans="1:10" ht="15.75" customHeight="1">
      <c r="A88" s="27"/>
      <c r="B88" s="27"/>
    </row>
    <row r="89" spans="1:10" ht="15.75" customHeight="1">
      <c r="A89" s="27"/>
      <c r="B89" s="27"/>
    </row>
    <row r="90" spans="1:10" ht="15.75" customHeight="1"/>
    <row r="91" spans="1:10" ht="15.75" customHeight="1">
      <c r="A91" s="27"/>
      <c r="B91" s="27"/>
      <c r="D91" s="27"/>
      <c r="F91" s="27"/>
    </row>
    <row r="92" spans="1:10" ht="15.75" customHeight="1">
      <c r="A92" t="s">
        <v>723</v>
      </c>
      <c r="B92" s="2">
        <v>0.2</v>
      </c>
      <c r="D92" t="s">
        <v>506</v>
      </c>
      <c r="E92" s="27">
        <v>0.4</v>
      </c>
      <c r="F92" s="27">
        <v>0.2</v>
      </c>
      <c r="H92" t="s">
        <v>1055</v>
      </c>
      <c r="I92">
        <f t="array" ref="I92:J93">MINVERSE(E92:F93)</f>
        <v>3.75</v>
      </c>
      <c r="J92">
        <v>-2.5</v>
      </c>
    </row>
    <row r="93" spans="1:10" ht="15.75" customHeight="1">
      <c r="A93" t="s">
        <v>725</v>
      </c>
      <c r="B93" s="2">
        <v>0.1</v>
      </c>
      <c r="E93" s="27">
        <v>0.2</v>
      </c>
      <c r="F93" s="27">
        <v>0.3</v>
      </c>
      <c r="I93">
        <v>-2.5</v>
      </c>
      <c r="J93">
        <v>5</v>
      </c>
    </row>
    <row r="94" spans="1:10" ht="15.75" customHeight="1">
      <c r="A94" t="s">
        <v>1060</v>
      </c>
      <c r="B94" s="2">
        <v>0.18</v>
      </c>
    </row>
    <row r="95" spans="1:10" ht="15.75" customHeight="1">
      <c r="B95" s="2"/>
      <c r="D95" t="s">
        <v>1039</v>
      </c>
      <c r="E95">
        <v>1</v>
      </c>
      <c r="G95" t="s">
        <v>1041</v>
      </c>
      <c r="H95">
        <v>1</v>
      </c>
      <c r="I95">
        <v>1</v>
      </c>
    </row>
    <row r="96" spans="1:10" ht="15.75" customHeight="1">
      <c r="A96" t="s">
        <v>353</v>
      </c>
      <c r="B96" cm="1">
        <f t="array" ref="B96">MMULT(H95:I95,MMULT(I92:J93,E95:E96))</f>
        <v>3.75</v>
      </c>
      <c r="E96">
        <v>1</v>
      </c>
    </row>
    <row r="97" spans="1:10" ht="15.75" customHeight="1">
      <c r="A97" t="s">
        <v>1057</v>
      </c>
      <c r="B97">
        <f t="array" ref="B97">MMULT(TRANSPOSE(B92:B93),MMULT(I92:J93,E95:E96))</f>
        <v>0.5</v>
      </c>
      <c r="D97" t="s">
        <v>796</v>
      </c>
      <c r="E97" s="4">
        <f t="array" ref="E97:E98">MMULT(I92:J93,((B98-B97*B94)/B99)*E95:E96+((B96*B94-B97)/B99)*B92:B93)</f>
        <v>0.79999999999999982</v>
      </c>
    </row>
    <row r="98" spans="1:10" ht="15.75" customHeight="1">
      <c r="A98" t="s">
        <v>1046</v>
      </c>
      <c r="B98">
        <f t="array" ref="B98">MMULT(TRANSPOSE(B92:B93),MMULT(I92:J93,B92:B93))</f>
        <v>0.1</v>
      </c>
      <c r="E98" s="4">
        <v>0.20000000000000018</v>
      </c>
    </row>
    <row r="99" spans="1:10" ht="15.75" customHeight="1">
      <c r="A99" t="s">
        <v>1047</v>
      </c>
      <c r="B99">
        <f>B96*B98-B97^2</f>
        <v>0.125</v>
      </c>
      <c r="D99" t="s">
        <v>729</v>
      </c>
      <c r="E99">
        <f>(B96*B94^2-2*B97*B94+B98)/B99</f>
        <v>0.33200000000000007</v>
      </c>
    </row>
    <row r="100" spans="1:10" ht="15.75" customHeight="1">
      <c r="A100" t="s">
        <v>1061</v>
      </c>
      <c r="B100" s="314">
        <f>B97/B96</f>
        <v>0.13333333333333333</v>
      </c>
      <c r="C100" s="316" t="s">
        <v>1062</v>
      </c>
      <c r="D100" t="s">
        <v>730</v>
      </c>
      <c r="E100" s="8">
        <f>SQRT(E99)</f>
        <v>0.57619441163551743</v>
      </c>
    </row>
    <row r="101" spans="1:10" ht="15.75" customHeight="1">
      <c r="A101" t="s">
        <v>1048</v>
      </c>
      <c r="B101">
        <f>(B98-B97*B94)/B99</f>
        <v>8.0000000000000071E-2</v>
      </c>
      <c r="E101" t="s">
        <v>1063</v>
      </c>
    </row>
    <row r="102" spans="1:10" ht="15.75" customHeight="1">
      <c r="A102" t="s">
        <v>1049</v>
      </c>
      <c r="B102">
        <f>(B96*B94-B97)/B99</f>
        <v>1.3999999999999995</v>
      </c>
    </row>
    <row r="103" spans="1:10" ht="15.75" customHeight="1"/>
    <row r="104" spans="1:10" ht="15.75" customHeight="1">
      <c r="A104" t="s">
        <v>723</v>
      </c>
      <c r="B104" s="2">
        <v>0.2</v>
      </c>
      <c r="D104" t="s">
        <v>506</v>
      </c>
      <c r="E104" s="27">
        <v>0.4</v>
      </c>
      <c r="F104" s="27">
        <v>0.2</v>
      </c>
      <c r="H104" t="s">
        <v>1055</v>
      </c>
      <c r="I104">
        <f t="array" ref="I104:J105">MINVERSE(E104:F105)</f>
        <v>3.75</v>
      </c>
      <c r="J104">
        <v>-2.5</v>
      </c>
    </row>
    <row r="105" spans="1:10" ht="15.75" customHeight="1">
      <c r="A105" t="s">
        <v>725</v>
      </c>
      <c r="B105" s="2">
        <v>0.1</v>
      </c>
      <c r="E105" s="27">
        <v>0.2</v>
      </c>
      <c r="F105" s="27">
        <v>0.3</v>
      </c>
      <c r="I105">
        <v>-2.5</v>
      </c>
      <c r="J105">
        <v>5</v>
      </c>
    </row>
    <row r="106" spans="1:10" ht="15.75" customHeight="1">
      <c r="A106" t="s">
        <v>1060</v>
      </c>
      <c r="B106" s="2">
        <v>0.12</v>
      </c>
    </row>
    <row r="107" spans="1:10" ht="15.75" customHeight="1">
      <c r="B107" s="2"/>
      <c r="D107" t="s">
        <v>1039</v>
      </c>
      <c r="E107">
        <v>1</v>
      </c>
      <c r="G107" t="s">
        <v>1041</v>
      </c>
      <c r="H107">
        <v>1</v>
      </c>
      <c r="I107">
        <v>1</v>
      </c>
    </row>
    <row r="108" spans="1:10" ht="15.75" customHeight="1">
      <c r="A108" t="s">
        <v>353</v>
      </c>
      <c r="B108" cm="1">
        <f t="array" ref="B108">MMULT(H107:I107,MMULT(I104:J105,E107:E108))</f>
        <v>3.75</v>
      </c>
      <c r="E108">
        <v>1</v>
      </c>
    </row>
    <row r="109" spans="1:10" ht="15.75" customHeight="1">
      <c r="A109" t="s">
        <v>1057</v>
      </c>
      <c r="B109" cm="1">
        <f t="array" ref="B109">MMULT(TRANSPOSE(B104:B105),MMULT(I104:J105,E107:E108))</f>
        <v>0.5</v>
      </c>
      <c r="D109" t="s">
        <v>796</v>
      </c>
      <c r="E109" s="311" cm="1">
        <f t="array" ref="E109:E110">1/B108*MMULT(I104:J105,E107:E108)</f>
        <v>0.33333333333333331</v>
      </c>
      <c r="G109" s="220" t="s">
        <v>1064</v>
      </c>
    </row>
    <row r="110" spans="1:10" ht="15.75" customHeight="1">
      <c r="A110" t="s">
        <v>1046</v>
      </c>
      <c r="B110" cm="1">
        <f t="array" ref="B110">MMULT(TRANSPOSE(B104:B105),MMULT(I104:J105,B104:B105))</f>
        <v>0.1</v>
      </c>
      <c r="E110" s="311">
        <v>0.66666666666666663</v>
      </c>
      <c r="G110" t="s">
        <v>1065</v>
      </c>
    </row>
    <row r="111" spans="1:10" ht="15.75" customHeight="1">
      <c r="A111" t="s">
        <v>1047</v>
      </c>
      <c r="B111">
        <f>B108*B110-B109^2</f>
        <v>0.125</v>
      </c>
      <c r="D111" t="s">
        <v>729</v>
      </c>
      <c r="E111">
        <f>(B108*B112^2-2*B109*B112+B110)/B111</f>
        <v>0.26666666666666672</v>
      </c>
    </row>
    <row r="112" spans="1:10" ht="15.75" customHeight="1">
      <c r="A112" t="s">
        <v>1061</v>
      </c>
      <c r="B112" s="314">
        <f>B109/B108</f>
        <v>0.13333333333333333</v>
      </c>
      <c r="C112" s="316" t="s">
        <v>1066</v>
      </c>
      <c r="D112" t="s">
        <v>730</v>
      </c>
      <c r="E112" s="317">
        <f>SQRT(E111)</f>
        <v>0.51639777949432231</v>
      </c>
    </row>
    <row r="113" spans="1:10" ht="15.75" customHeight="1">
      <c r="A113" t="s">
        <v>1048</v>
      </c>
      <c r="B113">
        <f>(B110-B109*B106)/B111</f>
        <v>0.32000000000000006</v>
      </c>
      <c r="D113" t="s">
        <v>1067</v>
      </c>
    </row>
    <row r="114" spans="1:10" ht="15.75" customHeight="1">
      <c r="A114" t="s">
        <v>1049</v>
      </c>
      <c r="B114">
        <f>(B108*B106-B109)/B111</f>
        <v>-0.40000000000000036</v>
      </c>
    </row>
    <row r="115" spans="1:10" ht="15.75" customHeight="1">
      <c r="A115" s="27"/>
      <c r="B115" s="27"/>
    </row>
    <row r="116" spans="1:10" ht="15.75" customHeight="1">
      <c r="A116" s="27"/>
      <c r="B116" s="27"/>
    </row>
    <row r="117" spans="1:10" ht="15.75" customHeight="1"/>
    <row r="118" spans="1:10" ht="15.75" customHeight="1">
      <c r="A118" s="27"/>
      <c r="B118" s="27"/>
    </row>
    <row r="119" spans="1:10" ht="15.75" customHeight="1">
      <c r="A119" s="27"/>
      <c r="B119" s="27"/>
      <c r="C119" s="27"/>
    </row>
    <row r="120" spans="1:10" ht="15.75" customHeight="1">
      <c r="A120" s="137"/>
    </row>
    <row r="121" spans="1:10" ht="15.75" customHeight="1">
      <c r="A121" s="315" t="s">
        <v>1068</v>
      </c>
    </row>
    <row r="122" spans="1:10" ht="15.75" customHeight="1">
      <c r="A122" s="138"/>
    </row>
    <row r="123" spans="1:10" ht="15.75" customHeight="1">
      <c r="A123" s="138"/>
    </row>
    <row r="124" spans="1:10" ht="15.75" customHeight="1">
      <c r="A124" s="137"/>
    </row>
    <row r="125" spans="1:10" ht="15.75" customHeight="1">
      <c r="A125" s="24" t="s">
        <v>1069</v>
      </c>
    </row>
    <row r="126" spans="1:10" ht="15.75" customHeight="1">
      <c r="A126" s="80"/>
    </row>
    <row r="127" spans="1:10" ht="15.75" customHeight="1">
      <c r="A127" t="s">
        <v>723</v>
      </c>
      <c r="B127" s="2">
        <v>0.2</v>
      </c>
      <c r="D127" t="s">
        <v>506</v>
      </c>
      <c r="E127">
        <v>0.4</v>
      </c>
      <c r="F127">
        <v>0.2</v>
      </c>
      <c r="H127" t="s">
        <v>1055</v>
      </c>
      <c r="I127">
        <f t="array" ref="I127:J128">MINVERSE(E127:F128)</f>
        <v>3.75</v>
      </c>
      <c r="J127">
        <v>-2.5</v>
      </c>
    </row>
    <row r="128" spans="1:10" ht="15.75" customHeight="1">
      <c r="A128" t="s">
        <v>725</v>
      </c>
      <c r="B128" s="2">
        <v>0.1</v>
      </c>
      <c r="E128">
        <v>0.2</v>
      </c>
      <c r="F128">
        <v>0.3</v>
      </c>
      <c r="I128">
        <v>-2.5</v>
      </c>
      <c r="J128">
        <v>5</v>
      </c>
    </row>
    <row r="129" spans="1:9" ht="15.75" customHeight="1">
      <c r="A129" t="s">
        <v>1070</v>
      </c>
      <c r="B129" s="2">
        <v>0.6</v>
      </c>
    </row>
    <row r="130" spans="1:9" ht="15.75" customHeight="1">
      <c r="B130" s="2"/>
      <c r="D130" t="s">
        <v>1039</v>
      </c>
      <c r="E130">
        <v>1</v>
      </c>
      <c r="G130" t="s">
        <v>1041</v>
      </c>
      <c r="H130">
        <v>1</v>
      </c>
      <c r="I130">
        <v>1</v>
      </c>
    </row>
    <row r="131" spans="1:9" ht="15.75" customHeight="1">
      <c r="A131" t="s">
        <v>353</v>
      </c>
      <c r="B131" cm="1">
        <f t="array" ref="B131">MMULT(H130:I130,MMULT(I127:J128,E130:E131))</f>
        <v>3.75</v>
      </c>
      <c r="E131">
        <v>1</v>
      </c>
    </row>
    <row r="132" spans="1:9" ht="15.75" customHeight="1">
      <c r="A132" t="s">
        <v>1057</v>
      </c>
      <c r="B132">
        <f t="array" ref="B132">MMULT(TRANSPOSE(B127:B128),MMULT(I127:J128,E130:E131))</f>
        <v>0.5</v>
      </c>
    </row>
    <row r="133" spans="1:9" ht="15.75" customHeight="1">
      <c r="A133" t="s">
        <v>1046</v>
      </c>
      <c r="B133">
        <f t="array" ref="B133">MMULT(TRANSPOSE(B127:B128),MMULT(I127:J128,B127:B128))</f>
        <v>0.1</v>
      </c>
      <c r="D133" t="s">
        <v>1071</v>
      </c>
      <c r="E133" s="4" cm="1">
        <f t="array" ref="E133:E134">MMULT(I127:J128,B136*E130:E131+B137*B127:B128)</f>
        <v>0.89110668435605067</v>
      </c>
    </row>
    <row r="134" spans="1:9" ht="15.75" customHeight="1">
      <c r="A134" t="s">
        <v>1047</v>
      </c>
      <c r="B134">
        <f>B131*B133-B132^2</f>
        <v>0.125</v>
      </c>
      <c r="E134" s="4">
        <v>0.10889331564394966</v>
      </c>
    </row>
    <row r="135" spans="1:9" ht="15.75" customHeight="1">
      <c r="A135" t="s">
        <v>1044</v>
      </c>
      <c r="B135" s="8">
        <f>B132/B131+SQRT((B129^2-1/B131)*B134/B131)</f>
        <v>0.18911066843560503</v>
      </c>
    </row>
    <row r="136" spans="1:9" ht="15.75" customHeight="1">
      <c r="A136" t="s">
        <v>1048</v>
      </c>
      <c r="B136">
        <f>(B133-B132*B135)/B134</f>
        <v>4.3557326257579909E-2</v>
      </c>
    </row>
    <row r="137" spans="1:9" ht="15.75" customHeight="1">
      <c r="A137" t="s">
        <v>1049</v>
      </c>
      <c r="B137">
        <f>(B131*B135-B132)/B134</f>
        <v>1.6733200530681511</v>
      </c>
    </row>
    <row r="138" spans="1:9" ht="15.75" customHeight="1">
      <c r="A138" s="27"/>
    </row>
    <row r="139" spans="1:9" ht="15.75" customHeight="1">
      <c r="A139" s="125"/>
    </row>
    <row r="140" spans="1:9" ht="15.75" customHeight="1">
      <c r="A140" s="137" t="s">
        <v>1072</v>
      </c>
    </row>
    <row r="141" spans="1:9" ht="15.75" customHeight="1">
      <c r="A141" s="114"/>
    </row>
    <row r="142" spans="1:9" ht="15.75" customHeight="1">
      <c r="A142" s="184" t="s">
        <v>1073</v>
      </c>
    </row>
    <row r="143" spans="1:9" ht="15.75" customHeight="1">
      <c r="A143" s="125"/>
    </row>
    <row r="144" spans="1:9" ht="15.75" customHeight="1">
      <c r="A144" s="137" t="s">
        <v>1074</v>
      </c>
    </row>
    <row r="145" spans="1:1" ht="15.75" customHeight="1">
      <c r="A145" s="125"/>
    </row>
    <row r="146" spans="1:1" ht="15.75" customHeight="1">
      <c r="A146" s="125"/>
    </row>
    <row r="147" spans="1:1" ht="15.75" customHeight="1"/>
    <row r="148" spans="1:1" ht="15.75" customHeight="1">
      <c r="A148" s="24" t="s">
        <v>1075</v>
      </c>
    </row>
    <row r="149" spans="1:1" ht="15.75" customHeight="1">
      <c r="A149" s="24"/>
    </row>
    <row r="150" spans="1:1" ht="15.75" customHeight="1">
      <c r="A150" s="137" t="s">
        <v>1076</v>
      </c>
    </row>
    <row r="151" spans="1:1" ht="15.75" customHeight="1">
      <c r="A151" s="24"/>
    </row>
    <row r="152" spans="1:1" ht="15.75" customHeight="1">
      <c r="A152" s="185"/>
    </row>
    <row r="153" spans="1:1" ht="15.75" customHeight="1"/>
    <row r="154" spans="1:1" ht="15.75" customHeight="1">
      <c r="A154" s="24" t="s">
        <v>1077</v>
      </c>
    </row>
    <row r="155" spans="1:1" ht="15.75" customHeight="1">
      <c r="A155" s="24"/>
    </row>
    <row r="156" spans="1:1" ht="15.75" customHeight="1">
      <c r="A156" s="126" t="s">
        <v>1078</v>
      </c>
    </row>
    <row r="157" spans="1:1" ht="15.75" customHeight="1">
      <c r="A157" s="125"/>
    </row>
    <row r="158" spans="1:1" ht="15.75" customHeight="1">
      <c r="A158" s="137" t="s">
        <v>1079</v>
      </c>
    </row>
    <row r="159" spans="1:1" ht="15.75" customHeight="1">
      <c r="A159" s="125"/>
    </row>
    <row r="160" spans="1:1" ht="15.75" customHeight="1">
      <c r="A160" s="125"/>
    </row>
    <row r="161" spans="1:8" ht="15.75" customHeight="1"/>
    <row r="162" spans="1:8" ht="15.75" customHeight="1">
      <c r="A162" s="24" t="s">
        <v>1080</v>
      </c>
    </row>
    <row r="163" spans="1:8" ht="15.75" customHeight="1">
      <c r="A163" s="24"/>
    </row>
    <row r="164" spans="1:8" ht="15.75" customHeight="1">
      <c r="A164" s="186"/>
      <c r="B164" s="88"/>
      <c r="C164" s="88"/>
      <c r="D164" s="409" t="s">
        <v>1081</v>
      </c>
      <c r="E164" s="409"/>
      <c r="F164" s="409"/>
      <c r="G164" s="409"/>
      <c r="H164" s="410"/>
    </row>
    <row r="165" spans="1:8" ht="15.75" customHeight="1">
      <c r="A165" s="187"/>
      <c r="D165" s="402"/>
      <c r="E165" s="402"/>
      <c r="F165" s="402"/>
      <c r="G165" s="402"/>
      <c r="H165" s="411"/>
    </row>
    <row r="166" spans="1:8" ht="15.75" customHeight="1">
      <c r="A166" s="93" t="s">
        <v>1082</v>
      </c>
      <c r="B166" s="36">
        <v>3.5000000000000003E-2</v>
      </c>
      <c r="D166" s="402"/>
      <c r="E166" s="402"/>
      <c r="F166" s="402"/>
      <c r="G166" s="402"/>
      <c r="H166" s="411"/>
    </row>
    <row r="167" spans="1:8" ht="15.75" customHeight="1">
      <c r="A167" s="93" t="s">
        <v>1083</v>
      </c>
      <c r="B167" s="34">
        <v>0.11</v>
      </c>
      <c r="D167" s="402"/>
      <c r="E167" s="402"/>
      <c r="F167" s="402"/>
      <c r="G167" s="402"/>
      <c r="H167" s="411"/>
    </row>
    <row r="168" spans="1:8" ht="15.75" customHeight="1">
      <c r="A168" s="93" t="s">
        <v>1084</v>
      </c>
      <c r="B168" s="27">
        <v>1.3</v>
      </c>
      <c r="D168" s="402"/>
      <c r="E168" s="402"/>
      <c r="F168" s="402"/>
      <c r="G168" s="402"/>
      <c r="H168" s="411"/>
    </row>
    <row r="169" spans="1:8" ht="15.75" customHeight="1">
      <c r="A169" s="93" t="s">
        <v>1085</v>
      </c>
      <c r="B169" s="34">
        <v>0.18</v>
      </c>
      <c r="D169" s="402"/>
      <c r="E169" s="402"/>
      <c r="F169" s="402"/>
      <c r="G169" s="402"/>
      <c r="H169" s="411"/>
    </row>
    <row r="170" spans="1:8" ht="15.75" customHeight="1">
      <c r="A170" s="104"/>
      <c r="H170" s="94"/>
    </row>
    <row r="171" spans="1:8" ht="15.75" customHeight="1">
      <c r="A171" s="93" t="s">
        <v>1086</v>
      </c>
      <c r="H171" s="94"/>
    </row>
    <row r="172" spans="1:8" ht="15.75" customHeight="1">
      <c r="A172" s="104"/>
      <c r="H172" s="94"/>
    </row>
    <row r="173" spans="1:8" ht="15.75" customHeight="1">
      <c r="A173" s="93" t="s">
        <v>1087</v>
      </c>
      <c r="B173" s="188">
        <f>B166+B168*(B167-B166)</f>
        <v>0.13250000000000001</v>
      </c>
      <c r="H173" s="94"/>
    </row>
    <row r="174" spans="1:8" ht="15.75" customHeight="1">
      <c r="A174" s="104"/>
      <c r="H174" s="94"/>
    </row>
    <row r="175" spans="1:8" ht="15.75" customHeight="1">
      <c r="A175" s="93" t="s">
        <v>1087</v>
      </c>
      <c r="B175" s="188">
        <f>B166+B168*(B169-B166)</f>
        <v>0.2235</v>
      </c>
      <c r="H175" s="94"/>
    </row>
    <row r="176" spans="1:8" ht="15.75" customHeight="1">
      <c r="A176" s="104"/>
      <c r="H176" s="94"/>
    </row>
    <row r="177" spans="1:14" ht="15.75" customHeight="1">
      <c r="A177" s="189">
        <f>B175-B173</f>
        <v>9.0999999999999998E-2</v>
      </c>
      <c r="B177" s="97"/>
      <c r="C177" s="97"/>
      <c r="D177" s="97"/>
      <c r="E177" s="97"/>
      <c r="F177" s="97"/>
      <c r="G177" s="97"/>
      <c r="H177" s="98"/>
    </row>
    <row r="178" spans="1:14" ht="15.75" customHeight="1"/>
    <row r="179" spans="1:14" ht="15.75" customHeight="1">
      <c r="A179" s="425"/>
      <c r="B179" s="405"/>
      <c r="C179" s="405"/>
      <c r="D179" s="405"/>
      <c r="E179" s="405"/>
    </row>
    <row r="180" spans="1:14" ht="15.75" customHeight="1">
      <c r="A180" s="190"/>
      <c r="B180" s="88"/>
      <c r="C180" s="88"/>
      <c r="D180" s="440" t="s">
        <v>1088</v>
      </c>
      <c r="E180" s="440"/>
      <c r="F180" s="440"/>
      <c r="G180" s="440"/>
      <c r="H180" s="440"/>
      <c r="I180" s="440"/>
      <c r="J180" s="440"/>
      <c r="K180" s="440"/>
      <c r="L180" s="440"/>
      <c r="M180" s="440"/>
      <c r="N180" s="441"/>
    </row>
    <row r="181" spans="1:14" ht="15.75" customHeight="1">
      <c r="A181" s="93" t="s">
        <v>1082</v>
      </c>
      <c r="B181" s="36">
        <v>7.4999999999999997E-2</v>
      </c>
      <c r="D181" s="403"/>
      <c r="E181" s="403"/>
      <c r="F181" s="403"/>
      <c r="G181" s="403"/>
      <c r="H181" s="403"/>
      <c r="I181" s="403"/>
      <c r="J181" s="403"/>
      <c r="K181" s="403"/>
      <c r="L181" s="403"/>
      <c r="M181" s="403"/>
      <c r="N181" s="442"/>
    </row>
    <row r="182" spans="1:14" ht="15.75" customHeight="1">
      <c r="A182" s="93" t="s">
        <v>1089</v>
      </c>
      <c r="B182" s="34">
        <v>0.11</v>
      </c>
      <c r="D182" s="403"/>
      <c r="E182" s="403"/>
      <c r="F182" s="403"/>
      <c r="G182" s="403"/>
      <c r="H182" s="403"/>
      <c r="I182" s="403"/>
      <c r="J182" s="403"/>
      <c r="K182" s="403"/>
      <c r="L182" s="403"/>
      <c r="M182" s="403"/>
      <c r="N182" s="442"/>
    </row>
    <row r="183" spans="1:14" ht="15.75" customHeight="1">
      <c r="A183" s="93" t="s">
        <v>1084</v>
      </c>
      <c r="B183" s="27">
        <v>1.3</v>
      </c>
      <c r="D183" s="403"/>
      <c r="E183" s="403"/>
      <c r="F183" s="403"/>
      <c r="G183" s="403"/>
      <c r="H183" s="403"/>
      <c r="I183" s="403"/>
      <c r="J183" s="403"/>
      <c r="K183" s="403"/>
      <c r="L183" s="403"/>
      <c r="M183" s="403"/>
      <c r="N183" s="442"/>
    </row>
    <row r="184" spans="1:14" ht="15.75" customHeight="1">
      <c r="A184" s="93" t="s">
        <v>1090</v>
      </c>
      <c r="B184" s="27">
        <v>0.2</v>
      </c>
      <c r="D184" s="403"/>
      <c r="E184" s="403"/>
      <c r="F184" s="403"/>
      <c r="G184" s="403"/>
      <c r="H184" s="403"/>
      <c r="I184" s="403"/>
      <c r="J184" s="403"/>
      <c r="K184" s="403"/>
      <c r="L184" s="403"/>
      <c r="M184" s="403"/>
      <c r="N184" s="442"/>
    </row>
    <row r="185" spans="1:14" ht="15.75" customHeight="1">
      <c r="A185" s="93" t="s">
        <v>1091</v>
      </c>
      <c r="B185" s="27">
        <v>1.5</v>
      </c>
      <c r="D185" s="403"/>
      <c r="E185" s="403"/>
      <c r="F185" s="403"/>
      <c r="G185" s="403"/>
      <c r="H185" s="403"/>
      <c r="I185" s="403"/>
      <c r="J185" s="403"/>
      <c r="K185" s="403"/>
      <c r="L185" s="403"/>
      <c r="M185" s="403"/>
      <c r="N185" s="442"/>
    </row>
    <row r="186" spans="1:14" ht="15.75" customHeight="1">
      <c r="A186" s="104"/>
      <c r="D186" s="403"/>
      <c r="E186" s="403"/>
      <c r="F186" s="403"/>
      <c r="G186" s="403"/>
      <c r="H186" s="403"/>
      <c r="I186" s="403"/>
      <c r="J186" s="403"/>
      <c r="K186" s="403"/>
      <c r="L186" s="403"/>
      <c r="M186" s="403"/>
      <c r="N186" s="442"/>
    </row>
    <row r="187" spans="1:14" ht="15.75" customHeight="1">
      <c r="A187" s="93" t="s">
        <v>1086</v>
      </c>
      <c r="D187" s="403"/>
      <c r="E187" s="403"/>
      <c r="F187" s="403"/>
      <c r="G187" s="403"/>
      <c r="H187" s="403"/>
      <c r="I187" s="403"/>
      <c r="J187" s="403"/>
      <c r="K187" s="403"/>
      <c r="L187" s="403"/>
      <c r="M187" s="403"/>
      <c r="N187" s="442"/>
    </row>
    <row r="188" spans="1:14" ht="15.75" customHeight="1">
      <c r="A188" s="104"/>
      <c r="N188" s="94"/>
    </row>
    <row r="189" spans="1:14" ht="15.75" customHeight="1">
      <c r="A189" s="93" t="s">
        <v>1087</v>
      </c>
      <c r="B189" s="188">
        <f>B181+B183*(B182-B181)</f>
        <v>0.1205</v>
      </c>
      <c r="D189" s="27" t="s">
        <v>1092</v>
      </c>
      <c r="E189" s="27">
        <v>0.3</v>
      </c>
      <c r="G189" s="27" t="s">
        <v>1093</v>
      </c>
      <c r="H189" s="3"/>
      <c r="N189" s="94"/>
    </row>
    <row r="190" spans="1:14" ht="15.75" customHeight="1">
      <c r="A190" s="93" t="s">
        <v>1094</v>
      </c>
      <c r="B190" s="188">
        <f>B181+B184*(B182-B181)</f>
        <v>8.2000000000000003E-2</v>
      </c>
      <c r="D190" s="27" t="s">
        <v>1095</v>
      </c>
      <c r="E190" s="27">
        <v>0.3</v>
      </c>
      <c r="N190" s="94"/>
    </row>
    <row r="191" spans="1:14" ht="15.75" customHeight="1">
      <c r="A191" s="95" t="s">
        <v>1096</v>
      </c>
      <c r="B191" s="191">
        <f>B181+B185*(B182-B181)</f>
        <v>0.1275</v>
      </c>
      <c r="C191" s="97"/>
      <c r="D191" s="106" t="s">
        <v>1097</v>
      </c>
      <c r="E191" s="106">
        <v>0.4</v>
      </c>
      <c r="F191" s="97"/>
      <c r="G191" s="97"/>
      <c r="H191" s="97"/>
      <c r="I191" s="97"/>
      <c r="J191" s="97"/>
      <c r="K191" s="97"/>
      <c r="L191" s="97"/>
      <c r="M191" s="97"/>
      <c r="N191" s="98"/>
    </row>
    <row r="192" spans="1:14" ht="15.75" customHeight="1"/>
    <row r="193" spans="1:8" ht="15.75" customHeight="1">
      <c r="A193" s="402" t="s">
        <v>1098</v>
      </c>
      <c r="B193" s="402"/>
      <c r="C193" s="402"/>
      <c r="D193" s="402"/>
      <c r="E193" s="402"/>
      <c r="F193" s="402"/>
      <c r="G193" s="402"/>
      <c r="H193" s="402"/>
    </row>
    <row r="194" spans="1:8" ht="15.75" customHeight="1">
      <c r="A194" s="402"/>
      <c r="B194" s="402"/>
      <c r="C194" s="402"/>
      <c r="D194" s="402"/>
      <c r="E194" s="402"/>
      <c r="F194" s="402"/>
      <c r="G194" s="402"/>
      <c r="H194" s="402"/>
    </row>
    <row r="195" spans="1:8" ht="15.75" customHeight="1">
      <c r="A195" s="402"/>
      <c r="B195" s="402"/>
      <c r="C195" s="402"/>
      <c r="D195" s="402"/>
      <c r="E195" s="402"/>
      <c r="F195" s="402"/>
      <c r="G195" s="402"/>
      <c r="H195" s="402"/>
    </row>
    <row r="196" spans="1:8" ht="15.75" customHeight="1">
      <c r="A196" s="402"/>
      <c r="B196" s="402"/>
      <c r="C196" s="402"/>
      <c r="D196" s="402"/>
      <c r="E196" s="402"/>
      <c r="F196" s="402"/>
      <c r="G196" s="402"/>
      <c r="H196" s="402"/>
    </row>
    <row r="197" spans="1:8" ht="15.75" customHeight="1">
      <c r="A197" s="402"/>
      <c r="B197" s="402"/>
      <c r="C197" s="402"/>
      <c r="D197" s="402"/>
      <c r="E197" s="402"/>
      <c r="F197" s="402"/>
      <c r="G197" s="402"/>
      <c r="H197" s="402"/>
    </row>
    <row r="198" spans="1:8" ht="15.75" customHeight="1">
      <c r="A198" s="402"/>
      <c r="B198" s="402"/>
      <c r="C198" s="402"/>
      <c r="D198" s="402"/>
      <c r="E198" s="402"/>
      <c r="F198" s="402"/>
      <c r="G198" s="402"/>
      <c r="H198" s="402"/>
    </row>
    <row r="199" spans="1:8" ht="15.75" customHeight="1">
      <c r="A199" s="402"/>
      <c r="B199" s="402"/>
      <c r="C199" s="402"/>
      <c r="D199" s="402"/>
      <c r="E199" s="402"/>
      <c r="F199" s="402"/>
      <c r="G199" s="402"/>
      <c r="H199" s="402"/>
    </row>
    <row r="200" spans="1:8" ht="15.75" customHeight="1">
      <c r="A200" s="402"/>
      <c r="B200" s="402"/>
      <c r="C200" s="402"/>
      <c r="D200" s="402"/>
      <c r="E200" s="402"/>
      <c r="F200" s="402"/>
      <c r="G200" s="402"/>
      <c r="H200" s="402"/>
    </row>
    <row r="201" spans="1:8" ht="15.75" customHeight="1"/>
    <row r="202" spans="1:8" ht="15.75" customHeight="1">
      <c r="A202" s="27" t="s">
        <v>1099</v>
      </c>
      <c r="C202" s="34">
        <v>0.13</v>
      </c>
      <c r="H202" s="54" t="s">
        <v>1100</v>
      </c>
    </row>
    <row r="203" spans="1:8" ht="15.75" customHeight="1">
      <c r="E203" s="27" t="s">
        <v>1092</v>
      </c>
      <c r="F203" s="27">
        <f t="shared" ref="F203:F205" si="0">1/3</f>
        <v>0.33333333333333331</v>
      </c>
    </row>
    <row r="204" spans="1:8" ht="15.75" customHeight="1">
      <c r="A204" s="27" t="s">
        <v>1101</v>
      </c>
      <c r="C204" s="34">
        <v>7.0000000000000007E-2</v>
      </c>
      <c r="E204" s="27" t="s">
        <v>1095</v>
      </c>
      <c r="F204" s="27">
        <f t="shared" si="0"/>
        <v>0.33333333333333331</v>
      </c>
    </row>
    <row r="205" spans="1:8" ht="15.75" customHeight="1">
      <c r="A205" s="27" t="s">
        <v>1102</v>
      </c>
      <c r="C205" s="36">
        <v>8.5000000000000006E-2</v>
      </c>
      <c r="E205" s="27" t="s">
        <v>1097</v>
      </c>
      <c r="F205" s="27">
        <f t="shared" si="0"/>
        <v>0.33333333333333331</v>
      </c>
    </row>
    <row r="206" spans="1:8" ht="15.75" customHeight="1"/>
    <row r="207" spans="1:8" ht="15.75" customHeight="1">
      <c r="A207" s="27" t="s">
        <v>1084</v>
      </c>
      <c r="B207" s="27">
        <v>1.5</v>
      </c>
    </row>
    <row r="208" spans="1:8" ht="15.75" customHeight="1">
      <c r="A208" s="27" t="s">
        <v>1090</v>
      </c>
      <c r="B208" s="27">
        <v>0.4</v>
      </c>
    </row>
    <row r="209" spans="1:5" ht="15.75" customHeight="1">
      <c r="A209" s="27" t="s">
        <v>1103</v>
      </c>
      <c r="B209" s="27">
        <v>0</v>
      </c>
    </row>
    <row r="210" spans="1:5" ht="15.75" customHeight="1">
      <c r="A210" s="27" t="s">
        <v>1104</v>
      </c>
      <c r="B210" s="36">
        <v>-1.4E-2</v>
      </c>
    </row>
    <row r="211" spans="1:5" ht="15.75" customHeight="1"/>
    <row r="212" spans="1:5" ht="15.75" customHeight="1">
      <c r="A212" s="27" t="s">
        <v>1105</v>
      </c>
    </row>
    <row r="213" spans="1:5" ht="15.75" customHeight="1"/>
    <row r="214" spans="1:5" ht="15.75" customHeight="1">
      <c r="A214" s="27" t="s">
        <v>1106</v>
      </c>
    </row>
    <row r="215" spans="1:5" ht="15.75" customHeight="1"/>
    <row r="216" spans="1:5" ht="15.75" customHeight="1">
      <c r="A216" s="27" t="s">
        <v>1107</v>
      </c>
    </row>
    <row r="217" spans="1:5" ht="15.75" customHeight="1"/>
    <row r="218" spans="1:5" ht="15.75" customHeight="1">
      <c r="A218" s="27" t="s">
        <v>1108</v>
      </c>
    </row>
    <row r="219" spans="1:5" ht="15.75" customHeight="1">
      <c r="A219" s="27" t="s">
        <v>1109</v>
      </c>
    </row>
    <row r="220" spans="1:5" ht="15.75" customHeight="1"/>
    <row r="221" spans="1:5" ht="15.75" customHeight="1">
      <c r="A221" s="27" t="s">
        <v>1110</v>
      </c>
    </row>
    <row r="222" spans="1:5" ht="15.75" customHeight="1">
      <c r="A222" s="27" t="s">
        <v>1111</v>
      </c>
    </row>
    <row r="223" spans="1:5" ht="15.75" customHeight="1"/>
    <row r="224" spans="1:5" ht="15.75" customHeight="1">
      <c r="A224" s="27" t="s">
        <v>1047</v>
      </c>
      <c r="B224" s="27">
        <v>1</v>
      </c>
      <c r="C224" s="27">
        <v>1.5</v>
      </c>
      <c r="E224" s="27">
        <f>MDETERM(B224:C225)</f>
        <v>-1.1000000000000001</v>
      </c>
    </row>
    <row r="225" spans="1:5" ht="15.75" customHeight="1">
      <c r="B225" s="27">
        <v>1</v>
      </c>
      <c r="C225" s="27">
        <v>0.4</v>
      </c>
    </row>
    <row r="226" spans="1:5" ht="15.75" customHeight="1"/>
    <row r="227" spans="1:5" ht="15.75" customHeight="1">
      <c r="A227" s="27" t="s">
        <v>1112</v>
      </c>
      <c r="B227" s="27">
        <v>0.13</v>
      </c>
      <c r="C227" s="27">
        <v>1.5</v>
      </c>
      <c r="E227" s="27">
        <f>MDETERM(B227:C228)</f>
        <v>-5.3000000000000012E-2</v>
      </c>
    </row>
    <row r="228" spans="1:5" ht="15.75" customHeight="1">
      <c r="B228" s="27">
        <v>7.0000000000000007E-2</v>
      </c>
      <c r="C228" s="27">
        <v>0.4</v>
      </c>
    </row>
    <row r="229" spans="1:5" ht="15.75" customHeight="1"/>
    <row r="230" spans="1:5" ht="15.75" customHeight="1">
      <c r="A230" s="27" t="s">
        <v>1113</v>
      </c>
      <c r="B230" s="27">
        <v>1</v>
      </c>
      <c r="C230" s="27">
        <v>0.13</v>
      </c>
      <c r="E230" s="27">
        <f>MDETERM(B230:C231)</f>
        <v>-0.06</v>
      </c>
    </row>
    <row r="231" spans="1:5" ht="15.75" customHeight="1">
      <c r="B231" s="27">
        <v>1</v>
      </c>
      <c r="C231" s="27">
        <v>7.0000000000000007E-2</v>
      </c>
    </row>
    <row r="232" spans="1:5" ht="15.75" customHeight="1"/>
    <row r="233" spans="1:5" ht="15.75" customHeight="1">
      <c r="A233" s="27" t="s">
        <v>1082</v>
      </c>
      <c r="B233" s="27">
        <f>E227/E224</f>
        <v>4.8181818181818187E-2</v>
      </c>
    </row>
    <row r="234" spans="1:5" ht="15.75" customHeight="1">
      <c r="A234" s="27" t="s">
        <v>1114</v>
      </c>
      <c r="C234" s="27">
        <f>E230/E224</f>
        <v>5.4545454545454536E-2</v>
      </c>
    </row>
    <row r="235" spans="1:5" ht="15.75" customHeight="1"/>
    <row r="236" spans="1:5" ht="15.75" customHeight="1">
      <c r="A236" s="27" t="s">
        <v>1107</v>
      </c>
    </row>
    <row r="237" spans="1:5" ht="15.75" customHeight="1"/>
    <row r="238" spans="1:5" ht="15.75" customHeight="1">
      <c r="A238" s="27" t="s">
        <v>1115</v>
      </c>
    </row>
    <row r="239" spans="1:5" ht="15.75" customHeight="1"/>
    <row r="240" spans="1:5" ht="15.75" customHeight="1">
      <c r="A240" s="27" t="s">
        <v>1091</v>
      </c>
    </row>
    <row r="241" spans="1:3" ht="15.75" customHeight="1"/>
    <row r="242" spans="1:3" ht="15.75" customHeight="1">
      <c r="A242" s="27" t="s">
        <v>1116</v>
      </c>
    </row>
    <row r="243" spans="1:3" ht="15.75" customHeight="1"/>
    <row r="244" spans="1:3" ht="15.75" customHeight="1">
      <c r="A244" s="27" t="s">
        <v>1106</v>
      </c>
    </row>
    <row r="245" spans="1:3" ht="15.75" customHeight="1"/>
    <row r="246" spans="1:3" ht="15.75" customHeight="1">
      <c r="A246" s="137" t="s">
        <v>1117</v>
      </c>
    </row>
    <row r="247" spans="1:3" ht="15.75" customHeight="1">
      <c r="A247" s="192" t="s">
        <v>1118</v>
      </c>
      <c r="B247" s="193" t="s">
        <v>1119</v>
      </c>
      <c r="C247" s="194" t="s">
        <v>1120</v>
      </c>
    </row>
    <row r="248" spans="1:3" ht="15.75" customHeight="1">
      <c r="A248" s="195" t="s">
        <v>732</v>
      </c>
      <c r="B248" s="196">
        <v>0.105</v>
      </c>
      <c r="C248" s="197">
        <v>0.72</v>
      </c>
    </row>
    <row r="249" spans="1:3" ht="15.75" customHeight="1">
      <c r="A249" s="195" t="s">
        <v>733</v>
      </c>
      <c r="B249" s="196">
        <v>0.11799999999999999</v>
      </c>
      <c r="C249" s="197">
        <v>0.4</v>
      </c>
    </row>
    <row r="250" spans="1:3" ht="15.75" customHeight="1">
      <c r="A250" s="195" t="s">
        <v>757</v>
      </c>
      <c r="B250" s="196">
        <v>0.13700000000000001</v>
      </c>
      <c r="C250" s="197">
        <v>1.22</v>
      </c>
    </row>
    <row r="251" spans="1:3" ht="15.75" customHeight="1">
      <c r="A251" s="195" t="s">
        <v>438</v>
      </c>
      <c r="B251" s="196">
        <v>0.11600000000000001</v>
      </c>
      <c r="C251" s="197">
        <v>0.56000000000000005</v>
      </c>
    </row>
    <row r="252" spans="1:3" ht="15.75" customHeight="1">
      <c r="A252" s="126" t="s">
        <v>1121</v>
      </c>
    </row>
    <row r="253" spans="1:3" ht="15.75" customHeight="1"/>
    <row r="254" spans="1:3" ht="15.75" customHeight="1">
      <c r="A254" s="137" t="s">
        <v>1122</v>
      </c>
    </row>
    <row r="255" spans="1:3" ht="15.75" customHeight="1">
      <c r="A255" s="114"/>
    </row>
    <row r="256" spans="1:3" ht="15.75" customHeight="1">
      <c r="A256" s="137" t="s">
        <v>1123</v>
      </c>
    </row>
    <row r="257" spans="1:5" ht="15.75" customHeight="1"/>
    <row r="258" spans="1:5" ht="15.75" customHeight="1">
      <c r="A258" s="126" t="s">
        <v>1124</v>
      </c>
    </row>
    <row r="259" spans="1:5" ht="15.75" customHeight="1">
      <c r="A259" s="137"/>
    </row>
    <row r="260" spans="1:5" ht="15.75" customHeight="1">
      <c r="A260" s="137" t="s">
        <v>1125</v>
      </c>
    </row>
    <row r="261" spans="1:5" ht="15.75" customHeight="1">
      <c r="A261" s="137"/>
    </row>
    <row r="262" spans="1:5" ht="15.75" customHeight="1">
      <c r="A262" s="198" t="s">
        <v>1126</v>
      </c>
      <c r="B262" s="199" t="s">
        <v>732</v>
      </c>
      <c r="C262" s="199" t="s">
        <v>1127</v>
      </c>
    </row>
    <row r="263" spans="1:5" ht="15.75" customHeight="1">
      <c r="A263" s="200" t="s">
        <v>1128</v>
      </c>
      <c r="B263" s="201">
        <v>27</v>
      </c>
      <c r="C263" s="201">
        <v>20</v>
      </c>
    </row>
    <row r="264" spans="1:5" ht="15.75" customHeight="1">
      <c r="A264" s="200" t="s">
        <v>1129</v>
      </c>
      <c r="B264" s="201">
        <v>1.1000000000000001</v>
      </c>
      <c r="C264" s="201">
        <v>0.9</v>
      </c>
    </row>
    <row r="265" spans="1:5" ht="15.75" customHeight="1">
      <c r="A265" s="123"/>
    </row>
    <row r="266" spans="1:5" ht="15.75" customHeight="1">
      <c r="A266" s="126" t="s">
        <v>1130</v>
      </c>
    </row>
    <row r="267" spans="1:5" ht="15.75" customHeight="1"/>
    <row r="268" spans="1:5" ht="15.75" customHeight="1">
      <c r="A268" s="137" t="s">
        <v>1131</v>
      </c>
    </row>
    <row r="269" spans="1:5" ht="15.75" customHeight="1">
      <c r="A269" s="114"/>
      <c r="B269" s="47"/>
      <c r="C269" s="47"/>
      <c r="D269" s="47"/>
      <c r="E269" s="47"/>
    </row>
    <row r="270" spans="1:5" ht="15.75" customHeight="1">
      <c r="A270" s="202" t="s">
        <v>1126</v>
      </c>
      <c r="B270" s="203" t="s">
        <v>732</v>
      </c>
      <c r="C270" s="203" t="s">
        <v>1127</v>
      </c>
      <c r="D270" s="204" t="s">
        <v>1132</v>
      </c>
      <c r="E270" s="203" t="s">
        <v>1133</v>
      </c>
    </row>
    <row r="271" spans="1:5" ht="15.75" customHeight="1">
      <c r="A271" s="205" t="s">
        <v>1128</v>
      </c>
      <c r="B271" s="206">
        <v>26</v>
      </c>
      <c r="C271" s="206">
        <v>18</v>
      </c>
      <c r="D271" s="207">
        <v>22</v>
      </c>
      <c r="E271" s="208"/>
    </row>
    <row r="272" spans="1:5" ht="15.75" customHeight="1">
      <c r="A272" s="205" t="s">
        <v>1134</v>
      </c>
      <c r="B272" s="208"/>
      <c r="C272" s="208"/>
      <c r="D272" s="208"/>
      <c r="E272" s="206">
        <v>24</v>
      </c>
    </row>
    <row r="273" spans="1:5" ht="15.75" customHeight="1">
      <c r="A273" s="205" t="s">
        <v>1135</v>
      </c>
      <c r="B273" s="206">
        <v>0.8</v>
      </c>
      <c r="C273" s="206">
        <v>0.9</v>
      </c>
      <c r="D273" s="207">
        <v>1.4</v>
      </c>
      <c r="E273" s="206">
        <v>1.2</v>
      </c>
    </row>
    <row r="274" spans="1:5" ht="15.75" customHeight="1">
      <c r="A274" s="137" t="s">
        <v>1136</v>
      </c>
    </row>
    <row r="275" spans="1:5" ht="15.75" customHeight="1">
      <c r="A275" s="426" t="s">
        <v>1137</v>
      </c>
      <c r="B275" s="405"/>
      <c r="C275" s="405"/>
      <c r="D275" s="405"/>
      <c r="E275" s="405"/>
    </row>
    <row r="276" spans="1:5" ht="15.75" customHeight="1"/>
    <row r="277" spans="1:5" ht="15.75" customHeight="1">
      <c r="A277" s="137" t="s">
        <v>1138</v>
      </c>
    </row>
    <row r="278" spans="1:5" ht="15.75" customHeight="1">
      <c r="B278" s="47"/>
      <c r="C278" s="47"/>
      <c r="D278" s="47"/>
      <c r="E278" s="47"/>
    </row>
    <row r="279" spans="1:5" ht="15.75" customHeight="1">
      <c r="A279" s="137" t="s">
        <v>1139</v>
      </c>
    </row>
    <row r="280" spans="1:5" ht="15.75" customHeight="1">
      <c r="A280" s="209"/>
    </row>
    <row r="281" spans="1:5" ht="15.75" customHeight="1">
      <c r="A281" s="126" t="s">
        <v>1140</v>
      </c>
    </row>
    <row r="282" spans="1:5" ht="15.75" customHeight="1"/>
    <row r="283" spans="1:5" ht="15.75" customHeight="1">
      <c r="A283" s="137" t="s">
        <v>1141</v>
      </c>
    </row>
    <row r="284" spans="1:5" ht="15.75" customHeight="1">
      <c r="A284" s="114"/>
    </row>
    <row r="285" spans="1:5" ht="15.75" customHeight="1">
      <c r="B285" s="157"/>
      <c r="C285" s="124" t="s">
        <v>150</v>
      </c>
      <c r="D285" s="157"/>
      <c r="E285" s="157"/>
    </row>
    <row r="286" spans="1:5" ht="15.75" customHeight="1"/>
    <row r="287" spans="1:5" ht="15.75" customHeight="1">
      <c r="A287" s="127" t="s">
        <v>1142</v>
      </c>
    </row>
    <row r="288" spans="1:5" ht="15.75" customHeight="1">
      <c r="A288" s="210" t="s">
        <v>506</v>
      </c>
      <c r="B288" s="211">
        <v>0.4</v>
      </c>
      <c r="C288" s="211">
        <v>0.2</v>
      </c>
    </row>
    <row r="289" spans="1:10" ht="15.75" customHeight="1">
      <c r="A289" s="210"/>
      <c r="B289" s="211">
        <v>0.2</v>
      </c>
      <c r="C289" s="211">
        <v>0.3</v>
      </c>
    </row>
    <row r="290" spans="1:10" ht="15.75" customHeight="1">
      <c r="A290" s="24" t="s">
        <v>1143</v>
      </c>
    </row>
    <row r="291" spans="1:10" ht="15.75" customHeight="1">
      <c r="A291" s="80"/>
    </row>
    <row r="292" spans="1:10" ht="15.75" customHeight="1">
      <c r="A292" s="57"/>
    </row>
    <row r="293" spans="1:10" ht="15.75" customHeight="1">
      <c r="A293" s="108"/>
    </row>
    <row r="294" spans="1:10" ht="15.75" customHeight="1">
      <c r="A294" s="182" t="s">
        <v>723</v>
      </c>
      <c r="B294" s="34">
        <v>0.2</v>
      </c>
      <c r="D294" s="27" t="s">
        <v>506</v>
      </c>
      <c r="E294" s="27">
        <v>0.4</v>
      </c>
      <c r="F294" s="27">
        <v>0.2</v>
      </c>
      <c r="H294" s="27" t="s">
        <v>1055</v>
      </c>
      <c r="I294" s="27">
        <f t="array" ref="I294:J295">MINVERSE(E294:F295)</f>
        <v>3.75</v>
      </c>
      <c r="J294" s="27">
        <v>-2.5</v>
      </c>
    </row>
    <row r="295" spans="1:10" ht="15.75" customHeight="1">
      <c r="A295" s="27" t="s">
        <v>725</v>
      </c>
      <c r="B295" s="34">
        <v>0.1</v>
      </c>
      <c r="E295" s="27">
        <v>0.2</v>
      </c>
      <c r="F295" s="27">
        <v>0.3</v>
      </c>
      <c r="I295" s="27">
        <v>-2.5</v>
      </c>
      <c r="J295" s="27">
        <v>5</v>
      </c>
    </row>
    <row r="296" spans="1:10" ht="15.75" customHeight="1"/>
    <row r="297" spans="1:10" ht="15.75" customHeight="1">
      <c r="D297" s="27" t="s">
        <v>1039</v>
      </c>
      <c r="E297" s="27">
        <v>1</v>
      </c>
      <c r="G297" s="27" t="s">
        <v>1144</v>
      </c>
      <c r="H297" s="27">
        <v>1</v>
      </c>
      <c r="I297" s="27">
        <v>1</v>
      </c>
    </row>
    <row r="298" spans="1:10" ht="15.75" customHeight="1">
      <c r="E298" s="27">
        <v>1</v>
      </c>
    </row>
    <row r="299" spans="1:10" ht="15.75" customHeight="1"/>
    <row r="300" spans="1:10" ht="15.75" customHeight="1">
      <c r="A300" s="27" t="s">
        <v>1035</v>
      </c>
      <c r="B300" s="27">
        <v>0.4</v>
      </c>
      <c r="D300" s="27" t="s">
        <v>353</v>
      </c>
      <c r="E300" s="27">
        <f t="array" ref="E300">MMULT(H297:I297,MMULT(I294:J295,E297:E298))</f>
        <v>3.75</v>
      </c>
    </row>
    <row r="301" spans="1:10" ht="15.75" customHeight="1">
      <c r="A301" s="27" t="s">
        <v>771</v>
      </c>
      <c r="B301" s="27">
        <v>0.4</v>
      </c>
      <c r="D301" s="27" t="s">
        <v>796</v>
      </c>
      <c r="E301" s="133">
        <f t="array" ref="E301:E302">1/E300*MMULT(I294:J295,E297:E298)</f>
        <v>0.33333333333333331</v>
      </c>
    </row>
    <row r="302" spans="1:10" ht="15.75" customHeight="1">
      <c r="A302" s="27" t="s">
        <v>1036</v>
      </c>
      <c r="B302" s="27">
        <v>0.2</v>
      </c>
      <c r="E302" s="133">
        <v>0.66666666666666663</v>
      </c>
    </row>
    <row r="303" spans="1:10" ht="15.75" customHeight="1"/>
    <row r="304" spans="1:10" ht="15.75" customHeight="1">
      <c r="A304" s="27" t="s">
        <v>1145</v>
      </c>
    </row>
    <row r="305" spans="1:5" ht="15.75" customHeight="1">
      <c r="A305" s="27" t="s">
        <v>1146</v>
      </c>
    </row>
    <row r="306" spans="1:5" ht="15.75" customHeight="1"/>
    <row r="307" spans="1:5" ht="15.75" customHeight="1">
      <c r="A307" s="27" t="s">
        <v>486</v>
      </c>
      <c r="B307" s="27" t="s">
        <v>597</v>
      </c>
      <c r="C307" s="27" t="s">
        <v>1147</v>
      </c>
    </row>
    <row r="308" spans="1:5" ht="15.75" customHeight="1">
      <c r="A308" s="27">
        <v>0.8</v>
      </c>
      <c r="B308" s="27">
        <v>0.4</v>
      </c>
      <c r="C308" s="27">
        <v>1</v>
      </c>
    </row>
    <row r="309" spans="1:5" ht="15.75" customHeight="1">
      <c r="A309" s="27">
        <v>0.4</v>
      </c>
      <c r="B309" s="27">
        <v>0.6</v>
      </c>
      <c r="C309" s="27">
        <v>1</v>
      </c>
    </row>
    <row r="310" spans="1:5" ht="15.75" customHeight="1">
      <c r="A310" s="27" t="s">
        <v>1148</v>
      </c>
    </row>
    <row r="311" spans="1:5" ht="15.75" customHeight="1">
      <c r="A311" s="27" t="s">
        <v>1149</v>
      </c>
    </row>
    <row r="312" spans="1:5" ht="15.75" customHeight="1">
      <c r="A312" s="27" t="s">
        <v>1150</v>
      </c>
    </row>
    <row r="313" spans="1:5" ht="15.75" customHeight="1">
      <c r="A313" s="27" t="s">
        <v>1151</v>
      </c>
      <c r="C313" s="27" t="s">
        <v>796</v>
      </c>
      <c r="D313" s="133">
        <f>1/3</f>
        <v>0.33333333333333331</v>
      </c>
    </row>
    <row r="314" spans="1:5" ht="15.75" customHeight="1">
      <c r="A314" s="27" t="s">
        <v>1152</v>
      </c>
      <c r="D314" s="133">
        <f>2/3</f>
        <v>0.66666666666666663</v>
      </c>
    </row>
    <row r="315" spans="1:5" ht="15.75" customHeight="1"/>
    <row r="316" spans="1:5" ht="15.75" customHeight="1">
      <c r="A316" s="27" t="s">
        <v>729</v>
      </c>
      <c r="B316" s="133">
        <f>0.4*D313^2+0.4*D313*D314+0.3*D314^2</f>
        <v>0.26666666666666666</v>
      </c>
      <c r="D316" s="27" t="s">
        <v>1057</v>
      </c>
      <c r="E316" s="27">
        <f t="array" ref="E316">MMULT(TRANSPOSE(B294:B295),MMULT(I294:J295,E297:E298))</f>
        <v>0.5</v>
      </c>
    </row>
    <row r="317" spans="1:5" ht="15.75" customHeight="1">
      <c r="A317" s="27" t="s">
        <v>729</v>
      </c>
      <c r="B317" s="133">
        <f>1/E300</f>
        <v>0.26666666666666666</v>
      </c>
      <c r="D317" s="27" t="s">
        <v>728</v>
      </c>
      <c r="E317" s="133">
        <f>E316/E300</f>
        <v>0.13333333333333333</v>
      </c>
    </row>
    <row r="318" spans="1:5" ht="15.75" customHeight="1">
      <c r="A318" s="27" t="s">
        <v>728</v>
      </c>
      <c r="B318" s="133">
        <f>SUMPRODUCT(B294:B295,D313:D314)</f>
        <v>0.13333333333333333</v>
      </c>
    </row>
    <row r="319" spans="1:5" ht="15.75" customHeight="1"/>
    <row r="320" spans="1:5" ht="15.75" customHeight="1">
      <c r="A320" s="126" t="s">
        <v>1153</v>
      </c>
    </row>
    <row r="321" spans="1:10" ht="15.75" customHeight="1">
      <c r="B321" s="27">
        <v>4</v>
      </c>
      <c r="C321" s="27">
        <v>-3</v>
      </c>
      <c r="D321" s="27">
        <v>2</v>
      </c>
    </row>
    <row r="322" spans="1:10" ht="15.75" customHeight="1">
      <c r="A322" s="27" t="s">
        <v>506</v>
      </c>
      <c r="B322" s="27">
        <v>-3</v>
      </c>
      <c r="C322" s="27">
        <v>5</v>
      </c>
      <c r="D322" s="27">
        <v>0</v>
      </c>
    </row>
    <row r="323" spans="1:10" ht="15.75" customHeight="1">
      <c r="B323" s="27">
        <v>2</v>
      </c>
      <c r="C323" s="27">
        <v>0</v>
      </c>
      <c r="D323" s="27">
        <v>2</v>
      </c>
    </row>
    <row r="324" spans="1:10" ht="15.75" customHeight="1">
      <c r="A324" s="24" t="s">
        <v>1154</v>
      </c>
    </row>
    <row r="325" spans="1:10" ht="15.75" customHeight="1">
      <c r="A325" s="27" t="s">
        <v>723</v>
      </c>
      <c r="B325" s="34">
        <v>0.1</v>
      </c>
      <c r="I325" s="27" t="s">
        <v>1039</v>
      </c>
      <c r="J325" s="27">
        <v>1</v>
      </c>
    </row>
    <row r="326" spans="1:10" ht="15.75" customHeight="1">
      <c r="A326" s="27" t="s">
        <v>725</v>
      </c>
      <c r="B326" s="34">
        <v>0.2</v>
      </c>
      <c r="J326" s="27">
        <v>1</v>
      </c>
    </row>
    <row r="327" spans="1:10" ht="15.75" customHeight="1">
      <c r="A327" s="27" t="s">
        <v>727</v>
      </c>
      <c r="B327" s="34">
        <v>0.3</v>
      </c>
      <c r="J327" s="27">
        <v>1</v>
      </c>
    </row>
    <row r="328" spans="1:10" ht="15.75" customHeight="1">
      <c r="A328" s="27" t="s">
        <v>728</v>
      </c>
      <c r="B328" s="34">
        <v>0.25</v>
      </c>
      <c r="E328" s="27">
        <f t="array" ref="E328:G330">MINVERSE('[2]Портфель Марковица'!B291:D293)</f>
        <v>4.9999999999999982</v>
      </c>
      <c r="F328" s="27">
        <v>2.9999999999999991</v>
      </c>
      <c r="G328" s="27">
        <v>-4.9999999999999982</v>
      </c>
      <c r="I328" s="27" t="s">
        <v>1053</v>
      </c>
    </row>
    <row r="329" spans="1:10" ht="15.75" customHeight="1">
      <c r="A329" s="27" t="s">
        <v>1054</v>
      </c>
      <c r="D329" s="27" t="s">
        <v>1055</v>
      </c>
      <c r="E329" s="27">
        <v>2.9999999999999987</v>
      </c>
      <c r="F329" s="27">
        <v>1.9999999999999993</v>
      </c>
      <c r="G329" s="27">
        <v>-2.9999999999999987</v>
      </c>
      <c r="H329" s="27">
        <v>1</v>
      </c>
      <c r="I329" s="27">
        <v>1</v>
      </c>
      <c r="J329" s="27">
        <v>1</v>
      </c>
    </row>
    <row r="330" spans="1:10" ht="15.75" customHeight="1">
      <c r="A330" s="212">
        <f t="array" ref="A330:C330">TRANSPOSE(B325:B327)</f>
        <v>0.1</v>
      </c>
      <c r="B330" s="212">
        <v>0.2</v>
      </c>
      <c r="C330" s="212">
        <v>0.3</v>
      </c>
      <c r="E330" s="27">
        <v>-4.9999999999999982</v>
      </c>
      <c r="F330" s="27">
        <v>-2.9999999999999987</v>
      </c>
      <c r="G330" s="27">
        <v>5.4999999999999982</v>
      </c>
    </row>
    <row r="331" spans="1:10" ht="15.75" customHeight="1">
      <c r="A331" s="213" t="s">
        <v>1056</v>
      </c>
      <c r="I331" s="27" t="s">
        <v>353</v>
      </c>
      <c r="J331" s="27">
        <f t="array" ref="J331">MMULT(H329:J329,MMULT(E328:G330,J325:J327))</f>
        <v>2.5</v>
      </c>
    </row>
    <row r="332" spans="1:10" ht="15.75" customHeight="1">
      <c r="A332" s="27" t="s">
        <v>796</v>
      </c>
      <c r="B332" s="133">
        <f t="array" ref="B332:B334">MMULT(E328:G330,J335*J325:J327+J336*B325:B327)</f>
        <v>0.10714285714285765</v>
      </c>
      <c r="I332" s="27" t="s">
        <v>1057</v>
      </c>
      <c r="J332" s="27">
        <f t="array" ref="J332">MMULT(A330:C330,MMULT(E328:G330,J325:J327))</f>
        <v>-4.99999999999996E-2</v>
      </c>
    </row>
    <row r="333" spans="1:10" ht="15.75" customHeight="1">
      <c r="B333" s="133">
        <v>0.28571428571428559</v>
      </c>
      <c r="I333" s="27" t="s">
        <v>1046</v>
      </c>
      <c r="J333" s="27">
        <f t="array" ref="J333">MMULT(A330:C330,MMULT(E328:G330,B325:B327))</f>
        <v>8.5000000000000006E-2</v>
      </c>
    </row>
    <row r="334" spans="1:10" ht="15.75" customHeight="1">
      <c r="B334" s="133">
        <v>0.60714285714285676</v>
      </c>
      <c r="I334" s="27" t="s">
        <v>1047</v>
      </c>
      <c r="J334" s="27">
        <f>J331*J333-J332^2</f>
        <v>0.21000000000000008</v>
      </c>
    </row>
    <row r="335" spans="1:10" ht="15.75" customHeight="1">
      <c r="I335" s="27" t="s">
        <v>1048</v>
      </c>
      <c r="J335" s="27">
        <f>(J333-J332*B328)/J334</f>
        <v>0.46428571428571369</v>
      </c>
    </row>
    <row r="336" spans="1:10" ht="15.75" customHeight="1">
      <c r="A336" s="27" t="s">
        <v>729</v>
      </c>
      <c r="B336" s="34" cm="1">
        <f t="array" ref="B336">MMULT(TRANSPOSE(B332:B334),MMULT(B321:D323,B332:B334))</f>
        <v>1.2678571428571423</v>
      </c>
      <c r="I336" s="27" t="s">
        <v>1049</v>
      </c>
      <c r="J336" s="27">
        <f>(J331*B328-J332)/J334</f>
        <v>3.2142857142857113</v>
      </c>
    </row>
    <row r="337" spans="1:10" ht="15.75" customHeight="1">
      <c r="A337" s="27" t="s">
        <v>730</v>
      </c>
      <c r="B337" s="214">
        <f>SQRT(B336)</f>
        <v>1.125991626459603</v>
      </c>
    </row>
    <row r="338" spans="1:10" ht="15.75" customHeight="1"/>
    <row r="339" spans="1:10" ht="15.75" customHeight="1">
      <c r="A339" s="126" t="s">
        <v>1155</v>
      </c>
    </row>
    <row r="340" spans="1:10" ht="15.75" customHeight="1">
      <c r="A340" s="27" t="s">
        <v>506</v>
      </c>
      <c r="B340" s="27">
        <v>10</v>
      </c>
      <c r="C340" s="27">
        <v>-6</v>
      </c>
    </row>
    <row r="341" spans="1:10" ht="15.75" customHeight="1">
      <c r="B341" s="27">
        <v>-6</v>
      </c>
      <c r="C341" s="27">
        <v>2</v>
      </c>
    </row>
    <row r="342" spans="1:10" ht="15.75" customHeight="1">
      <c r="A342" s="24" t="s">
        <v>1156</v>
      </c>
    </row>
    <row r="343" spans="1:10" ht="15.75" customHeight="1">
      <c r="A343" s="27" t="s">
        <v>723</v>
      </c>
      <c r="B343" s="34">
        <v>0.25</v>
      </c>
      <c r="D343" s="27" t="s">
        <v>506</v>
      </c>
      <c r="E343" s="27">
        <v>10</v>
      </c>
      <c r="F343" s="27">
        <v>-6</v>
      </c>
      <c r="H343" s="27" t="s">
        <v>1055</v>
      </c>
      <c r="I343" s="27">
        <f t="array" ref="I343:J344">MINVERSE(E343:F344)</f>
        <v>-0.12500000000000006</v>
      </c>
      <c r="J343" s="27">
        <v>-0.37500000000000011</v>
      </c>
    </row>
    <row r="344" spans="1:10" ht="15.75" customHeight="1">
      <c r="A344" s="27" t="s">
        <v>725</v>
      </c>
      <c r="B344" s="34">
        <v>0.12</v>
      </c>
      <c r="E344" s="27">
        <v>-6</v>
      </c>
      <c r="F344" s="27">
        <v>2</v>
      </c>
      <c r="I344" s="27">
        <v>-0.37500000000000006</v>
      </c>
      <c r="J344" s="27">
        <v>-0.62500000000000011</v>
      </c>
    </row>
    <row r="345" spans="1:10" ht="15.75" customHeight="1">
      <c r="A345" s="27" t="s">
        <v>1060</v>
      </c>
      <c r="B345" s="34">
        <v>0.23</v>
      </c>
    </row>
    <row r="346" spans="1:10" ht="15.75" customHeight="1">
      <c r="B346" s="34"/>
      <c r="D346" s="27" t="s">
        <v>1039</v>
      </c>
      <c r="E346" s="27">
        <v>1</v>
      </c>
      <c r="G346" s="27" t="s">
        <v>1041</v>
      </c>
      <c r="H346" s="27">
        <v>1</v>
      </c>
      <c r="I346" s="27">
        <v>1</v>
      </c>
    </row>
    <row r="347" spans="1:10" ht="15.75" customHeight="1">
      <c r="A347" s="27" t="s">
        <v>353</v>
      </c>
      <c r="B347" s="27">
        <f t="array" ref="B347">MMULT(H346:I346,MMULT(I343:J344,E346:E347))</f>
        <v>-1.5000000000000004</v>
      </c>
      <c r="E347" s="27">
        <v>1</v>
      </c>
    </row>
    <row r="348" spans="1:10" ht="15.75" customHeight="1">
      <c r="A348" s="27" t="s">
        <v>1057</v>
      </c>
      <c r="B348" s="27">
        <f t="array" ref="B348">MMULT(TRANSPOSE(B343:B344),MMULT(I343:J344,E346:E347))</f>
        <v>-0.24500000000000008</v>
      </c>
      <c r="D348" s="27" t="s">
        <v>796</v>
      </c>
      <c r="E348" s="133">
        <f t="array" ref="E348:E349">MMULT(I343:J344,((B349-B348*B345)/B350)*E346:E347+((B347*B345-B348)/B350)*B343:B344)</f>
        <v>0.84615384615384115</v>
      </c>
    </row>
    <row r="349" spans="1:10" ht="15.75" customHeight="1">
      <c r="A349" s="27" t="s">
        <v>1046</v>
      </c>
      <c r="B349" s="27">
        <f t="array" ref="B349">MMULT(TRANSPOSE(B343:B344),MMULT(I343:J344,B343:B344))</f>
        <v>-3.9312500000000007E-2</v>
      </c>
      <c r="E349" s="133">
        <v>0.15384615384615552</v>
      </c>
    </row>
    <row r="350" spans="1:10" ht="15.75" customHeight="1">
      <c r="A350" s="27" t="s">
        <v>1047</v>
      </c>
      <c r="B350" s="27">
        <f>B347*B349-B348^2</f>
        <v>-1.0562500000000086E-3</v>
      </c>
      <c r="D350" s="27" t="s">
        <v>729</v>
      </c>
      <c r="E350" s="27">
        <f>(B347*B345^2-2*B348*B345+B349)/B350</f>
        <v>5.6449704142011399</v>
      </c>
    </row>
    <row r="351" spans="1:10" ht="15.75" customHeight="1">
      <c r="A351" s="27" t="s">
        <v>1061</v>
      </c>
      <c r="B351" s="36">
        <f>B348/B347</f>
        <v>0.16333333333333333</v>
      </c>
      <c r="C351" s="27" t="s">
        <v>1062</v>
      </c>
      <c r="D351" s="27" t="s">
        <v>730</v>
      </c>
      <c r="E351" s="165">
        <f>SQRT(E350)</f>
        <v>2.3759146479200677</v>
      </c>
    </row>
    <row r="352" spans="1:10" ht="15.75" customHeight="1">
      <c r="A352" s="27" t="s">
        <v>1048</v>
      </c>
      <c r="B352" s="27">
        <f>(B349-B348*B345)/B350</f>
        <v>-16.130177514792781</v>
      </c>
    </row>
    <row r="353" spans="1:10" ht="15.75" customHeight="1">
      <c r="A353" s="27" t="s">
        <v>1049</v>
      </c>
      <c r="B353" s="27">
        <f>(B347*B345-B348)/B350</f>
        <v>94.674556213017041</v>
      </c>
    </row>
    <row r="354" spans="1:10" ht="15.75" customHeight="1">
      <c r="A354" s="126" t="s">
        <v>1157</v>
      </c>
    </row>
    <row r="355" spans="1:10" ht="15.75" customHeight="1">
      <c r="A355" s="27" t="s">
        <v>506</v>
      </c>
      <c r="B355" s="27">
        <v>4</v>
      </c>
      <c r="C355" s="27">
        <v>-3</v>
      </c>
    </row>
    <row r="356" spans="1:10" ht="15.75" customHeight="1">
      <c r="B356" s="27">
        <v>-3</v>
      </c>
      <c r="C356" s="27">
        <v>2</v>
      </c>
    </row>
    <row r="357" spans="1:10" ht="15.75" customHeight="1">
      <c r="A357" s="24" t="s">
        <v>1158</v>
      </c>
    </row>
    <row r="358" spans="1:10" ht="15.75" customHeight="1">
      <c r="A358" s="80"/>
    </row>
    <row r="359" spans="1:10" ht="15.75" customHeight="1">
      <c r="A359" s="27" t="s">
        <v>723</v>
      </c>
      <c r="B359" s="34">
        <v>0.15</v>
      </c>
      <c r="D359" s="27" t="s">
        <v>506</v>
      </c>
      <c r="E359" s="27">
        <v>4</v>
      </c>
      <c r="F359" s="27">
        <v>-3</v>
      </c>
      <c r="H359" s="27" t="s">
        <v>1055</v>
      </c>
      <c r="I359" s="27">
        <f t="array" ref="I359:J360">MINVERSE(E359:F360)</f>
        <v>-2</v>
      </c>
      <c r="J359" s="27">
        <v>-3</v>
      </c>
    </row>
    <row r="360" spans="1:10" ht="15.75" customHeight="1">
      <c r="A360" s="27" t="s">
        <v>725</v>
      </c>
      <c r="B360" s="34">
        <v>0.32</v>
      </c>
      <c r="E360" s="27">
        <v>-3</v>
      </c>
      <c r="F360" s="27">
        <v>2</v>
      </c>
      <c r="I360" s="27">
        <v>-3</v>
      </c>
      <c r="J360" s="27">
        <v>-4</v>
      </c>
    </row>
    <row r="361" spans="1:10" ht="15.75" customHeight="1">
      <c r="A361" s="27" t="s">
        <v>1070</v>
      </c>
      <c r="B361" s="34">
        <v>0.45</v>
      </c>
    </row>
    <row r="362" spans="1:10" ht="15.75" customHeight="1">
      <c r="B362" s="34"/>
      <c r="D362" s="27" t="s">
        <v>1039</v>
      </c>
      <c r="E362" s="27">
        <v>1</v>
      </c>
      <c r="G362" s="27" t="s">
        <v>1041</v>
      </c>
      <c r="H362" s="27">
        <v>1</v>
      </c>
      <c r="I362" s="27">
        <v>1</v>
      </c>
    </row>
    <row r="363" spans="1:10" ht="15.75" customHeight="1">
      <c r="A363" s="27" t="s">
        <v>353</v>
      </c>
      <c r="B363" s="27">
        <f t="array" ref="B363">MMULT(H362:I362,MMULT(I359:J360,E362:E363))</f>
        <v>-12</v>
      </c>
      <c r="E363" s="27">
        <v>1</v>
      </c>
    </row>
    <row r="364" spans="1:10" ht="15.75" customHeight="1">
      <c r="A364" s="27" t="s">
        <v>1057</v>
      </c>
      <c r="B364" s="27">
        <f t="array" ref="B364">MMULT(TRANSPOSE(B359:B360),MMULT(I359:J360,E362:E363))</f>
        <v>-2.99</v>
      </c>
    </row>
    <row r="365" spans="1:10" ht="15.75" customHeight="1">
      <c r="A365" s="27" t="s">
        <v>1046</v>
      </c>
      <c r="B365" s="27">
        <f t="array" ref="B365">MMULT(TRANSPOSE(B359:B360),MMULT(I359:J360,B359:B360))</f>
        <v>-0.74259999999999993</v>
      </c>
      <c r="D365" s="27" t="s">
        <v>1071</v>
      </c>
      <c r="E365" s="133">
        <f t="array" ref="E365:E366">MMULT(I359:J360,B368*E362:E363+B369*B359:B360)</f>
        <v>0.26233117352123925</v>
      </c>
    </row>
    <row r="366" spans="1:10" ht="15.75" customHeight="1">
      <c r="A366" s="27" t="s">
        <v>1047</v>
      </c>
      <c r="B366" s="27">
        <f>B363*B365-B364^2</f>
        <v>-2.8900000000001924E-2</v>
      </c>
      <c r="E366" s="133">
        <v>0.73766882647876519</v>
      </c>
    </row>
    <row r="367" spans="1:10" ht="15.75" customHeight="1">
      <c r="A367" s="27" t="s">
        <v>1044</v>
      </c>
      <c r="B367" s="165">
        <f>B364/B363+SQRT((B361^2-1/B363)*B366/B363)</f>
        <v>0.2754037005013914</v>
      </c>
    </row>
    <row r="368" spans="1:10" ht="15.75" customHeight="1">
      <c r="A368" s="27" t="s">
        <v>1048</v>
      </c>
      <c r="B368" s="27">
        <f>(B365-B364*B367)/B366</f>
        <v>-2.7978223010088246</v>
      </c>
    </row>
    <row r="369" spans="1:5" ht="15.75" customHeight="1">
      <c r="A369" s="27" t="s">
        <v>1049</v>
      </c>
      <c r="B369" s="27">
        <f>(B363*B367-B364)/B366</f>
        <v>10.89427010438324</v>
      </c>
    </row>
    <row r="370" spans="1:5" ht="15.75" customHeight="1"/>
    <row r="371" spans="1:5" ht="15.75" customHeight="1">
      <c r="A371" s="137" t="s">
        <v>1159</v>
      </c>
    </row>
    <row r="372" spans="1:5" ht="15.75" customHeight="1">
      <c r="A372" s="137"/>
    </row>
    <row r="373" spans="1:5" ht="15.75" customHeight="1">
      <c r="A373" s="27" t="s">
        <v>723</v>
      </c>
      <c r="B373" s="27">
        <v>0.09</v>
      </c>
      <c r="D373" s="27" t="s">
        <v>796</v>
      </c>
      <c r="E373" s="133">
        <f>B380</f>
        <v>0.31578947368421051</v>
      </c>
    </row>
    <row r="374" spans="1:5" ht="15.75" customHeight="1">
      <c r="A374" s="27" t="s">
        <v>725</v>
      </c>
      <c r="B374" s="27">
        <v>0.28000000000000003</v>
      </c>
      <c r="E374" s="133">
        <f>B379</f>
        <v>0.68421052631578949</v>
      </c>
    </row>
    <row r="375" spans="1:5" ht="15.75" customHeight="1">
      <c r="A375" s="27" t="s">
        <v>742</v>
      </c>
      <c r="B375" s="27">
        <v>0</v>
      </c>
      <c r="E375" s="133"/>
    </row>
    <row r="376" spans="1:5" ht="15.75" customHeight="1">
      <c r="A376" s="27" t="s">
        <v>744</v>
      </c>
      <c r="B376" s="27">
        <v>0.49</v>
      </c>
      <c r="D376" s="27" t="s">
        <v>730</v>
      </c>
      <c r="E376" s="215">
        <f>SQRT(B380^2*B375^2+B379^2*B376^2)</f>
        <v>0.33526315789473682</v>
      </c>
    </row>
    <row r="377" spans="1:5" ht="15.75" customHeight="1">
      <c r="A377" s="27" t="s">
        <v>728</v>
      </c>
      <c r="B377" s="27">
        <v>0.22</v>
      </c>
    </row>
    <row r="378" spans="1:5" ht="15.75" customHeight="1">
      <c r="A378" s="27" t="s">
        <v>1160</v>
      </c>
    </row>
    <row r="379" spans="1:5" ht="15.75" customHeight="1">
      <c r="A379" s="27" t="s">
        <v>724</v>
      </c>
      <c r="B379" s="27">
        <f>13/19</f>
        <v>0.68421052631578949</v>
      </c>
    </row>
    <row r="380" spans="1:5" ht="15.75" customHeight="1">
      <c r="A380" s="27" t="s">
        <v>722</v>
      </c>
      <c r="B380" s="27">
        <f>1-B379</f>
        <v>0.31578947368421051</v>
      </c>
    </row>
    <row r="381" spans="1:5" ht="15.75" customHeight="1"/>
    <row r="382" spans="1:5" ht="15.75" customHeight="1">
      <c r="A382" s="24" t="s">
        <v>1161</v>
      </c>
    </row>
    <row r="383" spans="1:5" ht="15.75" customHeight="1">
      <c r="B383">
        <v>0.33</v>
      </c>
      <c r="C383">
        <v>-0.2</v>
      </c>
    </row>
    <row r="384" spans="1:5" ht="15.75" customHeight="1">
      <c r="A384" t="s">
        <v>506</v>
      </c>
      <c r="B384">
        <v>-0.2</v>
      </c>
      <c r="C384">
        <v>0.48</v>
      </c>
    </row>
    <row r="385" spans="1:18" ht="15.75" customHeight="1">
      <c r="A385" t="s">
        <v>1162</v>
      </c>
      <c r="R385" s="217"/>
    </row>
    <row r="386" spans="1:18" ht="15.75" customHeight="1">
      <c r="A386" t="s">
        <v>1163</v>
      </c>
      <c r="B386" s="3">
        <v>5.5E-2</v>
      </c>
      <c r="E386">
        <v>0.33</v>
      </c>
      <c r="F386">
        <v>-0.2</v>
      </c>
      <c r="I386" cm="1">
        <f t="array" ref="I386:J387">MINVERSE(E386:F387)</f>
        <v>4.0540540540540544</v>
      </c>
      <c r="J386">
        <v>1.6891891891891893</v>
      </c>
    </row>
    <row r="387" spans="1:18" ht="15.75" customHeight="1">
      <c r="A387" t="s">
        <v>725</v>
      </c>
      <c r="B387" s="2">
        <v>0.21</v>
      </c>
      <c r="D387" t="s">
        <v>1164</v>
      </c>
      <c r="E387">
        <v>-0.2</v>
      </c>
      <c r="F387">
        <v>0.48</v>
      </c>
      <c r="H387" t="s">
        <v>1055</v>
      </c>
      <c r="I387">
        <v>1.6891891891891893</v>
      </c>
      <c r="J387">
        <v>2.7871621621621623</v>
      </c>
    </row>
    <row r="388" spans="1:18" ht="15.75" customHeight="1">
      <c r="A388" t="s">
        <v>727</v>
      </c>
      <c r="B388" s="2">
        <v>0.32</v>
      </c>
    </row>
    <row r="389" spans="1:18" ht="15.75" customHeight="1">
      <c r="A389" t="s">
        <v>1044</v>
      </c>
      <c r="B389" s="2">
        <v>0.13</v>
      </c>
      <c r="D389" t="s">
        <v>1041</v>
      </c>
      <c r="E389">
        <v>1</v>
      </c>
      <c r="F389">
        <v>1</v>
      </c>
      <c r="G389" t="s">
        <v>1039</v>
      </c>
      <c r="H389">
        <v>1</v>
      </c>
    </row>
    <row r="390" spans="1:18" ht="15.75" customHeight="1">
      <c r="A390" t="s">
        <v>353</v>
      </c>
      <c r="B390" cm="1">
        <f t="array" ref="B390">MMULT(E389:F389,MMULT(_xlfn.ANCHORARRAY(I386),H389:H390))</f>
        <v>10.219594594594597</v>
      </c>
      <c r="H390">
        <v>1</v>
      </c>
    </row>
    <row r="391" spans="1:18" ht="15.75" customHeight="1">
      <c r="A391" t="s">
        <v>1057</v>
      </c>
      <c r="B391" cm="1">
        <f t="array" ref="B391">MMULT(E389:F389,MMULT(_xlfn.ANCHORARRAY(I386),B387:B388))</f>
        <v>2.638513513513514</v>
      </c>
      <c r="D391" t="s">
        <v>1165</v>
      </c>
      <c r="E391" s="10">
        <f t="array" ref="E391">1-MMULT(E389:F389,E392:E393)</f>
        <v>0.63941919870933051</v>
      </c>
      <c r="G391" t="s">
        <v>730</v>
      </c>
      <c r="H391" s="4">
        <f>(B389-B386)/SQRT(B394)</f>
        <v>0.11412286774475368</v>
      </c>
    </row>
    <row r="392" spans="1:18" ht="15.75" customHeight="1">
      <c r="A392" t="s">
        <v>1046</v>
      </c>
      <c r="B392">
        <f t="array" ref="B392">MMULT(TRANSPOSE(B387:B388),MMULT(_xlfn.ANCHORARRAY(I386),B387:B388))</f>
        <v>0.69121621621621632</v>
      </c>
      <c r="D392" t="s">
        <v>796</v>
      </c>
      <c r="E392" s="10">
        <f t="array" ref="E392:E393">(B389-B386)/B394*MMULT(I386:J387,B387:B388-B386*H389:H390)</f>
        <v>0.1868537485638857</v>
      </c>
    </row>
    <row r="393" spans="1:18" ht="15.75" customHeight="1">
      <c r="A393" t="s">
        <v>1047</v>
      </c>
      <c r="B393">
        <f>B390*B392-B391^2</f>
        <v>0.10219594594594561</v>
      </c>
      <c r="E393" s="10">
        <v>0.17372705272678385</v>
      </c>
    </row>
    <row r="394" spans="1:18" ht="15.75" customHeight="1">
      <c r="A394" t="s">
        <v>1166</v>
      </c>
      <c r="B394">
        <f>B390*B386^2-2*B391*B386+B392</f>
        <v>0.43189400337837847</v>
      </c>
    </row>
    <row r="395" spans="1:18" ht="15.75" customHeight="1">
      <c r="A395" t="s">
        <v>1167</v>
      </c>
    </row>
    <row r="396" spans="1:18" ht="15.75" customHeight="1">
      <c r="B396">
        <v>0.42</v>
      </c>
      <c r="C396">
        <v>-0.23</v>
      </c>
    </row>
    <row r="397" spans="1:18" ht="15.75" customHeight="1">
      <c r="A397" t="s">
        <v>506</v>
      </c>
      <c r="B397">
        <v>-0.23</v>
      </c>
      <c r="C397">
        <v>0.49</v>
      </c>
    </row>
    <row r="398" spans="1:18" ht="15.75" customHeight="1">
      <c r="A398" t="s">
        <v>1168</v>
      </c>
      <c r="K398" s="217"/>
    </row>
    <row r="399" spans="1:18" ht="15.75" customHeight="1">
      <c r="A399" t="s">
        <v>1163</v>
      </c>
      <c r="B399" s="3">
        <v>3.5000000000000003E-2</v>
      </c>
      <c r="E399">
        <v>0.42</v>
      </c>
      <c r="F399">
        <v>-0.23</v>
      </c>
      <c r="I399" cm="1">
        <f t="array" ref="I399:J400">MINVERSE(E399:F400)</f>
        <v>3.2047089601046435</v>
      </c>
      <c r="J399">
        <v>1.5042511445389146</v>
      </c>
    </row>
    <row r="400" spans="1:18" ht="15.75" customHeight="1">
      <c r="A400" t="s">
        <v>725</v>
      </c>
      <c r="B400" s="2">
        <v>0.21</v>
      </c>
      <c r="D400" t="s">
        <v>1164</v>
      </c>
      <c r="E400">
        <v>-0.23</v>
      </c>
      <c r="F400">
        <v>0.49</v>
      </c>
      <c r="H400" t="s">
        <v>1055</v>
      </c>
      <c r="I400">
        <v>1.5042511445389146</v>
      </c>
      <c r="J400">
        <v>2.7468933943754092</v>
      </c>
    </row>
    <row r="401" spans="1:8" ht="15.75" customHeight="1">
      <c r="A401" t="s">
        <v>727</v>
      </c>
      <c r="B401" s="2">
        <v>0.38</v>
      </c>
    </row>
    <row r="402" spans="1:8" ht="15.75" customHeight="1">
      <c r="B402" s="2"/>
      <c r="D402" t="s">
        <v>1041</v>
      </c>
      <c r="E402">
        <v>1</v>
      </c>
      <c r="F402">
        <v>1</v>
      </c>
      <c r="G402" t="s">
        <v>1039</v>
      </c>
      <c r="H402">
        <v>1</v>
      </c>
    </row>
    <row r="403" spans="1:8" ht="15.75" customHeight="1">
      <c r="A403" t="s">
        <v>353</v>
      </c>
      <c r="B403">
        <f t="array" ref="B403">MMULT(E402:F402,MMULT(_xlfn.ANCHORARRAY(I399),H402:H403))</f>
        <v>8.9601046435578819</v>
      </c>
      <c r="H403">
        <v>1</v>
      </c>
    </row>
    <row r="404" spans="1:8" ht="15.75" customHeight="1">
      <c r="A404" t="s">
        <v>1057</v>
      </c>
      <c r="B404">
        <f t="array" ref="B404">MMULT(E402:F402,MMULT(_xlfn.ANCHORARRAY(I399),B400:B401))</f>
        <v>2.6043165467625906</v>
      </c>
      <c r="D404" t="s">
        <v>1165</v>
      </c>
      <c r="E404" s="10">
        <f t="array" ref="E404">1-MMULT(E402:F402,E405:E406)</f>
        <v>0</v>
      </c>
    </row>
    <row r="405" spans="1:8" ht="15.75" customHeight="1">
      <c r="A405" t="s">
        <v>1046</v>
      </c>
      <c r="B405">
        <f t="array" ref="B405">MMULT(TRANSPOSE(B400:B401),MMULT(_xlfn.ANCHORARRAY(I399),B400:B401))</f>
        <v>0.77805755395683474</v>
      </c>
      <c r="D405" t="s">
        <v>796</v>
      </c>
      <c r="E405" s="10">
        <f t="array" ref="E405:E406">(B408-B399)/B407*MMULT(I399:J400,B400:B401-B399*H402:H403)</f>
        <v>0.47137758743754432</v>
      </c>
    </row>
    <row r="406" spans="1:8" ht="15.75" customHeight="1">
      <c r="A406" t="s">
        <v>1047</v>
      </c>
      <c r="B406">
        <f>B403*B405-B404^2</f>
        <v>0.18901242642249727</v>
      </c>
      <c r="E406" s="10">
        <v>0.52862241256245524</v>
      </c>
    </row>
    <row r="407" spans="1:8" ht="15.75" customHeight="1">
      <c r="A407" t="s">
        <v>1166</v>
      </c>
      <c r="B407">
        <f>B403*B399^2-2*B404*B399+B405</f>
        <v>0.60673152387181184</v>
      </c>
    </row>
    <row r="408" spans="1:8" ht="15.75" customHeight="1">
      <c r="A408" t="s">
        <v>1169</v>
      </c>
      <c r="B408" s="11">
        <f>(B405-B404*B399)/(B404-B403*B399)</f>
        <v>0.29986581013561742</v>
      </c>
    </row>
    <row r="409" spans="1:8" ht="15.75" customHeight="1">
      <c r="A409" t="s">
        <v>1170</v>
      </c>
      <c r="B409" s="8">
        <f>SQRT(B407)/(B404-B403*B399)</f>
        <v>0.34003813184053133</v>
      </c>
    </row>
    <row r="410" spans="1:8" ht="15.75" customHeight="1">
      <c r="A410" t="s">
        <v>1171</v>
      </c>
    </row>
    <row r="411" spans="1:8" ht="15.75" customHeight="1">
      <c r="A411" t="s">
        <v>1172</v>
      </c>
      <c r="B411">
        <v>4</v>
      </c>
    </row>
    <row r="412" spans="1:8" ht="15.75" customHeight="1">
      <c r="A412" t="s">
        <v>1173</v>
      </c>
      <c r="B412">
        <f>0.28/2</f>
        <v>0.14000000000000001</v>
      </c>
    </row>
    <row r="413" spans="1:8" ht="15.75" customHeight="1">
      <c r="A413" t="s">
        <v>1174</v>
      </c>
      <c r="B413">
        <v>1.9E-2</v>
      </c>
    </row>
    <row r="414" spans="1:8" ht="15.75" customHeight="1">
      <c r="A414" t="s">
        <v>1163</v>
      </c>
      <c r="B414">
        <v>2.3E-2</v>
      </c>
    </row>
    <row r="415" spans="1:8" ht="15.75" customHeight="1">
      <c r="A415" t="s">
        <v>1169</v>
      </c>
      <c r="B415" s="11">
        <f>(B413-B412*B414)/(B412-B411*B414)</f>
        <v>0.32874999999999988</v>
      </c>
    </row>
    <row r="416" spans="1:8" ht="15.75" customHeight="1">
      <c r="A416" t="s">
        <v>730</v>
      </c>
      <c r="B416" s="11">
        <f>SQRT(B411*B415^2-B412*2*B415+B413)</f>
        <v>0.59937988788413621</v>
      </c>
    </row>
    <row r="417" spans="1:10" ht="15.75" customHeight="1">
      <c r="A417" t="s">
        <v>1175</v>
      </c>
      <c r="E417" s="218"/>
    </row>
    <row r="418" spans="1:10" ht="15.75" customHeight="1">
      <c r="B418">
        <v>0.21</v>
      </c>
      <c r="C418">
        <v>-0.21</v>
      </c>
      <c r="E418" s="219"/>
    </row>
    <row r="419" spans="1:10" ht="15.75" customHeight="1">
      <c r="A419" t="s">
        <v>506</v>
      </c>
      <c r="B419">
        <v>-0.21</v>
      </c>
      <c r="C419">
        <v>0.42</v>
      </c>
    </row>
    <row r="420" spans="1:10" ht="15.75" customHeight="1">
      <c r="A420" s="219" t="s">
        <v>1176</v>
      </c>
    </row>
    <row r="421" spans="1:10" ht="15.75" customHeight="1">
      <c r="A421" t="s">
        <v>1163</v>
      </c>
      <c r="B421" s="3">
        <v>5.5E-2</v>
      </c>
      <c r="E421">
        <v>0.21</v>
      </c>
      <c r="F421">
        <v>-0.21</v>
      </c>
      <c r="I421" cm="1">
        <f t="array" ref="I421:J422">MINVERSE(E421:F422)</f>
        <v>9.5238095238095237</v>
      </c>
      <c r="J421">
        <v>4.7619047619047619</v>
      </c>
    </row>
    <row r="422" spans="1:10" ht="15.75" customHeight="1">
      <c r="A422" t="s">
        <v>725</v>
      </c>
      <c r="B422" s="2">
        <v>0.11</v>
      </c>
      <c r="D422" t="s">
        <v>1164</v>
      </c>
      <c r="E422">
        <v>-0.21</v>
      </c>
      <c r="F422">
        <v>0.42</v>
      </c>
      <c r="H422" t="s">
        <v>1055</v>
      </c>
      <c r="I422">
        <v>4.7619047619047619</v>
      </c>
      <c r="J422">
        <v>4.7619047619047619</v>
      </c>
    </row>
    <row r="423" spans="1:10" ht="15.75" customHeight="1">
      <c r="A423" t="s">
        <v>727</v>
      </c>
      <c r="B423" s="2">
        <v>0.26</v>
      </c>
    </row>
    <row r="424" spans="1:10" ht="15.75" customHeight="1">
      <c r="A424" t="s">
        <v>1177</v>
      </c>
      <c r="B424" s="2">
        <v>0.19</v>
      </c>
      <c r="D424" t="s">
        <v>1041</v>
      </c>
      <c r="E424">
        <v>1</v>
      </c>
      <c r="F424">
        <v>1</v>
      </c>
      <c r="G424" t="s">
        <v>1039</v>
      </c>
      <c r="H424">
        <v>1</v>
      </c>
    </row>
    <row r="425" spans="1:10" ht="15.75" customHeight="1">
      <c r="A425" t="s">
        <v>353</v>
      </c>
      <c r="B425">
        <f t="array" ref="B425">MMULT(E424:F424,MMULT(_xlfn.ANCHORARRAY(I421),H424:H425))</f>
        <v>23.80952380952381</v>
      </c>
      <c r="H425">
        <v>1</v>
      </c>
    </row>
    <row r="426" spans="1:10" ht="15.75" customHeight="1">
      <c r="A426" t="s">
        <v>1057</v>
      </c>
      <c r="B426">
        <f t="array" ref="B426">MMULT(E424:F424,MMULT(_xlfn.ANCHORARRAY(I421),B422:B423))</f>
        <v>4.0476190476190474</v>
      </c>
      <c r="D426" t="s">
        <v>1165</v>
      </c>
      <c r="E426" s="318">
        <f t="array" ref="E426">1-MMULT(E424:F424,E427:E428)</f>
        <v>0.10291712161757616</v>
      </c>
    </row>
    <row r="427" spans="1:10" ht="15.75" customHeight="1">
      <c r="A427" t="s">
        <v>1046</v>
      </c>
      <c r="B427">
        <f t="array" ref="B427">MMULT(TRANSPOSE(B422:B423),MMULT(_xlfn.ANCHORARRAY(I421),B422:B423))</f>
        <v>0.70952380952380945</v>
      </c>
      <c r="D427" t="s">
        <v>1178</v>
      </c>
      <c r="E427" s="318">
        <f t="array" ref="E427:E428">B424/SQRT(B429)*MMULT(I421:J422,B422:B423-B421*H424:H425)</f>
        <v>0.49144540293993655</v>
      </c>
    </row>
    <row r="428" spans="1:10" ht="15.75" customHeight="1">
      <c r="A428" t="s">
        <v>1047</v>
      </c>
      <c r="B428">
        <f>B425*B427-B426^2</f>
        <v>0.51020408163265429</v>
      </c>
      <c r="E428" s="318">
        <v>0.40563747544248735</v>
      </c>
    </row>
    <row r="429" spans="1:10" ht="15.75" customHeight="1">
      <c r="A429" t="s">
        <v>1166</v>
      </c>
      <c r="B429">
        <f>B425*B421^2-2*B426*B421+B427</f>
        <v>0.33630952380952372</v>
      </c>
    </row>
    <row r="430" spans="1:10" ht="15.75" customHeight="1">
      <c r="A430" t="s">
        <v>1044</v>
      </c>
      <c r="B430" s="8">
        <f>B424*SQRT(B429)+B421</f>
        <v>0.16518517962740636</v>
      </c>
    </row>
    <row r="431" spans="1:10" ht="15.75" customHeight="1">
      <c r="A431" t="s">
        <v>1179</v>
      </c>
    </row>
    <row r="432" spans="1:10" ht="15.75" customHeight="1">
      <c r="A432" t="s">
        <v>506</v>
      </c>
      <c r="B432" s="319">
        <v>2</v>
      </c>
      <c r="C432" s="319">
        <v>0</v>
      </c>
      <c r="D432" s="319">
        <v>2</v>
      </c>
    </row>
    <row r="433" spans="1:10" ht="15.75" customHeight="1">
      <c r="B433" s="320">
        <v>0</v>
      </c>
      <c r="C433" s="319">
        <v>5</v>
      </c>
      <c r="D433" s="319">
        <v>-3</v>
      </c>
    </row>
    <row r="434" spans="1:10" ht="15.75" customHeight="1">
      <c r="B434" s="321">
        <v>0.02</v>
      </c>
      <c r="C434" s="319">
        <v>-3</v>
      </c>
      <c r="D434" s="319">
        <v>4</v>
      </c>
    </row>
    <row r="435" spans="1:10" ht="15.75" customHeight="1">
      <c r="A435" s="402" t="s">
        <v>1180</v>
      </c>
      <c r="B435" s="402"/>
      <c r="C435" s="402"/>
      <c r="D435" s="402"/>
      <c r="E435" s="402"/>
      <c r="F435" s="402"/>
      <c r="G435" s="329" t="s">
        <v>1181</v>
      </c>
    </row>
    <row r="436" spans="1:10" ht="15.75" customHeight="1">
      <c r="A436" s="402"/>
      <c r="B436" s="402"/>
      <c r="C436" s="402"/>
      <c r="D436" s="402"/>
      <c r="E436" s="402"/>
      <c r="F436" s="402"/>
    </row>
    <row r="437" spans="1:10" ht="15.75" customHeight="1">
      <c r="A437" s="402"/>
      <c r="B437" s="402"/>
      <c r="C437" s="402"/>
      <c r="D437" s="402"/>
      <c r="E437" s="402"/>
      <c r="F437" s="402"/>
    </row>
    <row r="438" spans="1:10" ht="15.75" customHeight="1">
      <c r="A438" s="402"/>
      <c r="B438" s="402"/>
      <c r="C438" s="402"/>
      <c r="D438" s="402"/>
      <c r="E438" s="402"/>
      <c r="F438" s="402"/>
    </row>
    <row r="439" spans="1:10" ht="15.75" customHeight="1">
      <c r="A439" s="402"/>
      <c r="B439" s="402"/>
      <c r="C439" s="402"/>
      <c r="D439" s="402"/>
      <c r="E439" s="402"/>
      <c r="F439" s="402"/>
    </row>
    <row r="440" spans="1:10" ht="15.75" customHeight="1">
      <c r="A440" s="402"/>
      <c r="B440" s="402"/>
      <c r="C440" s="402"/>
      <c r="D440" s="402"/>
      <c r="E440" s="402"/>
      <c r="F440" s="402"/>
    </row>
    <row r="441" spans="1:10" ht="15.75" customHeight="1">
      <c r="A441" s="402"/>
      <c r="B441" s="402"/>
      <c r="C441" s="402"/>
      <c r="D441" s="402"/>
      <c r="E441" s="402"/>
      <c r="F441" s="402"/>
    </row>
    <row r="442" spans="1:10" ht="15.75" customHeight="1">
      <c r="A442" t="s">
        <v>723</v>
      </c>
      <c r="B442" s="2">
        <v>0.1</v>
      </c>
      <c r="E442">
        <v>2</v>
      </c>
      <c r="F442">
        <v>0</v>
      </c>
      <c r="G442">
        <v>2</v>
      </c>
      <c r="I442" t="s">
        <v>1039</v>
      </c>
      <c r="J442">
        <v>1</v>
      </c>
    </row>
    <row r="443" spans="1:10" ht="15.75" customHeight="1">
      <c r="A443" t="s">
        <v>725</v>
      </c>
      <c r="B443" s="2">
        <v>0.25</v>
      </c>
      <c r="D443" t="s">
        <v>506</v>
      </c>
      <c r="E443">
        <v>0</v>
      </c>
      <c r="F443">
        <v>5</v>
      </c>
      <c r="G443">
        <v>-3</v>
      </c>
      <c r="J443">
        <v>1</v>
      </c>
    </row>
    <row r="444" spans="1:10" ht="15.75" customHeight="1">
      <c r="A444" t="s">
        <v>727</v>
      </c>
      <c r="B444" s="2">
        <v>0.15</v>
      </c>
      <c r="E444">
        <v>2</v>
      </c>
      <c r="F444">
        <v>-3</v>
      </c>
      <c r="G444">
        <v>4</v>
      </c>
      <c r="J444">
        <v>1</v>
      </c>
    </row>
    <row r="445" spans="1:10" ht="15.75" customHeight="1">
      <c r="A445" t="s">
        <v>1044</v>
      </c>
      <c r="B445" s="2">
        <v>0.2</v>
      </c>
      <c r="E445">
        <f t="array" ref="E445:G447">MINVERSE(E442:G444)</f>
        <v>5.4999999999999956</v>
      </c>
      <c r="F445">
        <v>-2.9999999999999973</v>
      </c>
      <c r="G445">
        <v>-4.9999999999999956</v>
      </c>
      <c r="I445" t="s">
        <v>1053</v>
      </c>
    </row>
    <row r="446" spans="1:10" ht="15.75" customHeight="1">
      <c r="A446" t="s">
        <v>1054</v>
      </c>
      <c r="D446" t="s">
        <v>1055</v>
      </c>
      <c r="E446">
        <v>-2.9999999999999973</v>
      </c>
      <c r="F446">
        <v>1.9999999999999987</v>
      </c>
      <c r="G446">
        <v>2.9999999999999973</v>
      </c>
      <c r="H446">
        <v>1</v>
      </c>
      <c r="I446">
        <v>1</v>
      </c>
      <c r="J446">
        <v>1</v>
      </c>
    </row>
    <row r="447" spans="1:10" ht="15.75" customHeight="1">
      <c r="A447">
        <f t="array" ref="A447:C447">TRANSPOSE(B442:B444)</f>
        <v>0.1</v>
      </c>
      <c r="B447">
        <v>0.25</v>
      </c>
      <c r="C447">
        <v>0.15</v>
      </c>
      <c r="E447">
        <v>-4.9999999999999956</v>
      </c>
      <c r="F447">
        <v>2.9999999999999973</v>
      </c>
      <c r="G447">
        <v>4.9999999999999956</v>
      </c>
    </row>
    <row r="448" spans="1:10" ht="15.75" customHeight="1">
      <c r="A448" s="7" t="s">
        <v>1056</v>
      </c>
      <c r="I448" t="s">
        <v>353</v>
      </c>
      <c r="J448">
        <f t="array" ref="J448">MMULT(H446:J446,MMULT(E445:G447,J442:J444))</f>
        <v>2.4999999999999987</v>
      </c>
    </row>
    <row r="449" spans="1:10" ht="15.75" customHeight="1">
      <c r="A449" t="s">
        <v>796</v>
      </c>
      <c r="B449" s="4">
        <f t="array" ref="B449:B451">MMULT(E445:G447,J452*J442:J444+J453*B442:B444)</f>
        <v>-6.976744186046524E-2</v>
      </c>
      <c r="C449" s="4" t="s">
        <v>1182</v>
      </c>
      <c r="I449" t="s">
        <v>1057</v>
      </c>
      <c r="J449">
        <f t="array" ref="J449">MMULT(A447:C447,MMULT(E445:G447,J442:J444))</f>
        <v>0.69999999999999951</v>
      </c>
    </row>
    <row r="450" spans="1:10" ht="15.75" customHeight="1">
      <c r="B450" s="4">
        <v>0.46511627906976827</v>
      </c>
      <c r="C450" s="4" t="s">
        <v>1183</v>
      </c>
      <c r="I450" t="s">
        <v>1046</v>
      </c>
      <c r="J450">
        <f t="array" ref="J450">MMULT(A447:C447,MMULT(E445:G447,B442:B444))</f>
        <v>0.2174999999999998</v>
      </c>
    </row>
    <row r="451" spans="1:10" ht="15.75" customHeight="1">
      <c r="B451" s="4">
        <v>0.60465116279069875</v>
      </c>
      <c r="I451" t="s">
        <v>1047</v>
      </c>
      <c r="J451">
        <f>J448*J450-J449^2</f>
        <v>5.3749999999999853E-2</v>
      </c>
    </row>
    <row r="452" spans="1:10" ht="15.75" customHeight="1">
      <c r="A452" t="s">
        <v>1184</v>
      </c>
      <c r="B452">
        <f t="array" ref="B452">MMULT(TRANSPOSE(B442:B444),B449:B451)</f>
        <v>0.20000000000000034</v>
      </c>
      <c r="I452" t="s">
        <v>1048</v>
      </c>
      <c r="J452">
        <f>(J450-J449*B445)/J451</f>
        <v>1.4418604651162812</v>
      </c>
    </row>
    <row r="453" spans="1:10" ht="15.75" customHeight="1">
      <c r="A453" t="s">
        <v>729</v>
      </c>
      <c r="B453" s="5">
        <f t="array" ref="B453">MMULT(TRANSPOSE(B449:B451),MMULT(E442:G444,B449:B451))</f>
        <v>0.69767441860465373</v>
      </c>
      <c r="I453" t="s">
        <v>1049</v>
      </c>
      <c r="J453">
        <f>(J448*B445-J449)/J451</f>
        <v>-3.7209302325581448</v>
      </c>
    </row>
    <row r="454" spans="1:10" ht="15.75" customHeight="1">
      <c r="A454" t="s">
        <v>730</v>
      </c>
      <c r="B454" s="6">
        <f t="array" ref="B454">SQRT(B453)</f>
        <v>0.83526906958455838</v>
      </c>
    </row>
    <row r="455" spans="1:10" ht="15.75" customHeight="1">
      <c r="B455" s="321"/>
      <c r="C455" s="319"/>
      <c r="D455" s="319"/>
    </row>
    <row r="456" spans="1:10" ht="15.75" customHeight="1">
      <c r="B456" s="321"/>
      <c r="C456" s="319"/>
      <c r="D456" s="319"/>
    </row>
    <row r="457" spans="1:10" ht="15.75" customHeight="1">
      <c r="A457" s="402" t="s">
        <v>1185</v>
      </c>
      <c r="B457" s="402"/>
      <c r="C457" s="402"/>
      <c r="D457" s="402"/>
      <c r="E457" s="402"/>
      <c r="F457" s="402"/>
      <c r="G457" s="402"/>
      <c r="H457" s="402"/>
    </row>
    <row r="458" spans="1:10" ht="15.75" customHeight="1">
      <c r="A458" s="402"/>
      <c r="B458" s="402"/>
      <c r="C458" s="402"/>
      <c r="D458" s="402"/>
      <c r="E458" s="402"/>
      <c r="F458" s="402"/>
      <c r="G458" s="402"/>
      <c r="H458" s="402"/>
    </row>
    <row r="459" spans="1:10" ht="15.75" customHeight="1">
      <c r="A459" s="402"/>
      <c r="B459" s="402"/>
      <c r="C459" s="402"/>
      <c r="D459" s="402"/>
      <c r="E459" s="402"/>
      <c r="F459" s="402"/>
      <c r="G459" s="402"/>
      <c r="H459" s="402"/>
    </row>
    <row r="460" spans="1:10" ht="15.75" customHeight="1">
      <c r="A460" s="402"/>
      <c r="B460" s="402"/>
      <c r="C460" s="402"/>
      <c r="D460" s="402"/>
      <c r="E460" s="402"/>
      <c r="F460" s="402"/>
      <c r="G460" s="402"/>
      <c r="H460" s="402"/>
    </row>
    <row r="461" spans="1:10" ht="15.75" customHeight="1">
      <c r="A461" s="402"/>
      <c r="B461" s="402"/>
      <c r="C461" s="402"/>
      <c r="D461" s="402"/>
      <c r="E461" s="402"/>
      <c r="F461" s="402"/>
      <c r="G461" s="402"/>
      <c r="H461" s="402"/>
    </row>
    <row r="462" spans="1:10" ht="15.75" customHeight="1">
      <c r="A462" t="s">
        <v>1082</v>
      </c>
      <c r="B462" s="3">
        <v>4.4999999999999998E-2</v>
      </c>
    </row>
    <row r="463" spans="1:10" ht="15.75" customHeight="1">
      <c r="A463" t="s">
        <v>1083</v>
      </c>
      <c r="B463" s="2">
        <v>0.1</v>
      </c>
    </row>
    <row r="464" spans="1:10" ht="15.75" customHeight="1">
      <c r="A464" t="s">
        <v>1186</v>
      </c>
      <c r="B464">
        <v>1.4</v>
      </c>
    </row>
    <row r="465" spans="1:11" ht="15.75" customHeight="1">
      <c r="A465" t="s">
        <v>1085</v>
      </c>
      <c r="B465" s="2">
        <v>0.17</v>
      </c>
    </row>
    <row r="466" spans="1:11" ht="15.75" customHeight="1"/>
    <row r="467" spans="1:11" ht="15.75" customHeight="1">
      <c r="A467" t="s">
        <v>723</v>
      </c>
      <c r="B467" s="3">
        <f>B462+B464*(B463-B462)</f>
        <v>0.122</v>
      </c>
    </row>
    <row r="468" spans="1:11" ht="15.75" customHeight="1">
      <c r="A468" t="s">
        <v>725</v>
      </c>
      <c r="B468" s="3">
        <f>B462+B464*(B465-B462)</f>
        <v>0.21999999999999997</v>
      </c>
    </row>
    <row r="469" spans="1:11" ht="15.75" customHeight="1">
      <c r="A469" t="s">
        <v>420</v>
      </c>
      <c r="B469" s="12">
        <f>B468-B467</f>
        <v>9.7999999999999976E-2</v>
      </c>
    </row>
    <row r="470" spans="1:11" ht="15.75" customHeight="1">
      <c r="A470" s="435" t="s">
        <v>1187</v>
      </c>
      <c r="B470" s="435"/>
      <c r="C470" s="435"/>
      <c r="D470" s="435"/>
      <c r="E470" s="435"/>
      <c r="F470" s="435"/>
      <c r="G470" s="435"/>
      <c r="H470" s="435"/>
      <c r="I470" s="435"/>
      <c r="J470" s="435"/>
      <c r="K470" s="435"/>
    </row>
    <row r="471" spans="1:11" ht="15.75" customHeight="1">
      <c r="A471" s="435"/>
      <c r="B471" s="435"/>
      <c r="C471" s="435"/>
      <c r="D471" s="435"/>
      <c r="E471" s="435"/>
      <c r="F471" s="435"/>
      <c r="G471" s="435"/>
      <c r="H471" s="435"/>
      <c r="I471" s="435"/>
      <c r="J471" s="435"/>
      <c r="K471" s="435"/>
    </row>
    <row r="472" spans="1:11" ht="15.75" customHeight="1">
      <c r="A472" s="435"/>
      <c r="B472" s="435"/>
      <c r="C472" s="435"/>
      <c r="D472" s="435"/>
      <c r="E472" s="435"/>
      <c r="F472" s="435"/>
      <c r="G472" s="435"/>
      <c r="H472" s="435"/>
      <c r="I472" s="435"/>
      <c r="J472" s="435"/>
      <c r="K472" s="435"/>
    </row>
    <row r="473" spans="1:11" ht="15.75" customHeight="1">
      <c r="A473" s="435"/>
      <c r="B473" s="435"/>
      <c r="C473" s="435"/>
      <c r="D473" s="435"/>
      <c r="E473" s="435"/>
      <c r="F473" s="435"/>
      <c r="G473" s="435"/>
      <c r="H473" s="435"/>
      <c r="I473" s="435"/>
      <c r="J473" s="435"/>
      <c r="K473" s="435"/>
    </row>
    <row r="474" spans="1:11" ht="15.75" customHeight="1">
      <c r="A474" s="435"/>
      <c r="B474" s="435"/>
      <c r="C474" s="435"/>
      <c r="D474" s="435"/>
      <c r="E474" s="435"/>
      <c r="F474" s="435"/>
      <c r="G474" s="435"/>
      <c r="H474" s="435"/>
      <c r="I474" s="435"/>
      <c r="J474" s="435"/>
      <c r="K474" s="435"/>
    </row>
    <row r="475" spans="1:11" ht="15.75" customHeight="1">
      <c r="A475" s="435"/>
      <c r="B475" s="435"/>
      <c r="C475" s="435"/>
      <c r="D475" s="435"/>
      <c r="E475" s="435"/>
      <c r="F475" s="435"/>
      <c r="G475" s="435"/>
      <c r="H475" s="435"/>
      <c r="I475" s="435"/>
      <c r="J475" s="435"/>
      <c r="K475" s="435"/>
    </row>
    <row r="476" spans="1:11" ht="15.75" customHeight="1">
      <c r="A476" s="435"/>
      <c r="B476" s="435"/>
      <c r="C476" s="435"/>
      <c r="D476" s="435"/>
      <c r="E476" s="435"/>
      <c r="F476" s="435"/>
      <c r="G476" s="435"/>
      <c r="H476" s="435"/>
      <c r="I476" s="435"/>
      <c r="J476" s="435"/>
      <c r="K476" s="435"/>
    </row>
    <row r="477" spans="1:11" ht="15.75" customHeight="1">
      <c r="A477" s="435"/>
      <c r="B477" s="435"/>
      <c r="C477" s="435"/>
      <c r="D477" s="435"/>
      <c r="E477" s="435"/>
      <c r="F477" s="435"/>
      <c r="G477" s="435"/>
      <c r="H477" s="435"/>
      <c r="I477" s="435"/>
      <c r="J477" s="435"/>
      <c r="K477" s="435"/>
    </row>
    <row r="478" spans="1:11" ht="15.75" customHeight="1">
      <c r="A478" s="435"/>
      <c r="B478" s="435"/>
      <c r="C478" s="435"/>
      <c r="D478" s="435"/>
      <c r="E478" s="435"/>
      <c r="F478" s="435"/>
      <c r="G478" s="435"/>
      <c r="H478" s="435"/>
      <c r="I478" s="435"/>
      <c r="J478" s="435"/>
      <c r="K478" s="435"/>
    </row>
    <row r="479" spans="1:11" ht="15.75" customHeight="1">
      <c r="A479" s="435"/>
      <c r="B479" s="435"/>
      <c r="C479" s="435"/>
      <c r="D479" s="435"/>
      <c r="E479" s="435"/>
      <c r="F479" s="435"/>
      <c r="G479" s="435"/>
      <c r="H479" s="435"/>
      <c r="I479" s="435"/>
      <c r="J479" s="435"/>
      <c r="K479" s="435"/>
    </row>
    <row r="480" spans="1:11" ht="15.75" customHeight="1">
      <c r="A480" s="435"/>
      <c r="B480" s="435"/>
      <c r="C480" s="435"/>
      <c r="D480" s="435"/>
      <c r="E480" s="435"/>
      <c r="F480" s="435"/>
      <c r="G480" s="435"/>
      <c r="H480" s="435"/>
      <c r="I480" s="435"/>
      <c r="J480" s="435"/>
      <c r="K480" s="435"/>
    </row>
    <row r="481" spans="1:11" ht="15.75" customHeight="1">
      <c r="A481" s="435"/>
      <c r="B481" s="435"/>
      <c r="C481" s="435"/>
      <c r="D481" s="435"/>
      <c r="E481" s="435"/>
      <c r="F481" s="435"/>
      <c r="G481" s="435"/>
      <c r="H481" s="435"/>
      <c r="I481" s="435"/>
      <c r="J481" s="435"/>
      <c r="K481" s="435"/>
    </row>
    <row r="482" spans="1:11" ht="15.75" customHeight="1">
      <c r="A482" t="s">
        <v>1082</v>
      </c>
      <c r="B482" s="2">
        <v>0.06</v>
      </c>
    </row>
    <row r="483" spans="1:11" ht="15.75" customHeight="1">
      <c r="A483" t="s">
        <v>1089</v>
      </c>
      <c r="B483" s="2">
        <v>0.09</v>
      </c>
    </row>
    <row r="484" spans="1:11" ht="15.75" customHeight="1">
      <c r="A484" t="s">
        <v>1186</v>
      </c>
      <c r="B484">
        <v>1</v>
      </c>
    </row>
    <row r="485" spans="1:11" ht="15.75" customHeight="1">
      <c r="A485" t="s">
        <v>1188</v>
      </c>
      <c r="B485">
        <v>0.5</v>
      </c>
    </row>
    <row r="486" spans="1:11" ht="15.75" customHeight="1">
      <c r="A486" t="s">
        <v>1189</v>
      </c>
      <c r="B486">
        <v>2</v>
      </c>
    </row>
    <row r="487" spans="1:11" ht="15.75" customHeight="1">
      <c r="A487" t="s">
        <v>1087</v>
      </c>
      <c r="B487" s="2">
        <f>$B$256+B484*($B$257-$B$256)</f>
        <v>0</v>
      </c>
      <c r="D487" t="s">
        <v>1190</v>
      </c>
      <c r="E487">
        <v>0.25</v>
      </c>
    </row>
    <row r="488" spans="1:11" ht="15.75" customHeight="1">
      <c r="A488" t="s">
        <v>1094</v>
      </c>
      <c r="B488" s="2">
        <f t="shared" ref="B488:B489" si="1">$B$256+B485*($B$257-$B$256)</f>
        <v>0</v>
      </c>
      <c r="D488" t="s">
        <v>1191</v>
      </c>
      <c r="E488">
        <v>0.25</v>
      </c>
    </row>
    <row r="489" spans="1:11" ht="15.75" customHeight="1">
      <c r="A489" t="s">
        <v>1096</v>
      </c>
      <c r="B489" s="2">
        <f t="shared" si="1"/>
        <v>0</v>
      </c>
      <c r="D489" t="s">
        <v>1192</v>
      </c>
      <c r="E489">
        <v>0.5</v>
      </c>
    </row>
    <row r="490" spans="1:11" ht="15.75" customHeight="1">
      <c r="A490" t="s">
        <v>728</v>
      </c>
      <c r="B490" s="11">
        <f>SUMPRODUCT(B487:B489,E487:E489)</f>
        <v>0</v>
      </c>
    </row>
    <row r="491" spans="1:11" ht="15.75" customHeight="1">
      <c r="A491" s="402" t="s">
        <v>1193</v>
      </c>
      <c r="B491" s="402"/>
      <c r="C491" s="402"/>
      <c r="D491" s="402"/>
      <c r="E491" s="402"/>
      <c r="F491" s="402"/>
      <c r="G491" s="402"/>
    </row>
    <row r="492" spans="1:11" ht="15.75" customHeight="1">
      <c r="A492" s="402"/>
      <c r="B492" s="402"/>
      <c r="C492" s="402"/>
      <c r="D492" s="402"/>
      <c r="E492" s="402"/>
      <c r="F492" s="402"/>
      <c r="G492" s="402"/>
    </row>
    <row r="493" spans="1:11" ht="15.75" customHeight="1">
      <c r="A493" s="402"/>
      <c r="B493" s="402"/>
      <c r="C493" s="402"/>
      <c r="D493" s="402"/>
      <c r="E493" s="402"/>
      <c r="F493" s="402"/>
      <c r="G493" s="402"/>
    </row>
    <row r="494" spans="1:11" ht="15.75" customHeight="1">
      <c r="A494" s="402"/>
      <c r="B494" s="402"/>
      <c r="C494" s="402"/>
      <c r="D494" s="402"/>
      <c r="E494" s="402"/>
      <c r="F494" s="402"/>
      <c r="G494" s="402"/>
    </row>
    <row r="495" spans="1:11" ht="15.75" customHeight="1">
      <c r="A495" s="402"/>
      <c r="B495" s="402"/>
      <c r="C495" s="402"/>
      <c r="D495" s="402"/>
      <c r="E495" s="402"/>
      <c r="F495" s="402"/>
      <c r="G495" s="402"/>
    </row>
    <row r="496" spans="1:11" ht="15.75" customHeight="1">
      <c r="A496" s="402"/>
      <c r="B496" s="402"/>
      <c r="C496" s="402"/>
      <c r="D496" s="402"/>
      <c r="E496" s="402"/>
      <c r="F496" s="402"/>
      <c r="G496" s="402"/>
    </row>
    <row r="497" spans="1:6" ht="15.75" customHeight="1">
      <c r="A497" t="s">
        <v>1087</v>
      </c>
      <c r="B497" s="2">
        <v>0.05</v>
      </c>
    </row>
    <row r="498" spans="1:6" ht="15.75" customHeight="1">
      <c r="A498" t="s">
        <v>1186</v>
      </c>
      <c r="B498">
        <v>0.4</v>
      </c>
    </row>
    <row r="499" spans="1:6" ht="15.75" customHeight="1">
      <c r="A499" t="s">
        <v>1094</v>
      </c>
      <c r="B499" s="2">
        <v>0.19</v>
      </c>
    </row>
    <row r="500" spans="1:6" ht="15.75" customHeight="1">
      <c r="A500" t="s">
        <v>1188</v>
      </c>
      <c r="B500">
        <f>B498*8</f>
        <v>3.2</v>
      </c>
    </row>
    <row r="501" spans="1:6" ht="15.75" customHeight="1">
      <c r="A501" t="s">
        <v>1103</v>
      </c>
      <c r="B501" s="2">
        <v>0</v>
      </c>
    </row>
    <row r="502" spans="1:6" ht="15.75" customHeight="1">
      <c r="A502" t="s">
        <v>1104</v>
      </c>
      <c r="B502" s="3">
        <v>-1.4999999999999999E-2</v>
      </c>
    </row>
    <row r="503" spans="1:6" ht="15.75" customHeight="1">
      <c r="A503" t="s">
        <v>1194</v>
      </c>
      <c r="D503" t="s">
        <v>1195</v>
      </c>
    </row>
    <row r="504" spans="1:6" ht="15.75" customHeight="1">
      <c r="A504" t="s">
        <v>1196</v>
      </c>
      <c r="D504" t="s">
        <v>1197</v>
      </c>
      <c r="F504" s="3">
        <f>B499-B502</f>
        <v>0.20500000000000002</v>
      </c>
    </row>
    <row r="505" spans="1:6" ht="15.75" customHeight="1">
      <c r="A505" t="s">
        <v>1198</v>
      </c>
    </row>
    <row r="506" spans="1:6" ht="15.75" customHeight="1">
      <c r="A506" t="s">
        <v>1047</v>
      </c>
      <c r="B506">
        <f>MDETERM(D506:E507)</f>
        <v>2.8000000000000003</v>
      </c>
      <c r="D506">
        <v>1</v>
      </c>
      <c r="E506">
        <v>0.4</v>
      </c>
    </row>
    <row r="507" spans="1:6" ht="15.75" customHeight="1">
      <c r="D507">
        <v>1</v>
      </c>
      <c r="E507">
        <v>3.2</v>
      </c>
    </row>
    <row r="508" spans="1:6" ht="15.75" customHeight="1">
      <c r="A508" t="s">
        <v>1199</v>
      </c>
      <c r="B508">
        <f>MDETERM(D508:E509)</f>
        <v>7.8000000000000014E-2</v>
      </c>
      <c r="D508">
        <v>0.05</v>
      </c>
      <c r="E508">
        <v>0.4</v>
      </c>
    </row>
    <row r="509" spans="1:6" ht="15.75" customHeight="1">
      <c r="D509">
        <v>0.20499999999999999</v>
      </c>
      <c r="E509">
        <v>3.2</v>
      </c>
    </row>
    <row r="510" spans="1:6" ht="15.75" customHeight="1">
      <c r="A510" t="s">
        <v>1200</v>
      </c>
      <c r="B510">
        <f>MDETERM(D510:E511)</f>
        <v>0.15499999999999997</v>
      </c>
      <c r="D510">
        <v>1</v>
      </c>
      <c r="E510">
        <v>0.05</v>
      </c>
    </row>
    <row r="511" spans="1:6" ht="15.75" customHeight="1">
      <c r="D511">
        <v>1</v>
      </c>
      <c r="E511">
        <v>0.20499999999999999</v>
      </c>
    </row>
    <row r="512" spans="1:6" ht="15.75" customHeight="1">
      <c r="A512" t="s">
        <v>1082</v>
      </c>
      <c r="B512">
        <f>B508/B506</f>
        <v>2.7857142857142858E-2</v>
      </c>
    </row>
    <row r="513" spans="1:8" ht="15.75" customHeight="1">
      <c r="A513" t="s">
        <v>1114</v>
      </c>
      <c r="C513">
        <f>B510/B506</f>
        <v>5.5357142857142841E-2</v>
      </c>
    </row>
    <row r="514" spans="1:8" ht="15.75" customHeight="1">
      <c r="A514" t="s">
        <v>1089</v>
      </c>
      <c r="B514">
        <f>C513+B512</f>
        <v>8.3214285714285699E-2</v>
      </c>
    </row>
    <row r="515" spans="1:8" ht="15.75" customHeight="1">
      <c r="A515" s="4">
        <f>B514/B512</f>
        <v>2.9871794871794863</v>
      </c>
    </row>
    <row r="516" spans="1:8" ht="15.75" customHeight="1">
      <c r="A516" s="434" t="s">
        <v>1201</v>
      </c>
      <c r="B516" s="434"/>
      <c r="C516" s="434"/>
      <c r="D516" s="434"/>
      <c r="E516" s="434"/>
      <c r="F516" s="434"/>
      <c r="G516" s="434"/>
      <c r="H516" s="434"/>
    </row>
    <row r="517" spans="1:8" ht="15.75" customHeight="1">
      <c r="A517" s="434"/>
      <c r="B517" s="434"/>
      <c r="C517" s="434"/>
      <c r="D517" s="434"/>
      <c r="E517" s="434"/>
      <c r="F517" s="434"/>
      <c r="G517" s="434"/>
      <c r="H517" s="434"/>
    </row>
    <row r="518" spans="1:8" ht="15.75" customHeight="1">
      <c r="A518" s="434"/>
      <c r="B518" s="434"/>
      <c r="C518" s="434"/>
      <c r="D518" s="434"/>
      <c r="E518" s="434"/>
      <c r="F518" s="434"/>
      <c r="G518" s="434"/>
      <c r="H518" s="434"/>
    </row>
    <row r="519" spans="1:8" ht="15.75" customHeight="1">
      <c r="A519" s="434"/>
      <c r="B519" s="434"/>
      <c r="C519" s="434"/>
      <c r="D519" s="434"/>
      <c r="E519" s="434"/>
      <c r="F519" s="434"/>
      <c r="G519" s="434"/>
      <c r="H519" s="434"/>
    </row>
    <row r="520" spans="1:8" ht="15.75" customHeight="1">
      <c r="A520" s="434"/>
      <c r="B520" s="434"/>
      <c r="C520" s="434"/>
      <c r="D520" s="434"/>
      <c r="E520" s="434"/>
      <c r="F520" s="434"/>
      <c r="G520" s="434"/>
      <c r="H520" s="434"/>
    </row>
    <row r="521" spans="1:8" ht="15.75" customHeight="1">
      <c r="A521" s="434"/>
      <c r="B521" s="434"/>
      <c r="C521" s="434"/>
      <c r="D521" s="434"/>
      <c r="E521" s="434"/>
      <c r="F521" s="434"/>
      <c r="G521" s="434"/>
      <c r="H521" s="434"/>
    </row>
    <row r="522" spans="1:8" ht="15.75" customHeight="1">
      <c r="A522" s="434"/>
      <c r="B522" s="434"/>
      <c r="C522" s="434"/>
      <c r="D522" s="434"/>
      <c r="E522" s="434"/>
      <c r="F522" s="434"/>
      <c r="G522" s="434"/>
      <c r="H522" s="434"/>
    </row>
    <row r="523" spans="1:8" ht="15.75" customHeight="1">
      <c r="A523" s="434"/>
      <c r="B523" s="434"/>
      <c r="C523" s="434"/>
      <c r="D523" s="434"/>
      <c r="E523" s="434"/>
      <c r="F523" s="434"/>
      <c r="G523" s="434"/>
      <c r="H523" s="434"/>
    </row>
    <row r="524" spans="1:8" ht="15.75" customHeight="1">
      <c r="A524" s="434"/>
      <c r="B524" s="434"/>
      <c r="C524" s="434"/>
      <c r="D524" s="434"/>
      <c r="E524" s="434"/>
      <c r="F524" s="434"/>
      <c r="G524" s="434"/>
      <c r="H524" s="434"/>
    </row>
    <row r="525" spans="1:8" ht="15.75" customHeight="1">
      <c r="A525" s="434"/>
      <c r="B525" s="434"/>
      <c r="C525" s="434"/>
      <c r="D525" s="434"/>
      <c r="E525" s="434"/>
      <c r="F525" s="434"/>
      <c r="G525" s="434"/>
      <c r="H525" s="434"/>
    </row>
    <row r="526" spans="1:8" ht="15.75" customHeight="1">
      <c r="A526" s="434"/>
      <c r="B526" s="434"/>
      <c r="C526" s="434"/>
      <c r="D526" s="434"/>
      <c r="E526" s="434"/>
      <c r="F526" s="434"/>
      <c r="G526" s="434"/>
      <c r="H526" s="434"/>
    </row>
    <row r="527" spans="1:8" ht="15.75" customHeight="1">
      <c r="A527" s="434"/>
      <c r="B527" s="434"/>
      <c r="C527" s="434"/>
      <c r="D527" s="434"/>
      <c r="E527" s="434"/>
      <c r="F527" s="434"/>
      <c r="G527" s="434"/>
      <c r="H527" s="434"/>
    </row>
    <row r="528" spans="1:8" ht="15.75" customHeight="1">
      <c r="A528" s="434"/>
      <c r="B528" s="434"/>
      <c r="C528" s="434"/>
      <c r="D528" s="434"/>
      <c r="E528" s="434"/>
      <c r="F528" s="434"/>
      <c r="G528" s="434"/>
      <c r="H528" s="434"/>
    </row>
    <row r="529" spans="1:8" ht="15.75" customHeight="1">
      <c r="A529" s="434"/>
      <c r="B529" s="434"/>
      <c r="C529" s="434"/>
      <c r="D529" s="434"/>
      <c r="E529" s="434"/>
      <c r="F529" s="434"/>
      <c r="G529" s="434"/>
      <c r="H529" s="434"/>
    </row>
    <row r="530" spans="1:8" ht="15.75" customHeight="1">
      <c r="A530" s="434"/>
      <c r="B530" s="434"/>
      <c r="C530" s="434"/>
      <c r="D530" s="434"/>
      <c r="E530" s="434"/>
      <c r="F530" s="434"/>
      <c r="G530" s="434"/>
      <c r="H530" s="434"/>
    </row>
    <row r="531" spans="1:8" ht="15.75" customHeight="1">
      <c r="A531" s="434"/>
      <c r="B531" s="434"/>
      <c r="C531" s="434"/>
      <c r="D531" s="434"/>
      <c r="E531" s="434"/>
      <c r="F531" s="434"/>
      <c r="G531" s="434"/>
      <c r="H531" s="434"/>
    </row>
    <row r="532" spans="1:8" ht="15.75" customHeight="1">
      <c r="A532" s="434"/>
      <c r="B532" s="434"/>
      <c r="C532" s="434"/>
      <c r="D532" s="434"/>
      <c r="E532" s="434"/>
      <c r="F532" s="434"/>
      <c r="G532" s="434"/>
      <c r="H532" s="434"/>
    </row>
    <row r="533" spans="1:8" ht="15.75" customHeight="1">
      <c r="A533" t="s">
        <v>1099</v>
      </c>
      <c r="C533" s="3">
        <v>0.125</v>
      </c>
      <c r="E533" t="s">
        <v>801</v>
      </c>
      <c r="F533">
        <f>1/3</f>
        <v>0.33333333333333331</v>
      </c>
    </row>
    <row r="534" spans="1:8" ht="15.75" customHeight="1">
      <c r="A534" t="s">
        <v>1101</v>
      </c>
      <c r="C534" s="2">
        <v>0.06</v>
      </c>
      <c r="E534" t="s">
        <v>802</v>
      </c>
      <c r="F534">
        <f>1/3</f>
        <v>0.33333333333333331</v>
      </c>
    </row>
    <row r="535" spans="1:8" ht="15.75" customHeight="1">
      <c r="A535" t="s">
        <v>1102</v>
      </c>
      <c r="C535" s="3">
        <v>7.4999999999999997E-2</v>
      </c>
      <c r="E535" t="s">
        <v>818</v>
      </c>
      <c r="F535">
        <f>1/3</f>
        <v>0.33333333333333331</v>
      </c>
    </row>
    <row r="536" spans="1:8" ht="15.75" customHeight="1">
      <c r="A536" t="s">
        <v>1186</v>
      </c>
      <c r="B536">
        <v>2</v>
      </c>
    </row>
    <row r="537" spans="1:8" ht="15.75" customHeight="1">
      <c r="A537" t="s">
        <v>1188</v>
      </c>
      <c r="B537">
        <v>0.6</v>
      </c>
    </row>
    <row r="538" spans="1:8" ht="15.75" customHeight="1">
      <c r="A538" t="s">
        <v>1103</v>
      </c>
      <c r="B538">
        <v>0</v>
      </c>
    </row>
    <row r="539" spans="1:8" ht="15.75" customHeight="1">
      <c r="A539" t="s">
        <v>1104</v>
      </c>
      <c r="B539" s="2">
        <v>-0.01</v>
      </c>
    </row>
    <row r="540" spans="1:8" ht="15.75" customHeight="1">
      <c r="A540" t="s">
        <v>1202</v>
      </c>
      <c r="C540" s="3">
        <f>C533-B538</f>
        <v>0.125</v>
      </c>
    </row>
    <row r="541" spans="1:8" ht="15.75" customHeight="1">
      <c r="A541" t="s">
        <v>1197</v>
      </c>
      <c r="C541" s="3">
        <f>C534-B539</f>
        <v>6.9999999999999993E-2</v>
      </c>
    </row>
    <row r="542" spans="1:8" ht="15.75" customHeight="1">
      <c r="A542" t="s">
        <v>1108</v>
      </c>
    </row>
    <row r="543" spans="1:8" ht="15.75" customHeight="1">
      <c r="A543" t="s">
        <v>1109</v>
      </c>
    </row>
    <row r="544" spans="1:8" ht="15.75" customHeight="1">
      <c r="A544" t="s">
        <v>1047</v>
      </c>
      <c r="B544">
        <f>MDETERM(C544:D545)</f>
        <v>-1.4</v>
      </c>
      <c r="C544">
        <v>1</v>
      </c>
      <c r="D544">
        <v>2</v>
      </c>
    </row>
    <row r="545" spans="1:4" ht="15.75" customHeight="1">
      <c r="C545">
        <v>1</v>
      </c>
      <c r="D545">
        <v>0.6</v>
      </c>
    </row>
    <row r="546" spans="1:4" ht="15.75" customHeight="1">
      <c r="A546" t="s">
        <v>1199</v>
      </c>
      <c r="B546">
        <f>MDETERM(C546:D547)</f>
        <v>-6.5000000000000016E-2</v>
      </c>
      <c r="C546">
        <v>0.125</v>
      </c>
      <c r="D546">
        <f>D544</f>
        <v>2</v>
      </c>
    </row>
    <row r="547" spans="1:4" ht="15.75" customHeight="1">
      <c r="C547">
        <v>7.0000000000000007E-2</v>
      </c>
      <c r="D547">
        <f>D545</f>
        <v>0.6</v>
      </c>
    </row>
    <row r="548" spans="1:4" ht="15.75" customHeight="1">
      <c r="A548" t="s">
        <v>1203</v>
      </c>
      <c r="B548">
        <f t="shared" ref="B548" si="2">MDETERM(C548:D549)</f>
        <v>-5.4999999999999993E-2</v>
      </c>
      <c r="C548">
        <f>C544</f>
        <v>1</v>
      </c>
      <c r="D548">
        <f>C546</f>
        <v>0.125</v>
      </c>
    </row>
    <row r="549" spans="1:4" ht="15.75" customHeight="1">
      <c r="C549">
        <f>C545</f>
        <v>1</v>
      </c>
      <c r="D549">
        <f>C547</f>
        <v>7.0000000000000007E-2</v>
      </c>
    </row>
    <row r="550" spans="1:4" ht="15.75" customHeight="1">
      <c r="A550" t="s">
        <v>1082</v>
      </c>
      <c r="B550">
        <f>B546/B544</f>
        <v>4.6428571428571444E-2</v>
      </c>
    </row>
    <row r="551" spans="1:4" ht="15.75" customHeight="1">
      <c r="A551" t="s">
        <v>1204</v>
      </c>
      <c r="C551">
        <f>B548/B544</f>
        <v>3.9285714285714285E-2</v>
      </c>
    </row>
    <row r="552" spans="1:4" ht="15.75" customHeight="1">
      <c r="A552" t="s">
        <v>1089</v>
      </c>
      <c r="B552">
        <f>C551+B550</f>
        <v>8.5714285714285729E-2</v>
      </c>
    </row>
    <row r="553" spans="1:4" ht="15.75" customHeight="1"/>
    <row r="554" spans="1:4" ht="15.75" customHeight="1">
      <c r="A554" t="s">
        <v>1115</v>
      </c>
    </row>
    <row r="555" spans="1:4" ht="15.75" customHeight="1">
      <c r="A555" t="s">
        <v>1189</v>
      </c>
      <c r="B555">
        <f>(1-B536*F533-B537*F534)/F535</f>
        <v>0.40000000000000019</v>
      </c>
    </row>
    <row r="556" spans="1:4" ht="15.75" customHeight="1"/>
    <row r="557" spans="1:4" ht="15.75" customHeight="1">
      <c r="A557" t="s">
        <v>1107</v>
      </c>
    </row>
    <row r="558" spans="1:4" ht="15.75" customHeight="1">
      <c r="A558" t="s">
        <v>1116</v>
      </c>
      <c r="C558">
        <f>B550+B555*(C551)</f>
        <v>6.2142857142857166E-2</v>
      </c>
    </row>
    <row r="559" spans="1:4" ht="15.75" customHeight="1"/>
    <row r="560" spans="1:4" ht="15.75" customHeight="1">
      <c r="A560" t="s">
        <v>1106</v>
      </c>
    </row>
    <row r="561" spans="1:9" ht="15.75" customHeight="1">
      <c r="A561" t="s">
        <v>1205</v>
      </c>
      <c r="B561" s="13">
        <f>C535-C558</f>
        <v>1.2857142857142831E-2</v>
      </c>
      <c r="C561" s="4" t="s">
        <v>1206</v>
      </c>
      <c r="D561" s="4"/>
    </row>
    <row r="562" spans="1:9" ht="15.75" customHeight="1"/>
    <row r="563" spans="1:9" ht="15.75" customHeight="1">
      <c r="A563" s="435" t="s">
        <v>1207</v>
      </c>
      <c r="B563" s="435"/>
      <c r="C563" s="435"/>
      <c r="D563" s="435"/>
      <c r="E563" s="435"/>
      <c r="F563" s="435"/>
      <c r="G563" s="435"/>
      <c r="H563" s="435"/>
      <c r="I563" s="435"/>
    </row>
    <row r="564" spans="1:9" ht="15.75" customHeight="1">
      <c r="A564" s="435"/>
      <c r="B564" s="435"/>
      <c r="C564" s="435"/>
      <c r="D564" s="435"/>
      <c r="E564" s="435"/>
      <c r="F564" s="435"/>
      <c r="G564" s="435"/>
      <c r="H564" s="435"/>
      <c r="I564" s="435"/>
    </row>
    <row r="565" spans="1:9" ht="15.75" customHeight="1">
      <c r="A565" s="435"/>
      <c r="B565" s="435"/>
      <c r="C565" s="435"/>
      <c r="D565" s="435"/>
      <c r="E565" s="435"/>
      <c r="F565" s="435"/>
      <c r="G565" s="435"/>
      <c r="H565" s="435"/>
      <c r="I565" s="435"/>
    </row>
    <row r="566" spans="1:9" ht="15.75" customHeight="1">
      <c r="A566" s="435"/>
      <c r="B566" s="435"/>
      <c r="C566" s="435"/>
      <c r="D566" s="435"/>
      <c r="E566" s="435"/>
      <c r="F566" s="435"/>
      <c r="G566" s="435"/>
      <c r="H566" s="435"/>
      <c r="I566" s="435"/>
    </row>
    <row r="567" spans="1:9" ht="15.75" customHeight="1">
      <c r="A567" s="435"/>
      <c r="B567" s="435"/>
      <c r="C567" s="435"/>
      <c r="D567" s="435"/>
      <c r="E567" s="435"/>
      <c r="F567" s="435"/>
      <c r="G567" s="435"/>
      <c r="H567" s="435"/>
      <c r="I567" s="435"/>
    </row>
    <row r="568" spans="1:9" ht="15.75" customHeight="1">
      <c r="A568" s="435"/>
      <c r="B568" s="435"/>
      <c r="C568" s="435"/>
      <c r="D568" s="435"/>
      <c r="E568" s="435"/>
      <c r="F568" s="435"/>
      <c r="G568" s="435"/>
      <c r="H568" s="435"/>
      <c r="I568" s="435"/>
    </row>
    <row r="569" spans="1:9" ht="15.75" customHeight="1">
      <c r="A569" s="435"/>
      <c r="B569" s="435"/>
      <c r="C569" s="435"/>
      <c r="D569" s="435"/>
      <c r="E569" s="435"/>
      <c r="F569" s="435"/>
      <c r="G569" s="435"/>
      <c r="H569" s="435"/>
      <c r="I569" s="435"/>
    </row>
    <row r="570" spans="1:9" ht="15.75" customHeight="1">
      <c r="A570" s="435"/>
      <c r="B570" s="435"/>
      <c r="C570" s="435"/>
      <c r="D570" s="435"/>
      <c r="E570" s="435"/>
      <c r="F570" s="435"/>
      <c r="G570" s="435"/>
      <c r="H570" s="435"/>
      <c r="I570" s="435"/>
    </row>
    <row r="571" spans="1:9" ht="15.75" customHeight="1">
      <c r="A571" s="435"/>
      <c r="B571" s="435"/>
      <c r="C571" s="435"/>
      <c r="D571" s="435"/>
      <c r="E571" s="435"/>
      <c r="F571" s="435"/>
      <c r="G571" s="435"/>
      <c r="H571" s="435"/>
      <c r="I571" s="435"/>
    </row>
    <row r="572" spans="1:9" ht="15.75" customHeight="1">
      <c r="A572" s="435"/>
      <c r="B572" s="435"/>
      <c r="C572" s="435"/>
      <c r="D572" s="435"/>
      <c r="E572" s="435"/>
      <c r="F572" s="435"/>
      <c r="G572" s="435"/>
      <c r="H572" s="435"/>
      <c r="I572" s="435"/>
    </row>
    <row r="573" spans="1:9" ht="15.75" customHeight="1">
      <c r="A573" s="435"/>
      <c r="B573" s="435"/>
      <c r="C573" s="435"/>
      <c r="D573" s="435"/>
      <c r="E573" s="435"/>
      <c r="F573" s="435"/>
      <c r="G573" s="435"/>
      <c r="H573" s="435"/>
      <c r="I573" s="435"/>
    </row>
    <row r="574" spans="1:9" ht="15.75" customHeight="1">
      <c r="A574" s="435"/>
      <c r="B574" s="435"/>
      <c r="C574" s="435"/>
      <c r="D574" s="435"/>
      <c r="E574" s="435"/>
      <c r="F574" s="435"/>
      <c r="G574" s="435"/>
      <c r="H574" s="435"/>
      <c r="I574" s="435"/>
    </row>
    <row r="575" spans="1:9" ht="15.75" customHeight="1">
      <c r="A575" s="435"/>
      <c r="B575" s="435"/>
      <c r="C575" s="435"/>
      <c r="D575" s="435"/>
      <c r="E575" s="435"/>
      <c r="F575" s="435"/>
      <c r="G575" s="435"/>
      <c r="H575" s="435"/>
      <c r="I575" s="435"/>
    </row>
    <row r="576" spans="1:9" ht="15.75" customHeight="1">
      <c r="A576" t="s">
        <v>1082</v>
      </c>
      <c r="B576">
        <v>3.5000000000000003E-2</v>
      </c>
    </row>
    <row r="577" spans="1:7" ht="15.75" customHeight="1">
      <c r="A577" t="s">
        <v>1114</v>
      </c>
      <c r="C577">
        <v>0.09</v>
      </c>
    </row>
    <row r="578" spans="1:7" ht="15.75" customHeight="1">
      <c r="A578" t="s">
        <v>1089</v>
      </c>
      <c r="B578">
        <f>C577+B576</f>
        <v>0.125</v>
      </c>
    </row>
    <row r="579" spans="1:7" ht="15.75" customHeight="1">
      <c r="A579" t="s">
        <v>1208</v>
      </c>
      <c r="B579">
        <v>0.56999999999999995</v>
      </c>
    </row>
    <row r="580" spans="1:7" ht="15.75" customHeight="1">
      <c r="A580" t="s">
        <v>1209</v>
      </c>
      <c r="B580">
        <v>1.6</v>
      </c>
    </row>
    <row r="581" spans="1:7" ht="15.75" customHeight="1">
      <c r="A581" t="s">
        <v>1210</v>
      </c>
      <c r="B581" s="6">
        <f>B576+C577*B579</f>
        <v>8.6299999999999988E-2</v>
      </c>
      <c r="C581" s="4" t="s">
        <v>1211</v>
      </c>
      <c r="D581" s="4"/>
    </row>
    <row r="582" spans="1:7" ht="15.75" customHeight="1">
      <c r="A582" t="s">
        <v>1212</v>
      </c>
      <c r="B582" s="6">
        <f>B576+C577*B580</f>
        <v>0.17899999999999999</v>
      </c>
      <c r="C582" s="4" t="s">
        <v>1213</v>
      </c>
      <c r="D582" s="4"/>
    </row>
    <row r="583" spans="1:7" ht="15.75" customHeight="1"/>
    <row r="584" spans="1:7" ht="15.75" customHeight="1" thickBot="1">
      <c r="A584" t="s">
        <v>1214</v>
      </c>
      <c r="G584" s="218"/>
    </row>
    <row r="585" spans="1:7" ht="15.75" customHeight="1" thickBot="1">
      <c r="A585" s="221" t="s">
        <v>1126</v>
      </c>
      <c r="B585" s="222" t="s">
        <v>732</v>
      </c>
      <c r="C585" s="222" t="s">
        <v>1127</v>
      </c>
    </row>
    <row r="586" spans="1:7" ht="15.75" customHeight="1" thickBot="1">
      <c r="A586" s="223" t="s">
        <v>1128</v>
      </c>
      <c r="B586" s="224">
        <v>25</v>
      </c>
      <c r="C586" s="224">
        <v>15</v>
      </c>
    </row>
    <row r="587" spans="1:7" ht="15.75" customHeight="1" thickBot="1">
      <c r="A587" s="223" t="s">
        <v>1129</v>
      </c>
      <c r="B587" s="224">
        <v>1.2</v>
      </c>
      <c r="C587" s="224">
        <v>0.8</v>
      </c>
    </row>
    <row r="588" spans="1:7" ht="15.75" customHeight="1">
      <c r="A588" t="s">
        <v>1215</v>
      </c>
      <c r="C588" s="3"/>
    </row>
    <row r="589" spans="1:7" ht="15.75" customHeight="1">
      <c r="A589" t="s">
        <v>1216</v>
      </c>
      <c r="C589" s="2"/>
    </row>
    <row r="590" spans="1:7" ht="15.75" customHeight="1">
      <c r="A590" t="s">
        <v>1047</v>
      </c>
      <c r="B590">
        <f>MDETERM(C590:D591)</f>
        <v>-0.39999999999999991</v>
      </c>
      <c r="C590">
        <v>1</v>
      </c>
      <c r="D590">
        <v>1.2</v>
      </c>
    </row>
    <row r="591" spans="1:7" ht="15.75" customHeight="1">
      <c r="C591">
        <v>1</v>
      </c>
      <c r="D591">
        <v>0.8</v>
      </c>
    </row>
    <row r="592" spans="1:7" ht="15.75" customHeight="1">
      <c r="A592" t="s">
        <v>1199</v>
      </c>
      <c r="B592">
        <f>MDETERM(C592:D593)</f>
        <v>2.0000000000000018</v>
      </c>
      <c r="C592">
        <v>25</v>
      </c>
      <c r="D592">
        <f>D590</f>
        <v>1.2</v>
      </c>
    </row>
    <row r="593" spans="1:10" ht="15.75" customHeight="1">
      <c r="C593">
        <v>15</v>
      </c>
      <c r="D593">
        <f>D591</f>
        <v>0.8</v>
      </c>
    </row>
    <row r="594" spans="1:10" ht="15.75" customHeight="1">
      <c r="A594" t="s">
        <v>1203</v>
      </c>
      <c r="B594">
        <f t="shared" ref="B594" si="3">MDETERM(C594:D595)</f>
        <v>-10</v>
      </c>
      <c r="C594">
        <f>C590</f>
        <v>1</v>
      </c>
      <c r="D594">
        <f>C592</f>
        <v>25</v>
      </c>
    </row>
    <row r="595" spans="1:10" ht="15.75" customHeight="1">
      <c r="C595">
        <f>C591</f>
        <v>1</v>
      </c>
      <c r="D595">
        <f>C593</f>
        <v>15</v>
      </c>
    </row>
    <row r="596" spans="1:10" ht="15.75" customHeight="1">
      <c r="A596" t="s">
        <v>1217</v>
      </c>
      <c r="B596">
        <f>B592/B590</f>
        <v>-5.0000000000000053</v>
      </c>
    </row>
    <row r="597" spans="1:10" ht="15.75" customHeight="1">
      <c r="A597" t="s">
        <v>1218</v>
      </c>
      <c r="B597">
        <f>B594/B590</f>
        <v>25.000000000000007</v>
      </c>
    </row>
    <row r="598" spans="1:10" ht="15.75" customHeight="1">
      <c r="A598" s="4" t="s">
        <v>1219</v>
      </c>
      <c r="B598" s="4"/>
    </row>
    <row r="599" spans="1:10" ht="15.75" customHeight="1">
      <c r="A599" s="402" t="s">
        <v>1220</v>
      </c>
      <c r="B599" s="402"/>
      <c r="C599" s="402"/>
      <c r="D599" s="402"/>
      <c r="E599" s="402"/>
      <c r="F599" s="402"/>
      <c r="G599" s="402"/>
      <c r="H599" s="402"/>
      <c r="I599" s="402"/>
      <c r="J599" s="402"/>
    </row>
    <row r="600" spans="1:10" ht="15.75" customHeight="1">
      <c r="A600" s="402"/>
      <c r="B600" s="402"/>
      <c r="C600" s="402"/>
      <c r="D600" s="402"/>
      <c r="E600" s="402"/>
      <c r="F600" s="402"/>
      <c r="G600" s="402"/>
      <c r="H600" s="402"/>
      <c r="I600" s="402"/>
      <c r="J600" s="402"/>
    </row>
    <row r="601" spans="1:10" ht="15.75" customHeight="1" thickBot="1">
      <c r="A601" s="402"/>
      <c r="B601" s="402"/>
      <c r="C601" s="402"/>
      <c r="D601" s="402"/>
      <c r="E601" s="402"/>
      <c r="F601" s="402"/>
      <c r="G601" s="402"/>
      <c r="H601" s="402"/>
      <c r="I601" s="402"/>
      <c r="J601" s="402"/>
    </row>
    <row r="602" spans="1:10" ht="15.75" customHeight="1" thickBot="1">
      <c r="A602" s="225" t="s">
        <v>1126</v>
      </c>
      <c r="B602" s="226" t="s">
        <v>732</v>
      </c>
      <c r="C602" s="226" t="s">
        <v>1127</v>
      </c>
      <c r="D602" s="227" t="s">
        <v>1132</v>
      </c>
      <c r="E602" s="226" t="s">
        <v>1133</v>
      </c>
    </row>
    <row r="603" spans="1:10" ht="15.75" customHeight="1" thickBot="1">
      <c r="A603" s="228" t="s">
        <v>1128</v>
      </c>
      <c r="B603" s="229">
        <v>19</v>
      </c>
      <c r="C603" s="229">
        <v>13</v>
      </c>
      <c r="D603" s="230">
        <v>20</v>
      </c>
      <c r="E603" s="224"/>
    </row>
    <row r="604" spans="1:10" ht="15.75" customHeight="1">
      <c r="A604" s="231" t="s">
        <v>1221</v>
      </c>
      <c r="B604" s="436"/>
      <c r="C604" s="436"/>
      <c r="D604" s="436"/>
      <c r="E604" s="438">
        <v>21</v>
      </c>
    </row>
    <row r="605" spans="1:10" ht="15.75" customHeight="1" thickBot="1">
      <c r="A605" s="228" t="s">
        <v>1222</v>
      </c>
      <c r="B605" s="437"/>
      <c r="C605" s="437"/>
      <c r="D605" s="437"/>
      <c r="E605" s="439"/>
    </row>
    <row r="606" spans="1:10" ht="15.75" customHeight="1" thickBot="1">
      <c r="A606" s="228" t="s">
        <v>1135</v>
      </c>
      <c r="B606" s="229">
        <v>0.2</v>
      </c>
      <c r="C606" s="229">
        <v>0.8</v>
      </c>
      <c r="D606" s="230">
        <v>1.1000000000000001</v>
      </c>
      <c r="E606" s="229">
        <v>1.3</v>
      </c>
    </row>
    <row r="607" spans="1:10" ht="15.75" customHeight="1" thickBot="1">
      <c r="A607" s="228" t="s">
        <v>1223</v>
      </c>
      <c r="B607" s="229">
        <v>1.1000000000000001</v>
      </c>
      <c r="C607" s="229">
        <v>1.4</v>
      </c>
      <c r="D607" s="230">
        <v>0.7</v>
      </c>
      <c r="E607" s="229">
        <v>1</v>
      </c>
    </row>
    <row r="608" spans="1:10" ht="15.75" customHeight="1">
      <c r="A608" t="s">
        <v>1224</v>
      </c>
    </row>
    <row r="609" spans="1:10" ht="15.75" customHeight="1">
      <c r="A609" t="s">
        <v>1225</v>
      </c>
    </row>
    <row r="610" spans="1:10" ht="15.75" customHeight="1">
      <c r="A610" t="s">
        <v>1226</v>
      </c>
    </row>
    <row r="611" spans="1:10" ht="15.75" customHeight="1"/>
    <row r="612" spans="1:10" ht="15.75" customHeight="1">
      <c r="A612" t="s">
        <v>1227</v>
      </c>
      <c r="B612">
        <f>MDETERM(C612:E614)</f>
        <v>-0.51</v>
      </c>
      <c r="C612">
        <v>1</v>
      </c>
      <c r="D612">
        <v>0.2</v>
      </c>
      <c r="E612">
        <v>1.1000000000000001</v>
      </c>
      <c r="H612">
        <v>1</v>
      </c>
      <c r="I612">
        <v>0.2</v>
      </c>
      <c r="J612">
        <v>1.1000000000000001</v>
      </c>
    </row>
    <row r="613" spans="1:10" ht="15.75" customHeight="1">
      <c r="C613">
        <v>1</v>
      </c>
      <c r="D613">
        <v>0.8</v>
      </c>
      <c r="E613">
        <v>1.4</v>
      </c>
      <c r="G613" t="s">
        <v>506</v>
      </c>
      <c r="H613">
        <v>1</v>
      </c>
      <c r="I613">
        <v>0.8</v>
      </c>
      <c r="J613">
        <v>1.4</v>
      </c>
    </row>
    <row r="614" spans="1:10" ht="15.75" customHeight="1">
      <c r="C614">
        <v>1</v>
      </c>
      <c r="D614">
        <v>1.1000000000000001</v>
      </c>
      <c r="E614">
        <v>0.7</v>
      </c>
      <c r="H614">
        <v>1</v>
      </c>
      <c r="I614">
        <v>1.1000000000000001</v>
      </c>
      <c r="J614">
        <v>0.7</v>
      </c>
    </row>
    <row r="615" spans="1:10" ht="15.75" customHeight="1">
      <c r="A615" t="s">
        <v>1112</v>
      </c>
      <c r="B615">
        <f t="shared" ref="B615" si="4">MDETERM(C615:E617)</f>
        <v>-16.709999999999997</v>
      </c>
      <c r="C615">
        <v>19</v>
      </c>
      <c r="D615">
        <f t="shared" ref="D615:E617" si="5">D612</f>
        <v>0.2</v>
      </c>
      <c r="E615">
        <f t="shared" si="5"/>
        <v>1.1000000000000001</v>
      </c>
    </row>
    <row r="616" spans="1:10" ht="15.75" customHeight="1">
      <c r="C616">
        <v>13</v>
      </c>
      <c r="D616">
        <f t="shared" si="5"/>
        <v>0.8</v>
      </c>
      <c r="E616">
        <f t="shared" si="5"/>
        <v>1.4</v>
      </c>
      <c r="H616" cm="1">
        <f t="array" ref="H616:J618">MINVERSE(H612:J614)</f>
        <v>1.9215686274509807</v>
      </c>
      <c r="I616">
        <v>-2.098039215686275</v>
      </c>
      <c r="J616">
        <v>1.1764705882352944</v>
      </c>
    </row>
    <row r="617" spans="1:10" ht="15.75" customHeight="1">
      <c r="C617">
        <v>20</v>
      </c>
      <c r="D617">
        <f t="shared" si="5"/>
        <v>1.1000000000000001</v>
      </c>
      <c r="E617">
        <f t="shared" si="5"/>
        <v>0.7</v>
      </c>
      <c r="G617" t="s">
        <v>1055</v>
      </c>
      <c r="H617">
        <v>-1.3725490196078429</v>
      </c>
      <c r="I617">
        <v>0.7843137254901964</v>
      </c>
      <c r="J617">
        <v>0.58823529411764663</v>
      </c>
    </row>
    <row r="618" spans="1:10" ht="15.75" customHeight="1">
      <c r="A618" t="s">
        <v>1113</v>
      </c>
      <c r="B618">
        <f t="shared" ref="B618:B621" si="6">MDETERM(C618:E620)</f>
        <v>2.100000000000001</v>
      </c>
      <c r="C618">
        <f>C612</f>
        <v>1</v>
      </c>
      <c r="D618">
        <f>C615</f>
        <v>19</v>
      </c>
      <c r="E618">
        <f t="shared" ref="E618" si="7">E612</f>
        <v>1.1000000000000001</v>
      </c>
      <c r="H618">
        <v>-0.5882352941176473</v>
      </c>
      <c r="I618">
        <v>1.7647058823529416</v>
      </c>
      <c r="J618">
        <v>-1.1764705882352944</v>
      </c>
    </row>
    <row r="619" spans="1:10" ht="15.75" customHeight="1">
      <c r="C619">
        <f t="shared" ref="C619:E620" si="8">C613</f>
        <v>1</v>
      </c>
      <c r="D619">
        <f t="shared" ref="D619:D620" si="9">C616</f>
        <v>13</v>
      </c>
      <c r="E619">
        <f t="shared" si="8"/>
        <v>1.4</v>
      </c>
    </row>
    <row r="620" spans="1:10" ht="15.75" customHeight="1">
      <c r="C620">
        <f t="shared" si="8"/>
        <v>1</v>
      </c>
      <c r="D620">
        <f t="shared" si="9"/>
        <v>20</v>
      </c>
      <c r="E620">
        <f t="shared" si="8"/>
        <v>0.7</v>
      </c>
      <c r="H620">
        <v>19</v>
      </c>
    </row>
    <row r="621" spans="1:10" ht="15.75" customHeight="1">
      <c r="A621" t="s">
        <v>1228</v>
      </c>
      <c r="B621">
        <f t="shared" si="6"/>
        <v>6.0000000000000009</v>
      </c>
      <c r="C621">
        <f>C612</f>
        <v>1</v>
      </c>
      <c r="D621">
        <f t="shared" ref="D621" si="10">D612</f>
        <v>0.2</v>
      </c>
      <c r="E621">
        <f>C615</f>
        <v>19</v>
      </c>
      <c r="G621" t="s">
        <v>1229</v>
      </c>
      <c r="H621">
        <v>13</v>
      </c>
    </row>
    <row r="622" spans="1:10" ht="15.75" customHeight="1">
      <c r="C622">
        <f t="shared" ref="C622:D623" si="11">C613</f>
        <v>1</v>
      </c>
      <c r="D622">
        <f t="shared" si="11"/>
        <v>0.8</v>
      </c>
      <c r="E622">
        <f t="shared" ref="E622:E623" si="12">C616</f>
        <v>13</v>
      </c>
      <c r="H622">
        <v>20</v>
      </c>
    </row>
    <row r="623" spans="1:10" ht="15.75" customHeight="1">
      <c r="C623">
        <f t="shared" si="11"/>
        <v>1</v>
      </c>
      <c r="D623">
        <f t="shared" si="11"/>
        <v>1.1000000000000001</v>
      </c>
      <c r="E623">
        <f t="shared" si="12"/>
        <v>20</v>
      </c>
    </row>
    <row r="624" spans="1:10" ht="15.75" customHeight="1">
      <c r="H624" cm="1">
        <f t="array" ref="H624:H626">MMULT(H616:J618,H620:H622)</f>
        <v>32.764705882352942</v>
      </c>
    </row>
    <row r="625" spans="1:8" ht="15.75" customHeight="1">
      <c r="A625" t="s">
        <v>1230</v>
      </c>
      <c r="B625">
        <f>B615/B612</f>
        <v>32.764705882352935</v>
      </c>
      <c r="E625">
        <v>1</v>
      </c>
      <c r="G625" t="s">
        <v>1048</v>
      </c>
      <c r="H625">
        <v>-4.117647058823529</v>
      </c>
    </row>
    <row r="626" spans="1:8" ht="15.75" customHeight="1">
      <c r="A626" t="s">
        <v>1217</v>
      </c>
      <c r="B626">
        <f>B618/B612</f>
        <v>-4.1176470588235317</v>
      </c>
      <c r="D626" t="s">
        <v>1231</v>
      </c>
      <c r="E626">
        <v>1.3</v>
      </c>
      <c r="H626">
        <v>-11.764705882352947</v>
      </c>
    </row>
    <row r="627" spans="1:8" ht="15.75" customHeight="1">
      <c r="A627" t="s">
        <v>1218</v>
      </c>
      <c r="B627">
        <f>B621/B612</f>
        <v>-11.764705882352942</v>
      </c>
      <c r="E627">
        <v>1</v>
      </c>
    </row>
    <row r="628" spans="1:8" ht="15.75" customHeight="1"/>
    <row r="629" spans="1:8" ht="15.75" customHeight="1">
      <c r="A629" t="s">
        <v>1232</v>
      </c>
      <c r="B629" s="14">
        <f>SUMPRODUCT(E625:E627,_xlfn.ANCHORARRAY(H624))</f>
        <v>15.647058823529408</v>
      </c>
    </row>
    <row r="630" spans="1:8" ht="15.75" customHeight="1">
      <c r="A630" s="4" t="s">
        <v>1233</v>
      </c>
      <c r="B630" s="4"/>
    </row>
    <row r="631" spans="1:8" ht="15.75" customHeight="1">
      <c r="A631" t="s">
        <v>1234</v>
      </c>
    </row>
    <row r="632" spans="1:8" ht="15.75" customHeight="1">
      <c r="A632" t="s">
        <v>1235</v>
      </c>
      <c r="B632" s="2">
        <v>0.28000000000000003</v>
      </c>
    </row>
    <row r="633" spans="1:8" ht="15.75" customHeight="1">
      <c r="A633" t="s">
        <v>1236</v>
      </c>
      <c r="B633" s="2">
        <v>0.19</v>
      </c>
    </row>
    <row r="634" spans="1:8" ht="15.75" customHeight="1">
      <c r="A634" t="s">
        <v>1082</v>
      </c>
      <c r="B634" s="3">
        <v>9.5000000000000001E-2</v>
      </c>
    </row>
    <row r="635" spans="1:8" ht="15.75" customHeight="1">
      <c r="A635" t="s">
        <v>1237</v>
      </c>
      <c r="C635" s="15">
        <f>(B632-B634)/B633</f>
        <v>0.97368421052631593</v>
      </c>
    </row>
    <row r="636" spans="1:8" ht="15.75" customHeight="1">
      <c r="A636" s="402" t="s">
        <v>1238</v>
      </c>
      <c r="B636" s="402"/>
      <c r="C636" s="402"/>
      <c r="D636" s="402"/>
      <c r="E636" s="402"/>
      <c r="F636" s="402"/>
      <c r="G636" s="402"/>
    </row>
    <row r="637" spans="1:8" ht="15.75" customHeight="1">
      <c r="A637" s="402"/>
      <c r="B637" s="402"/>
      <c r="C637" s="402"/>
      <c r="D637" s="402"/>
      <c r="E637" s="402"/>
      <c r="F637" s="402"/>
      <c r="G637" s="402"/>
    </row>
    <row r="638" spans="1:8" ht="15.75" customHeight="1">
      <c r="A638" s="402"/>
      <c r="B638" s="402"/>
      <c r="C638" s="402"/>
      <c r="D638" s="402"/>
      <c r="E638" s="402"/>
      <c r="F638" s="402"/>
      <c r="G638" s="402"/>
    </row>
    <row r="639" spans="1:8" ht="15.75" customHeight="1">
      <c r="A639" s="402"/>
      <c r="B639" s="402"/>
      <c r="C639" s="402"/>
      <c r="D639" s="402"/>
      <c r="E639" s="402"/>
      <c r="F639" s="402"/>
      <c r="G639" s="402"/>
    </row>
    <row r="640" spans="1:8" ht="15.75" customHeight="1">
      <c r="A640" s="402"/>
      <c r="B640" s="402"/>
      <c r="C640" s="402"/>
      <c r="D640" s="402"/>
      <c r="E640" s="402"/>
      <c r="F640" s="402"/>
      <c r="G640" s="402"/>
    </row>
    <row r="641" spans="1:9" ht="15.75" customHeight="1">
      <c r="A641" s="402"/>
      <c r="B641" s="402"/>
      <c r="C641" s="402"/>
      <c r="D641" s="402"/>
      <c r="E641" s="402"/>
      <c r="F641" s="402"/>
      <c r="G641" s="402"/>
    </row>
    <row r="642" spans="1:9" ht="15.75" customHeight="1">
      <c r="A642" s="402"/>
      <c r="B642" s="402"/>
      <c r="C642" s="402"/>
      <c r="D642" s="402"/>
      <c r="E642" s="402"/>
      <c r="F642" s="402"/>
      <c r="G642" s="402"/>
    </row>
    <row r="643" spans="1:9" ht="15.75" customHeight="1">
      <c r="A643" t="s">
        <v>1239</v>
      </c>
      <c r="B643" s="2">
        <v>0.24</v>
      </c>
      <c r="E643" t="s">
        <v>1240</v>
      </c>
      <c r="F643" s="2">
        <v>0.27</v>
      </c>
    </row>
    <row r="644" spans="1:9" ht="15.75" customHeight="1">
      <c r="A644" t="s">
        <v>1241</v>
      </c>
      <c r="B644" s="2">
        <v>0.18</v>
      </c>
      <c r="E644" t="s">
        <v>1242</v>
      </c>
      <c r="F644" s="2">
        <v>0.22</v>
      </c>
    </row>
    <row r="645" spans="1:9" ht="15.75" customHeight="1">
      <c r="A645" t="s">
        <v>1082</v>
      </c>
      <c r="B645" s="3">
        <v>0.08</v>
      </c>
      <c r="E645" t="s">
        <v>1082</v>
      </c>
      <c r="F645" s="3">
        <v>0.08</v>
      </c>
    </row>
    <row r="646" spans="1:9" ht="15.75" customHeight="1">
      <c r="A646" t="s">
        <v>1237</v>
      </c>
      <c r="C646" s="10">
        <f>(B643-B645)/B644</f>
        <v>0.88888888888888884</v>
      </c>
      <c r="E646" t="s">
        <v>1237</v>
      </c>
      <c r="G646" s="9">
        <f>(F643-F645)/F644</f>
        <v>0.86363636363636365</v>
      </c>
    </row>
    <row r="647" spans="1:9" ht="15.75" customHeight="1">
      <c r="A647" s="4" t="s">
        <v>1243</v>
      </c>
      <c r="B647" s="4"/>
      <c r="C647" s="4"/>
      <c r="D647" s="4"/>
    </row>
    <row r="648" spans="1:9" ht="15.75" customHeight="1"/>
    <row r="649" spans="1:9" ht="15.75" customHeight="1">
      <c r="A649" s="402" t="s">
        <v>1244</v>
      </c>
      <c r="B649" s="402"/>
      <c r="C649" s="402"/>
      <c r="D649" s="402"/>
      <c r="E649" s="402"/>
      <c r="F649" s="402"/>
      <c r="G649" s="402"/>
      <c r="H649" s="402"/>
      <c r="I649" s="402"/>
    </row>
    <row r="650" spans="1:9" ht="15.75" customHeight="1">
      <c r="A650" s="402"/>
      <c r="B650" s="402"/>
      <c r="C650" s="402"/>
      <c r="D650" s="402"/>
      <c r="E650" s="402"/>
      <c r="F650" s="402"/>
      <c r="G650" s="402"/>
      <c r="H650" s="402"/>
      <c r="I650" s="402"/>
    </row>
    <row r="651" spans="1:9" ht="15.75" customHeight="1">
      <c r="A651" s="402"/>
      <c r="B651" s="402"/>
      <c r="C651" s="402"/>
      <c r="D651" s="402"/>
      <c r="E651" s="402"/>
      <c r="F651" s="402"/>
      <c r="G651" s="402"/>
      <c r="H651" s="402"/>
      <c r="I651" s="402"/>
    </row>
    <row r="652" spans="1:9" ht="15.75" customHeight="1">
      <c r="A652" s="402"/>
      <c r="B652" s="402"/>
      <c r="C652" s="402"/>
      <c r="D652" s="402"/>
      <c r="E652" s="402"/>
      <c r="F652" s="402"/>
      <c r="G652" s="402"/>
      <c r="H652" s="402"/>
      <c r="I652" s="402"/>
    </row>
    <row r="653" spans="1:9" ht="15.75" customHeight="1">
      <c r="A653" s="402"/>
      <c r="B653" s="402"/>
      <c r="C653" s="402"/>
      <c r="D653" s="402"/>
      <c r="E653" s="402"/>
      <c r="F653" s="402"/>
      <c r="G653" s="402"/>
      <c r="H653" s="402"/>
      <c r="I653" s="402"/>
    </row>
    <row r="654" spans="1:9" ht="15.75" customHeight="1">
      <c r="A654" s="402"/>
      <c r="B654" s="402"/>
      <c r="C654" s="402"/>
      <c r="D654" s="402"/>
      <c r="E654" s="402"/>
      <c r="F654" s="402"/>
      <c r="G654" s="402"/>
      <c r="H654" s="402"/>
      <c r="I654" s="402"/>
    </row>
    <row r="655" spans="1:9" ht="15.75" customHeight="1">
      <c r="A655" s="402"/>
      <c r="B655" s="402"/>
      <c r="C655" s="402"/>
      <c r="D655" s="402"/>
      <c r="E655" s="402"/>
      <c r="F655" s="402"/>
      <c r="G655" s="402"/>
      <c r="H655" s="402"/>
      <c r="I655" s="402"/>
    </row>
    <row r="656" spans="1:9" ht="15.75" customHeight="1">
      <c r="A656" s="402"/>
      <c r="B656" s="402"/>
      <c r="C656" s="402"/>
      <c r="D656" s="402"/>
      <c r="E656" s="402"/>
      <c r="F656" s="402"/>
      <c r="G656" s="402"/>
      <c r="H656" s="402"/>
      <c r="I656" s="402"/>
    </row>
    <row r="657" spans="1:10" ht="15.75" customHeight="1">
      <c r="A657" s="402"/>
      <c r="B657" s="402"/>
      <c r="C657" s="402"/>
      <c r="D657" s="402"/>
      <c r="E657" s="402"/>
      <c r="F657" s="402"/>
      <c r="G657" s="402"/>
      <c r="H657" s="402"/>
      <c r="I657" s="402"/>
    </row>
    <row r="658" spans="1:10" ht="15.75" customHeight="1">
      <c r="A658" s="402"/>
      <c r="B658" s="402"/>
      <c r="C658" s="402"/>
      <c r="D658" s="402"/>
      <c r="E658" s="402"/>
      <c r="F658" s="402"/>
      <c r="G658" s="402"/>
      <c r="H658" s="402"/>
      <c r="I658" s="402"/>
    </row>
    <row r="659" spans="1:10" ht="15.75" customHeight="1">
      <c r="A659" s="402"/>
      <c r="B659" s="402"/>
      <c r="C659" s="402"/>
      <c r="D659" s="402"/>
      <c r="E659" s="402"/>
      <c r="F659" s="402"/>
      <c r="G659" s="402"/>
      <c r="H659" s="402"/>
      <c r="I659" s="402"/>
    </row>
    <row r="660" spans="1:10" ht="15.75" customHeight="1">
      <c r="A660" s="402"/>
      <c r="B660" s="402"/>
      <c r="C660" s="402"/>
      <c r="D660" s="402"/>
      <c r="E660" s="402"/>
      <c r="F660" s="402"/>
      <c r="G660" s="402"/>
      <c r="H660" s="402"/>
      <c r="I660" s="402"/>
    </row>
    <row r="661" spans="1:10" ht="15.75" customHeight="1"/>
    <row r="662" spans="1:10" ht="15.75" customHeight="1">
      <c r="A662" t="s">
        <v>1082</v>
      </c>
      <c r="B662" s="2">
        <v>7.0000000000000007E-2</v>
      </c>
    </row>
    <row r="663" spans="1:10" ht="15.75" customHeight="1">
      <c r="A663" t="s">
        <v>1245</v>
      </c>
      <c r="B663" t="s">
        <v>1246</v>
      </c>
      <c r="C663" t="s">
        <v>1247</v>
      </c>
      <c r="D663" t="s">
        <v>1248</v>
      </c>
      <c r="E663" t="s">
        <v>564</v>
      </c>
      <c r="F663" t="s">
        <v>1249</v>
      </c>
      <c r="G663" t="s">
        <v>1250</v>
      </c>
    </row>
    <row r="664" spans="1:10" ht="15.75" customHeight="1">
      <c r="A664">
        <v>1</v>
      </c>
      <c r="B664">
        <v>35</v>
      </c>
      <c r="C664">
        <f>B664</f>
        <v>35</v>
      </c>
      <c r="D664">
        <v>38</v>
      </c>
      <c r="E664">
        <f>D664/C664-1</f>
        <v>8.5714285714285632E-2</v>
      </c>
      <c r="F664">
        <f>(E664-$J$465)^2</f>
        <v>7.3469387755101898E-3</v>
      </c>
      <c r="G664">
        <f>E664+1</f>
        <v>1.0857142857142856</v>
      </c>
      <c r="I664" t="s">
        <v>1251</v>
      </c>
      <c r="J664">
        <f>SUM(E664:E667)/4</f>
        <v>4.6109175377468004E-2</v>
      </c>
    </row>
    <row r="665" spans="1:10" ht="15.75" customHeight="1">
      <c r="A665">
        <v>2</v>
      </c>
      <c r="B665">
        <v>4</v>
      </c>
      <c r="C665">
        <f>D664+B665</f>
        <v>42</v>
      </c>
      <c r="D665">
        <v>40</v>
      </c>
      <c r="E665">
        <f t="shared" ref="E665:E667" si="13">D665/C665-1</f>
        <v>-4.7619047619047672E-2</v>
      </c>
      <c r="F665">
        <f>(E665-$J$465)^2</f>
        <v>2.2675736961451295E-3</v>
      </c>
      <c r="G665">
        <f t="shared" ref="G665:G667" si="14">E665+1</f>
        <v>0.95238095238095233</v>
      </c>
      <c r="I665" t="s">
        <v>958</v>
      </c>
      <c r="J665">
        <f>PRODUCT(G664:G667)-1</f>
        <v>0.18533266965322692</v>
      </c>
    </row>
    <row r="666" spans="1:10" ht="15.75" customHeight="1">
      <c r="A666">
        <v>3</v>
      </c>
      <c r="B666">
        <v>3</v>
      </c>
      <c r="C666">
        <f t="shared" ref="C666:C667" si="15">D665+B666</f>
        <v>43</v>
      </c>
      <c r="D666">
        <v>43</v>
      </c>
      <c r="E666">
        <f t="shared" si="13"/>
        <v>0</v>
      </c>
      <c r="F666">
        <f>(E666-$J$465)^2</f>
        <v>0</v>
      </c>
      <c r="G666">
        <f t="shared" si="14"/>
        <v>1</v>
      </c>
      <c r="I666" t="s">
        <v>729</v>
      </c>
      <c r="J666">
        <f>SUM(F664:F667)/4</f>
        <v>7.7575840964979985E-3</v>
      </c>
    </row>
    <row r="667" spans="1:10" ht="15.75" customHeight="1">
      <c r="A667">
        <v>4</v>
      </c>
      <c r="B667">
        <v>-2</v>
      </c>
      <c r="C667">
        <f t="shared" si="15"/>
        <v>41</v>
      </c>
      <c r="D667">
        <v>47</v>
      </c>
      <c r="E667">
        <f t="shared" si="13"/>
        <v>0.14634146341463405</v>
      </c>
      <c r="F667">
        <f>(E667-$J$465)^2</f>
        <v>2.1415823914336676E-2</v>
      </c>
      <c r="G667">
        <f t="shared" si="14"/>
        <v>1.1463414634146341</v>
      </c>
      <c r="I667" t="s">
        <v>730</v>
      </c>
      <c r="J667">
        <f>SQRT(J666)</f>
        <v>8.8077148548860271E-2</v>
      </c>
    </row>
    <row r="668" spans="1:10" ht="15.75" customHeight="1">
      <c r="I668" t="s">
        <v>1236</v>
      </c>
      <c r="J668">
        <f>J667*SQRT(4)</f>
        <v>0.17615429709772054</v>
      </c>
    </row>
    <row r="669" spans="1:10" ht="15.75" customHeight="1">
      <c r="A669" t="s">
        <v>1237</v>
      </c>
      <c r="C669" s="10">
        <f>(J665-B662)/J668</f>
        <v>0.65472526957004518</v>
      </c>
    </row>
    <row r="670" spans="1:10" ht="15.75" customHeight="1">
      <c r="A670" t="s">
        <v>73</v>
      </c>
      <c r="C670" s="10"/>
    </row>
    <row r="671" spans="1:10" ht="15.75" customHeight="1">
      <c r="A671" t="s">
        <v>1252</v>
      </c>
    </row>
    <row r="672" spans="1:10" ht="15.75" customHeight="1">
      <c r="B672">
        <v>0.4</v>
      </c>
      <c r="C672">
        <v>0</v>
      </c>
      <c r="D672">
        <v>0</v>
      </c>
    </row>
    <row r="673" spans="1:10" ht="15.75" customHeight="1">
      <c r="A673" t="s">
        <v>1253</v>
      </c>
      <c r="B673">
        <v>0</v>
      </c>
      <c r="C673">
        <v>0.5</v>
      </c>
      <c r="D673">
        <v>0</v>
      </c>
    </row>
    <row r="674" spans="1:10" ht="15.75" customHeight="1">
      <c r="B674">
        <v>0</v>
      </c>
      <c r="C674">
        <v>0</v>
      </c>
      <c r="D674">
        <v>0.8</v>
      </c>
    </row>
    <row r="675" spans="1:10" ht="15.75" customHeight="1">
      <c r="A675" s="402" t="s">
        <v>1254</v>
      </c>
      <c r="B675" s="402"/>
      <c r="C675" s="402"/>
      <c r="D675" s="402"/>
      <c r="E675" s="402"/>
      <c r="F675" s="402"/>
      <c r="G675" s="402"/>
      <c r="H675" s="402"/>
      <c r="I675" s="402"/>
      <c r="J675" s="402"/>
    </row>
    <row r="676" spans="1:10" ht="15.75" customHeight="1">
      <c r="A676" s="402"/>
      <c r="B676" s="402"/>
      <c r="C676" s="402"/>
      <c r="D676" s="402"/>
      <c r="E676" s="402"/>
      <c r="F676" s="402"/>
      <c r="G676" s="402"/>
      <c r="H676" s="402"/>
      <c r="I676" s="402"/>
      <c r="J676" s="402"/>
    </row>
    <row r="677" spans="1:10" ht="15.75" customHeight="1"/>
    <row r="678" spans="1:10" ht="15.75" customHeight="1">
      <c r="A678" s="402" t="s">
        <v>1255</v>
      </c>
      <c r="B678" s="402"/>
      <c r="C678" s="402"/>
      <c r="D678" s="402"/>
      <c r="E678" s="402"/>
      <c r="F678" s="402"/>
      <c r="G678" s="402"/>
      <c r="H678" s="402"/>
    </row>
    <row r="679" spans="1:10" ht="15.75" customHeight="1">
      <c r="A679" s="402"/>
      <c r="B679" s="402"/>
      <c r="C679" s="402"/>
      <c r="D679" s="402"/>
      <c r="E679" s="402"/>
      <c r="F679" s="402"/>
      <c r="G679" s="402"/>
      <c r="H679" s="402"/>
    </row>
    <row r="680" spans="1:10" ht="15.75" customHeight="1">
      <c r="A680" s="402"/>
      <c r="B680" s="402"/>
      <c r="C680" s="402"/>
      <c r="D680" s="402"/>
      <c r="E680" s="402"/>
      <c r="F680" s="402"/>
      <c r="G680" s="402"/>
      <c r="H680" s="402"/>
    </row>
    <row r="681" spans="1:10" ht="15.75" customHeight="1">
      <c r="B681">
        <v>0.09</v>
      </c>
      <c r="C681">
        <v>-7.0000000000000007E-2</v>
      </c>
    </row>
    <row r="682" spans="1:10" ht="15.75" customHeight="1">
      <c r="A682" t="s">
        <v>1253</v>
      </c>
      <c r="B682">
        <v>-7.0000000000000007E-2</v>
      </c>
      <c r="C682">
        <v>0.21</v>
      </c>
    </row>
    <row r="683" spans="1:10" ht="15.75" customHeight="1">
      <c r="A683" s="402" t="s">
        <v>1256</v>
      </c>
      <c r="B683" s="402"/>
      <c r="C683" s="402"/>
      <c r="D683" s="402"/>
      <c r="E683" s="402"/>
      <c r="F683" s="402"/>
      <c r="G683" s="402"/>
      <c r="H683" s="402"/>
    </row>
    <row r="684" spans="1:10" ht="15.75" customHeight="1">
      <c r="A684" s="402"/>
      <c r="B684" s="402"/>
      <c r="C684" s="402"/>
      <c r="D684" s="402"/>
      <c r="E684" s="402"/>
      <c r="F684" s="402"/>
      <c r="G684" s="402"/>
      <c r="H684" s="402"/>
    </row>
    <row r="685" spans="1:10" ht="15.75" customHeight="1">
      <c r="A685" s="402"/>
      <c r="B685" s="402"/>
      <c r="C685" s="402"/>
      <c r="D685" s="402"/>
      <c r="E685" s="402"/>
      <c r="F685" s="402"/>
      <c r="G685" s="402"/>
      <c r="H685" s="402"/>
    </row>
    <row r="686" spans="1:10" ht="15.75" customHeight="1"/>
    <row r="687" spans="1:10" ht="15.75" customHeight="1">
      <c r="A687" s="402" t="s">
        <v>1257</v>
      </c>
      <c r="B687" s="402"/>
      <c r="C687" s="402"/>
      <c r="D687" s="402"/>
      <c r="E687" s="402"/>
      <c r="F687" s="402"/>
      <c r="G687" s="402"/>
      <c r="H687" s="402"/>
      <c r="I687" s="402"/>
    </row>
    <row r="688" spans="1:10" ht="15.75" customHeight="1">
      <c r="A688" s="402"/>
      <c r="B688" s="402"/>
      <c r="C688" s="402"/>
      <c r="D688" s="402"/>
      <c r="E688" s="402"/>
      <c r="F688" s="402"/>
      <c r="G688" s="402"/>
      <c r="H688" s="402"/>
      <c r="I688" s="402"/>
    </row>
    <row r="689" spans="1:9" ht="15.75" customHeight="1">
      <c r="A689" s="402"/>
      <c r="B689" s="402"/>
      <c r="C689" s="402"/>
      <c r="D689" s="402"/>
      <c r="E689" s="402"/>
      <c r="F689" s="402"/>
      <c r="G689" s="402"/>
      <c r="H689" s="402"/>
      <c r="I689" s="402"/>
    </row>
    <row r="690" spans="1:9" ht="15.75" customHeight="1">
      <c r="A690" s="402"/>
      <c r="B690" s="402"/>
      <c r="C690" s="402"/>
      <c r="D690" s="402"/>
      <c r="E690" s="402"/>
      <c r="F690" s="402"/>
      <c r="G690" s="402"/>
      <c r="H690" s="402"/>
      <c r="I690" s="402"/>
    </row>
    <row r="691" spans="1:9" ht="15.75" customHeight="1">
      <c r="A691" s="402"/>
      <c r="B691" s="402"/>
      <c r="C691" s="402"/>
      <c r="D691" s="402"/>
      <c r="E691" s="402"/>
      <c r="F691" s="402"/>
      <c r="G691" s="402"/>
      <c r="H691" s="402"/>
      <c r="I691" s="402"/>
    </row>
    <row r="692" spans="1:9" ht="15.75" customHeight="1"/>
    <row r="693" spans="1:9" ht="15.75" customHeight="1">
      <c r="A693" s="402" t="s">
        <v>1258</v>
      </c>
      <c r="B693" s="402"/>
      <c r="C693" s="402"/>
      <c r="D693" s="402"/>
      <c r="E693" s="402"/>
      <c r="F693" s="402"/>
      <c r="G693" s="402"/>
      <c r="H693" s="402"/>
      <c r="I693" s="402"/>
    </row>
    <row r="694" spans="1:9" ht="15.75" customHeight="1">
      <c r="A694" s="402"/>
      <c r="B694" s="402"/>
      <c r="C694" s="402"/>
      <c r="D694" s="402"/>
      <c r="E694" s="402"/>
      <c r="F694" s="402"/>
      <c r="G694" s="402"/>
      <c r="H694" s="402"/>
      <c r="I694" s="402"/>
    </row>
    <row r="695" spans="1:9" ht="15.75" customHeight="1">
      <c r="A695" s="402"/>
      <c r="B695" s="402"/>
      <c r="C695" s="402"/>
      <c r="D695" s="402"/>
      <c r="E695" s="402"/>
      <c r="F695" s="402"/>
      <c r="G695" s="402"/>
      <c r="H695" s="402"/>
      <c r="I695" s="402"/>
    </row>
    <row r="696" spans="1:9" ht="15.75" customHeight="1">
      <c r="A696" s="402"/>
      <c r="B696" s="402"/>
      <c r="C696" s="402"/>
      <c r="D696" s="402"/>
      <c r="E696" s="402"/>
      <c r="F696" s="402"/>
      <c r="G696" s="402"/>
      <c r="H696" s="402"/>
      <c r="I696" s="402"/>
    </row>
    <row r="697" spans="1:9" ht="15.75" customHeight="1">
      <c r="A697" s="402"/>
      <c r="B697" s="402"/>
      <c r="C697" s="402"/>
      <c r="D697" s="402"/>
      <c r="E697" s="402"/>
      <c r="F697" s="402"/>
      <c r="G697" s="402"/>
      <c r="H697" s="402"/>
      <c r="I697" s="402"/>
    </row>
    <row r="698" spans="1:9" ht="15.75" customHeight="1">
      <c r="A698" s="402"/>
      <c r="B698" s="402"/>
      <c r="C698" s="402"/>
      <c r="D698" s="402"/>
      <c r="E698" s="402"/>
      <c r="F698" s="402"/>
      <c r="G698" s="402"/>
      <c r="H698" s="402"/>
      <c r="I698" s="402"/>
    </row>
    <row r="699" spans="1:9" ht="15.75" customHeight="1">
      <c r="A699" s="402"/>
      <c r="B699" s="402"/>
      <c r="C699" s="402"/>
      <c r="D699" s="402"/>
      <c r="E699" s="402"/>
      <c r="F699" s="402"/>
      <c r="G699" s="402"/>
      <c r="H699" s="402"/>
      <c r="I699" s="402"/>
    </row>
    <row r="700" spans="1:9" ht="15.75" customHeight="1">
      <c r="A700" s="402"/>
      <c r="B700" s="402"/>
      <c r="C700" s="402"/>
      <c r="D700" s="402"/>
      <c r="E700" s="402"/>
      <c r="F700" s="402"/>
      <c r="G700" s="402"/>
      <c r="H700" s="402"/>
      <c r="I700" s="402"/>
    </row>
    <row r="701" spans="1:9" ht="15.75" customHeight="1"/>
    <row r="702" spans="1:9" ht="15.75" customHeight="1">
      <c r="A702" s="402" t="s">
        <v>1259</v>
      </c>
      <c r="B702" s="402"/>
      <c r="C702" s="402"/>
      <c r="D702" s="402"/>
      <c r="E702" s="402"/>
      <c r="F702" s="402"/>
      <c r="G702" s="402"/>
    </row>
    <row r="703" spans="1:9" ht="15.75" customHeight="1">
      <c r="A703" s="402"/>
      <c r="B703" s="402"/>
      <c r="C703" s="402"/>
      <c r="D703" s="402"/>
      <c r="E703" s="402"/>
      <c r="F703" s="402"/>
      <c r="G703" s="402"/>
    </row>
    <row r="704" spans="1:9" ht="15.75" customHeight="1">
      <c r="A704" s="402"/>
      <c r="B704" s="402"/>
      <c r="C704" s="402"/>
      <c r="D704" s="402"/>
      <c r="E704" s="402"/>
      <c r="F704" s="402"/>
      <c r="G704" s="402"/>
    </row>
    <row r="705" spans="1:9" ht="15.75" customHeight="1">
      <c r="B705">
        <v>0.21</v>
      </c>
      <c r="C705">
        <v>-0.16</v>
      </c>
    </row>
    <row r="706" spans="1:9" ht="15.75" customHeight="1">
      <c r="A706" t="s">
        <v>1253</v>
      </c>
      <c r="B706">
        <v>-0.16</v>
      </c>
      <c r="C706">
        <v>0.4</v>
      </c>
    </row>
    <row r="707" spans="1:9" ht="15.75" customHeight="1">
      <c r="A707" s="402" t="s">
        <v>1260</v>
      </c>
      <c r="B707" s="402"/>
      <c r="C707" s="402"/>
      <c r="D707" s="402"/>
      <c r="E707" s="402"/>
      <c r="F707" s="402"/>
      <c r="G707" s="402"/>
    </row>
    <row r="708" spans="1:9" ht="15.75" customHeight="1">
      <c r="A708" s="402"/>
      <c r="B708" s="402"/>
      <c r="C708" s="402"/>
      <c r="D708" s="402"/>
      <c r="E708" s="402"/>
      <c r="F708" s="402"/>
      <c r="G708" s="402"/>
    </row>
    <row r="709" spans="1:9" ht="15.75" customHeight="1">
      <c r="A709" s="402"/>
      <c r="B709" s="402"/>
      <c r="C709" s="402"/>
      <c r="D709" s="402"/>
      <c r="E709" s="402"/>
      <c r="F709" s="402"/>
      <c r="G709" s="402"/>
    </row>
    <row r="710" spans="1:9" ht="15.75" customHeight="1">
      <c r="A710" s="402"/>
      <c r="B710" s="402"/>
      <c r="C710" s="402"/>
      <c r="D710" s="402"/>
      <c r="E710" s="402"/>
      <c r="F710" s="402"/>
      <c r="G710" s="402"/>
    </row>
    <row r="711" spans="1:9" ht="15.75" customHeight="1"/>
    <row r="712" spans="1:9" ht="15.75" customHeight="1">
      <c r="A712" s="402" t="s">
        <v>1261</v>
      </c>
      <c r="B712" s="402"/>
      <c r="C712" s="402"/>
      <c r="D712" s="402"/>
      <c r="E712" s="402"/>
      <c r="F712" s="402"/>
      <c r="G712" s="402"/>
      <c r="H712" s="402"/>
    </row>
    <row r="713" spans="1:9" ht="15.75" customHeight="1">
      <c r="A713" s="402"/>
      <c r="B713" s="402"/>
      <c r="C713" s="402"/>
      <c r="D713" s="402"/>
      <c r="E713" s="402"/>
      <c r="F713" s="402"/>
      <c r="G713" s="402"/>
      <c r="H713" s="402"/>
    </row>
    <row r="714" spans="1:9" ht="15.75" customHeight="1">
      <c r="A714" s="402"/>
      <c r="B714" s="402"/>
      <c r="C714" s="402"/>
      <c r="D714" s="402"/>
      <c r="E714" s="402"/>
      <c r="F714" s="402"/>
      <c r="G714" s="402"/>
      <c r="H714" s="402"/>
    </row>
    <row r="715" spans="1:9" ht="15.75" customHeight="1">
      <c r="A715" s="402"/>
      <c r="B715" s="402"/>
      <c r="C715" s="402"/>
      <c r="D715" s="402"/>
      <c r="E715" s="402"/>
      <c r="F715" s="402"/>
      <c r="G715" s="402"/>
      <c r="H715" s="402"/>
    </row>
    <row r="716" spans="1:9" ht="15.75" customHeight="1">
      <c r="A716" s="402"/>
      <c r="B716" s="402"/>
      <c r="C716" s="402"/>
      <c r="D716" s="402"/>
      <c r="E716" s="402"/>
      <c r="F716" s="402"/>
      <c r="G716" s="402"/>
      <c r="H716" s="402"/>
    </row>
    <row r="717" spans="1:9" ht="15.75" customHeight="1">
      <c r="A717" s="402"/>
      <c r="B717" s="402"/>
      <c r="C717" s="402"/>
      <c r="D717" s="402"/>
      <c r="E717" s="402"/>
      <c r="F717" s="402"/>
      <c r="G717" s="402"/>
      <c r="H717" s="402"/>
    </row>
    <row r="718" spans="1:9" ht="15.75" customHeight="1"/>
    <row r="719" spans="1:9" ht="15.75" customHeight="1">
      <c r="A719" s="402" t="s">
        <v>1262</v>
      </c>
      <c r="B719" s="402"/>
      <c r="C719" s="402"/>
      <c r="D719" s="402"/>
      <c r="E719" s="402"/>
      <c r="F719" s="402"/>
      <c r="G719" s="402"/>
      <c r="H719" s="402"/>
      <c r="I719" s="402"/>
    </row>
    <row r="720" spans="1:9" ht="15.75" customHeight="1">
      <c r="A720" s="402"/>
      <c r="B720" s="402"/>
      <c r="C720" s="402"/>
      <c r="D720" s="402"/>
      <c r="E720" s="402"/>
      <c r="F720" s="402"/>
      <c r="G720" s="402"/>
      <c r="H720" s="402"/>
      <c r="I720" s="402"/>
    </row>
    <row r="721" spans="1:9" ht="15.75" customHeight="1">
      <c r="A721" s="402"/>
      <c r="B721" s="402"/>
      <c r="C721" s="402"/>
      <c r="D721" s="402"/>
      <c r="E721" s="402"/>
      <c r="F721" s="402"/>
      <c r="G721" s="402"/>
      <c r="H721" s="402"/>
      <c r="I721" s="402"/>
    </row>
    <row r="722" spans="1:9" ht="15.75" customHeight="1">
      <c r="A722" s="402"/>
      <c r="B722" s="402"/>
      <c r="C722" s="402"/>
      <c r="D722" s="402"/>
      <c r="E722" s="402"/>
      <c r="F722" s="402"/>
      <c r="G722" s="402"/>
      <c r="H722" s="402"/>
      <c r="I722" s="402"/>
    </row>
    <row r="723" spans="1:9" ht="15.75" customHeight="1">
      <c r="A723" s="402"/>
      <c r="B723" s="402"/>
      <c r="C723" s="402"/>
      <c r="D723" s="402"/>
      <c r="E723" s="402"/>
      <c r="F723" s="402"/>
      <c r="G723" s="402"/>
      <c r="H723" s="402"/>
      <c r="I723" s="402"/>
    </row>
    <row r="724" spans="1:9" ht="15.75" customHeight="1">
      <c r="A724" s="402"/>
      <c r="B724" s="402"/>
      <c r="C724" s="402"/>
      <c r="D724" s="402"/>
      <c r="E724" s="402"/>
      <c r="F724" s="402"/>
      <c r="G724" s="402"/>
      <c r="H724" s="402"/>
      <c r="I724" s="402"/>
    </row>
    <row r="725" spans="1:9" ht="15.75" customHeight="1">
      <c r="A725" s="402"/>
      <c r="B725" s="402"/>
      <c r="C725" s="402"/>
      <c r="D725" s="402"/>
      <c r="E725" s="402"/>
      <c r="F725" s="402"/>
      <c r="G725" s="402"/>
      <c r="H725" s="402"/>
      <c r="I725" s="402"/>
    </row>
    <row r="726" spans="1:9" ht="15.75" customHeight="1">
      <c r="A726" s="402"/>
      <c r="B726" s="402"/>
      <c r="C726" s="402"/>
      <c r="D726" s="402"/>
      <c r="E726" s="402"/>
      <c r="F726" s="402"/>
      <c r="G726" s="402"/>
      <c r="H726" s="402"/>
      <c r="I726" s="402"/>
    </row>
    <row r="727" spans="1:9" ht="15.75" customHeight="1">
      <c r="A727" s="402"/>
      <c r="B727" s="402"/>
      <c r="C727" s="402"/>
      <c r="D727" s="402"/>
      <c r="E727" s="402"/>
      <c r="F727" s="402"/>
      <c r="G727" s="402"/>
      <c r="H727" s="402"/>
      <c r="I727" s="402"/>
    </row>
    <row r="728" spans="1:9" ht="15.75" customHeight="1">
      <c r="A728" s="402"/>
      <c r="B728" s="402"/>
      <c r="C728" s="402"/>
      <c r="D728" s="402"/>
      <c r="E728" s="402"/>
      <c r="F728" s="402"/>
      <c r="G728" s="402"/>
      <c r="H728" s="402"/>
      <c r="I728" s="402"/>
    </row>
    <row r="729" spans="1:9" ht="15.75" customHeight="1"/>
    <row r="730" spans="1:9" ht="15.75" customHeight="1">
      <c r="A730" s="402" t="s">
        <v>1263</v>
      </c>
      <c r="B730" s="402"/>
      <c r="C730" s="402"/>
      <c r="D730" s="402"/>
      <c r="E730" s="402"/>
      <c r="F730" s="402"/>
      <c r="G730" s="402"/>
      <c r="H730" s="402"/>
      <c r="I730" s="402"/>
    </row>
    <row r="731" spans="1:9" ht="15.75" customHeight="1">
      <c r="A731" s="402"/>
      <c r="B731" s="402"/>
      <c r="C731" s="402"/>
      <c r="D731" s="402"/>
      <c r="E731" s="402"/>
      <c r="F731" s="402"/>
      <c r="G731" s="402"/>
      <c r="H731" s="402"/>
      <c r="I731" s="402"/>
    </row>
    <row r="732" spans="1:9" ht="15.75" customHeight="1">
      <c r="A732" s="402"/>
      <c r="B732" s="402"/>
      <c r="C732" s="402"/>
      <c r="D732" s="402"/>
      <c r="E732" s="402"/>
      <c r="F732" s="402"/>
      <c r="G732" s="402"/>
      <c r="H732" s="402"/>
      <c r="I732" s="402"/>
    </row>
    <row r="733" spans="1:9" ht="15.75" customHeight="1">
      <c r="A733" s="402"/>
      <c r="B733" s="402"/>
      <c r="C733" s="402"/>
      <c r="D733" s="402"/>
      <c r="E733" s="402"/>
      <c r="F733" s="402"/>
      <c r="G733" s="402"/>
      <c r="H733" s="402"/>
      <c r="I733" s="402"/>
    </row>
    <row r="734" spans="1:9" ht="15.75" customHeight="1">
      <c r="A734" s="402"/>
      <c r="B734" s="402"/>
      <c r="C734" s="402"/>
      <c r="D734" s="402"/>
      <c r="E734" s="402"/>
      <c r="F734" s="402"/>
      <c r="G734" s="402"/>
      <c r="H734" s="402"/>
      <c r="I734" s="402"/>
    </row>
    <row r="735" spans="1:9" ht="15.75" customHeight="1">
      <c r="A735" s="402"/>
      <c r="B735" s="402"/>
      <c r="C735" s="402"/>
      <c r="D735" s="402"/>
      <c r="E735" s="402"/>
      <c r="F735" s="402"/>
      <c r="G735" s="402"/>
      <c r="H735" s="402"/>
      <c r="I735" s="402"/>
    </row>
    <row r="736" spans="1:9" ht="15.75" customHeight="1">
      <c r="A736" s="402"/>
      <c r="B736" s="402"/>
      <c r="C736" s="402"/>
      <c r="D736" s="402"/>
      <c r="E736" s="402"/>
      <c r="F736" s="402"/>
      <c r="G736" s="402"/>
      <c r="H736" s="402"/>
      <c r="I736" s="402"/>
    </row>
    <row r="737" spans="1:9" ht="15.75" customHeight="1"/>
    <row r="738" spans="1:9" ht="15.75" customHeight="1">
      <c r="A738" s="402" t="s">
        <v>1264</v>
      </c>
      <c r="B738" s="402"/>
      <c r="C738" s="402"/>
      <c r="D738" s="402"/>
      <c r="E738" s="402"/>
      <c r="F738" s="402"/>
      <c r="G738" s="402"/>
      <c r="H738" s="402"/>
      <c r="I738" s="402"/>
    </row>
    <row r="739" spans="1:9" ht="15.75" customHeight="1">
      <c r="A739" s="402"/>
      <c r="B739" s="402"/>
      <c r="C739" s="402"/>
      <c r="D739" s="402"/>
      <c r="E739" s="402"/>
      <c r="F739" s="402"/>
      <c r="G739" s="402"/>
      <c r="H739" s="402"/>
      <c r="I739" s="402"/>
    </row>
    <row r="740" spans="1:9" ht="15.75" customHeight="1">
      <c r="A740" s="402"/>
      <c r="B740" s="402"/>
      <c r="C740" s="402"/>
      <c r="D740" s="402"/>
      <c r="E740" s="402"/>
      <c r="F740" s="402"/>
      <c r="G740" s="402"/>
      <c r="H740" s="402"/>
      <c r="I740" s="402"/>
    </row>
    <row r="741" spans="1:9" ht="15.75" customHeight="1">
      <c r="A741" s="402"/>
      <c r="B741" s="402"/>
      <c r="C741" s="402"/>
      <c r="D741" s="402"/>
      <c r="E741" s="402"/>
      <c r="F741" s="402"/>
      <c r="G741" s="402"/>
      <c r="H741" s="402"/>
      <c r="I741" s="402"/>
    </row>
    <row r="742" spans="1:9" ht="15.75" customHeight="1">
      <c r="A742" s="402"/>
      <c r="B742" s="402"/>
      <c r="C742" s="402"/>
      <c r="D742" s="402"/>
      <c r="E742" s="402"/>
      <c r="F742" s="402"/>
      <c r="G742" s="402"/>
      <c r="H742" s="402"/>
      <c r="I742" s="402"/>
    </row>
    <row r="743" spans="1:9" ht="15.75" customHeight="1">
      <c r="A743" s="402"/>
      <c r="B743" s="402"/>
      <c r="C743" s="402"/>
      <c r="D743" s="402"/>
      <c r="E743" s="402"/>
      <c r="F743" s="402"/>
      <c r="G743" s="402"/>
      <c r="H743" s="402"/>
      <c r="I743" s="402"/>
    </row>
    <row r="744" spans="1:9" ht="15.75" customHeight="1"/>
    <row r="745" spans="1:9" ht="15.75" customHeight="1">
      <c r="A745" s="402" t="s">
        <v>1265</v>
      </c>
      <c r="B745" s="402"/>
      <c r="C745" s="402"/>
      <c r="D745" s="402"/>
      <c r="E745" s="402"/>
      <c r="F745" s="402"/>
      <c r="G745" s="402"/>
      <c r="H745" s="402"/>
      <c r="I745" s="402"/>
    </row>
    <row r="746" spans="1:9" ht="15.75" customHeight="1">
      <c r="A746" s="402"/>
      <c r="B746" s="402"/>
      <c r="C746" s="402"/>
      <c r="D746" s="402"/>
      <c r="E746" s="402"/>
      <c r="F746" s="402"/>
      <c r="G746" s="402"/>
      <c r="H746" s="402"/>
      <c r="I746" s="402"/>
    </row>
    <row r="747" spans="1:9" ht="15.75" customHeight="1">
      <c r="A747" s="402"/>
      <c r="B747" s="402"/>
      <c r="C747" s="402"/>
      <c r="D747" s="402"/>
      <c r="E747" s="402"/>
      <c r="F747" s="402"/>
      <c r="G747" s="402"/>
      <c r="H747" s="402"/>
      <c r="I747" s="402"/>
    </row>
    <row r="748" spans="1:9" ht="15.75" customHeight="1">
      <c r="A748" s="402"/>
      <c r="B748" s="402"/>
      <c r="C748" s="402"/>
      <c r="D748" s="402"/>
      <c r="E748" s="402"/>
      <c r="F748" s="402"/>
      <c r="G748" s="402"/>
      <c r="H748" s="402"/>
      <c r="I748" s="402"/>
    </row>
    <row r="749" spans="1:9" ht="15.75" customHeight="1">
      <c r="A749" s="402"/>
      <c r="B749" s="402"/>
      <c r="C749" s="402"/>
      <c r="D749" s="402"/>
      <c r="E749" s="402"/>
      <c r="F749" s="402"/>
      <c r="G749" s="402"/>
      <c r="H749" s="402"/>
      <c r="I749" s="402"/>
    </row>
    <row r="750" spans="1:9" ht="15.75" customHeight="1"/>
    <row r="751" spans="1:9" ht="15.75" customHeight="1"/>
    <row r="752" spans="1:9"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sheetData>
  <mergeCells count="30">
    <mergeCell ref="A457:H461"/>
    <mergeCell ref="A470:K481"/>
    <mergeCell ref="A491:G496"/>
    <mergeCell ref="D164:H169"/>
    <mergeCell ref="A179:E179"/>
    <mergeCell ref="D180:N187"/>
    <mergeCell ref="A275:E275"/>
    <mergeCell ref="A193:H200"/>
    <mergeCell ref="A435:F441"/>
    <mergeCell ref="A516:H532"/>
    <mergeCell ref="A563:I575"/>
    <mergeCell ref="B604:B605"/>
    <mergeCell ref="C604:C605"/>
    <mergeCell ref="D604:D605"/>
    <mergeCell ref="E604:E605"/>
    <mergeCell ref="A599:J601"/>
    <mergeCell ref="A636:G642"/>
    <mergeCell ref="A649:I660"/>
    <mergeCell ref="A675:J676"/>
    <mergeCell ref="A678:H680"/>
    <mergeCell ref="A683:H685"/>
    <mergeCell ref="A730:I736"/>
    <mergeCell ref="A738:I743"/>
    <mergeCell ref="A745:I749"/>
    <mergeCell ref="A687:I691"/>
    <mergeCell ref="A693:I700"/>
    <mergeCell ref="A702:G704"/>
    <mergeCell ref="A707:G710"/>
    <mergeCell ref="A712:H717"/>
    <mergeCell ref="A719:I728"/>
  </mergeCells>
  <hyperlinks>
    <hyperlink ref="A331" r:id="rId1" xr:uid="{8E19960E-B881-48EF-BF59-6E870650CEDC}"/>
    <hyperlink ref="A77" r:id="rId2" xr:uid="{86ACBFFC-E088-406E-B1EF-A6B701DF58CB}"/>
    <hyperlink ref="A448" r:id="rId3" xr:uid="{334E7259-02FB-4458-BC99-5AD930E6D3A4}"/>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BABE3-D743-4413-9D60-8AC558700F73}">
  <dimension ref="A1:V963"/>
  <sheetViews>
    <sheetView tabSelected="1" topLeftCell="A46" zoomScale="75" zoomScaleNormal="100" workbookViewId="0">
      <selection activeCell="M76" sqref="M76"/>
    </sheetView>
  </sheetViews>
  <sheetFormatPr defaultColWidth="8.85546875" defaultRowHeight="15.75"/>
  <cols>
    <col min="1" max="1" width="8.85546875" style="237"/>
    <col min="2" max="2" width="13.28515625" style="237" bestFit="1" customWidth="1"/>
    <col min="3" max="3" width="14" style="237" bestFit="1" customWidth="1"/>
    <col min="4" max="16384" width="8.85546875" style="237"/>
  </cols>
  <sheetData>
    <row r="1" spans="1:8">
      <c r="A1" s="443" t="s">
        <v>1266</v>
      </c>
      <c r="B1" s="443"/>
      <c r="C1" s="443"/>
      <c r="D1" s="443"/>
      <c r="E1" s="443"/>
      <c r="F1" s="443"/>
      <c r="G1" s="443"/>
      <c r="H1" s="443"/>
    </row>
    <row r="2" spans="1:8">
      <c r="A2" s="443"/>
      <c r="B2" s="443"/>
      <c r="C2" s="443"/>
      <c r="D2" s="443"/>
      <c r="E2" s="443"/>
      <c r="F2" s="443"/>
      <c r="G2" s="443"/>
      <c r="H2" s="443"/>
    </row>
    <row r="3" spans="1:8">
      <c r="A3" s="443"/>
      <c r="B3" s="443"/>
      <c r="C3" s="443"/>
      <c r="D3" s="443"/>
      <c r="E3" s="443"/>
      <c r="F3" s="443"/>
      <c r="G3" s="443"/>
      <c r="H3" s="443"/>
    </row>
    <row r="4" spans="1:8">
      <c r="A4" s="443"/>
      <c r="B4" s="443"/>
      <c r="C4" s="443"/>
      <c r="D4" s="443"/>
      <c r="E4" s="443"/>
      <c r="F4" s="443"/>
      <c r="G4" s="443"/>
      <c r="H4" s="443"/>
    </row>
    <row r="5" spans="1:8">
      <c r="A5" s="443"/>
      <c r="B5" s="443"/>
      <c r="C5" s="443"/>
      <c r="D5" s="443"/>
      <c r="E5" s="443"/>
      <c r="F5" s="443"/>
      <c r="G5" s="443"/>
      <c r="H5" s="443"/>
    </row>
    <row r="6" spans="1:8">
      <c r="A6" t="s">
        <v>983</v>
      </c>
      <c r="B6"/>
      <c r="C6">
        <v>120</v>
      </c>
      <c r="E6" t="s">
        <v>983</v>
      </c>
      <c r="F6"/>
      <c r="G6">
        <v>120</v>
      </c>
    </row>
    <row r="7" spans="1:8">
      <c r="A7" t="s">
        <v>919</v>
      </c>
      <c r="B7"/>
      <c r="C7">
        <v>3</v>
      </c>
      <c r="E7" t="s">
        <v>919</v>
      </c>
      <c r="F7"/>
      <c r="G7">
        <v>3</v>
      </c>
    </row>
    <row r="8" spans="1:8">
      <c r="A8" t="s">
        <v>1267</v>
      </c>
      <c r="B8"/>
      <c r="C8">
        <v>130</v>
      </c>
      <c r="E8" t="s">
        <v>1267</v>
      </c>
      <c r="F8"/>
      <c r="G8">
        <v>130</v>
      </c>
    </row>
    <row r="9" spans="1:8">
      <c r="A9" t="s">
        <v>1268</v>
      </c>
      <c r="B9"/>
      <c r="C9">
        <f>C7</f>
        <v>3</v>
      </c>
      <c r="E9" s="237" t="s">
        <v>1269</v>
      </c>
    </row>
    <row r="10" spans="1:8">
      <c r="A10" t="s">
        <v>1270</v>
      </c>
      <c r="B10"/>
      <c r="C10">
        <f>MAX(0,C8-C6)</f>
        <v>10</v>
      </c>
      <c r="E10" s="237" t="s">
        <v>1271</v>
      </c>
      <c r="G10" s="237">
        <f>G8-G7-G6</f>
        <v>7</v>
      </c>
    </row>
    <row r="11" spans="1:8">
      <c r="A11" t="s">
        <v>1272</v>
      </c>
      <c r="B11"/>
      <c r="C11" s="4">
        <f>C10-C9</f>
        <v>7</v>
      </c>
    </row>
    <row r="12" spans="1:8">
      <c r="A12" s="443" t="s">
        <v>1273</v>
      </c>
      <c r="B12" s="443"/>
      <c r="C12" s="443"/>
      <c r="D12" s="443"/>
      <c r="E12" s="443"/>
      <c r="F12" s="443"/>
      <c r="G12" s="443"/>
      <c r="H12" s="443"/>
    </row>
    <row r="13" spans="1:8">
      <c r="A13" s="443"/>
      <c r="B13" s="443"/>
      <c r="C13" s="443"/>
      <c r="D13" s="443"/>
      <c r="E13" s="443"/>
      <c r="F13" s="443"/>
      <c r="G13" s="443"/>
      <c r="H13" s="443"/>
    </row>
    <row r="14" spans="1:8">
      <c r="A14" s="443"/>
      <c r="B14" s="443"/>
      <c r="C14" s="443"/>
      <c r="D14" s="443"/>
      <c r="E14" s="443"/>
      <c r="F14" s="443"/>
      <c r="G14" s="443"/>
      <c r="H14" s="443"/>
    </row>
    <row r="15" spans="1:8">
      <c r="A15" s="443"/>
      <c r="B15" s="443"/>
      <c r="C15" s="443"/>
      <c r="D15" s="443"/>
      <c r="E15" s="443"/>
      <c r="F15" s="443"/>
      <c r="G15" s="443"/>
      <c r="H15" s="443"/>
    </row>
    <row r="16" spans="1:8">
      <c r="A16" s="443"/>
      <c r="B16" s="443"/>
      <c r="C16" s="443"/>
      <c r="D16" s="443"/>
      <c r="E16" s="443"/>
      <c r="F16" s="443"/>
      <c r="G16" s="443"/>
      <c r="H16" s="443"/>
    </row>
    <row r="17" spans="1:8">
      <c r="A17" t="s">
        <v>983</v>
      </c>
      <c r="B17"/>
      <c r="C17">
        <v>100</v>
      </c>
      <c r="D17" s="310"/>
      <c r="E17" t="s">
        <v>983</v>
      </c>
      <c r="F17"/>
      <c r="G17">
        <v>100</v>
      </c>
      <c r="H17" s="310"/>
    </row>
    <row r="18" spans="1:8">
      <c r="A18" t="s">
        <v>919</v>
      </c>
      <c r="B18"/>
      <c r="C18">
        <v>7</v>
      </c>
      <c r="D18" s="310"/>
      <c r="E18" t="s">
        <v>919</v>
      </c>
      <c r="F18"/>
      <c r="G18">
        <v>7</v>
      </c>
      <c r="H18" s="310"/>
    </row>
    <row r="19" spans="1:8">
      <c r="A19" t="s">
        <v>1267</v>
      </c>
      <c r="B19"/>
      <c r="C19">
        <v>106</v>
      </c>
      <c r="E19" t="s">
        <v>1267</v>
      </c>
      <c r="F19"/>
      <c r="G19">
        <v>106</v>
      </c>
    </row>
    <row r="20" spans="1:8">
      <c r="A20" t="s">
        <v>1268</v>
      </c>
      <c r="B20"/>
      <c r="C20">
        <f>C18</f>
        <v>7</v>
      </c>
      <c r="E20" s="237" t="s">
        <v>1269</v>
      </c>
    </row>
    <row r="21" spans="1:8">
      <c r="A21" t="s">
        <v>1270</v>
      </c>
      <c r="B21"/>
      <c r="C21">
        <f>MAX(0,C19-C17)</f>
        <v>6</v>
      </c>
      <c r="E21" s="237" t="s">
        <v>1271</v>
      </c>
      <c r="G21" s="237">
        <f>G19-G18-G17</f>
        <v>-1</v>
      </c>
    </row>
    <row r="22" spans="1:8">
      <c r="A22" t="s">
        <v>1272</v>
      </c>
      <c r="B22"/>
      <c r="C22" s="4">
        <f>C21-C20</f>
        <v>-1</v>
      </c>
    </row>
    <row r="23" spans="1:8">
      <c r="A23" s="443" t="s">
        <v>1274</v>
      </c>
      <c r="B23" s="443"/>
      <c r="C23" s="443"/>
      <c r="D23" s="443"/>
      <c r="E23" s="443"/>
      <c r="F23" s="443"/>
    </row>
    <row r="24" spans="1:8">
      <c r="A24" s="443"/>
      <c r="B24" s="443"/>
      <c r="C24" s="443"/>
      <c r="D24" s="443"/>
      <c r="E24" s="443"/>
      <c r="F24" s="443"/>
    </row>
    <row r="25" spans="1:8">
      <c r="A25" s="443"/>
      <c r="B25" s="443"/>
      <c r="C25" s="443"/>
      <c r="D25" s="443"/>
      <c r="E25" s="443"/>
      <c r="F25" s="443"/>
    </row>
    <row r="26" spans="1:8">
      <c r="A26" s="443"/>
      <c r="B26" s="443"/>
      <c r="C26" s="443"/>
      <c r="D26" s="443"/>
      <c r="E26" s="443"/>
      <c r="F26" s="443"/>
    </row>
    <row r="27" spans="1:8">
      <c r="A27" s="443"/>
      <c r="B27" s="443"/>
      <c r="C27" s="443"/>
      <c r="D27" s="443"/>
      <c r="E27" s="443"/>
      <c r="F27" s="443"/>
    </row>
    <row r="28" spans="1:8">
      <c r="A28" t="s">
        <v>983</v>
      </c>
      <c r="B28"/>
      <c r="C28">
        <v>90</v>
      </c>
      <c r="D28" s="310"/>
      <c r="E28" s="443" t="s">
        <v>1275</v>
      </c>
      <c r="F28" s="443"/>
      <c r="G28" s="443"/>
      <c r="H28" s="443"/>
    </row>
    <row r="29" spans="1:8">
      <c r="A29" t="s">
        <v>919</v>
      </c>
      <c r="B29"/>
      <c r="C29">
        <v>6</v>
      </c>
      <c r="E29" s="443"/>
      <c r="F29" s="443"/>
      <c r="G29" s="443"/>
      <c r="H29" s="443"/>
    </row>
    <row r="30" spans="1:8">
      <c r="A30" t="s">
        <v>1267</v>
      </c>
      <c r="B30"/>
      <c r="C30">
        <v>75</v>
      </c>
      <c r="E30" s="443"/>
      <c r="F30" s="443"/>
      <c r="G30" s="443"/>
      <c r="H30" s="443"/>
    </row>
    <row r="31" spans="1:8">
      <c r="A31" t="s">
        <v>1268</v>
      </c>
      <c r="B31"/>
      <c r="C31">
        <f>C29</f>
        <v>6</v>
      </c>
    </row>
    <row r="32" spans="1:8">
      <c r="A32" t="s">
        <v>1270</v>
      </c>
      <c r="B32"/>
      <c r="C32">
        <f>MAX(0,C30-C28)</f>
        <v>0</v>
      </c>
    </row>
    <row r="33" spans="1:9">
      <c r="A33" t="s">
        <v>1272</v>
      </c>
      <c r="B33"/>
      <c r="C33" s="4">
        <f>C32-C31</f>
        <v>-6</v>
      </c>
    </row>
    <row r="34" spans="1:9">
      <c r="A34" s="443" t="s">
        <v>1276</v>
      </c>
      <c r="B34" s="443"/>
      <c r="C34" s="443"/>
      <c r="D34" s="443"/>
      <c r="E34" s="443"/>
      <c r="F34" s="443"/>
    </row>
    <row r="35" spans="1:9">
      <c r="A35" s="443"/>
      <c r="B35" s="443"/>
      <c r="C35" s="443"/>
      <c r="D35" s="443"/>
      <c r="E35" s="443"/>
      <c r="F35" s="443"/>
    </row>
    <row r="36" spans="1:9">
      <c r="A36" s="443"/>
      <c r="B36" s="443"/>
      <c r="C36" s="443"/>
      <c r="D36" s="443"/>
      <c r="E36" s="443"/>
      <c r="F36" s="443"/>
    </row>
    <row r="37" spans="1:9">
      <c r="A37" s="443"/>
      <c r="B37" s="443"/>
      <c r="C37" s="443"/>
      <c r="D37" s="443"/>
      <c r="E37" s="443"/>
      <c r="F37" s="443"/>
    </row>
    <row r="38" spans="1:9">
      <c r="A38" s="443"/>
      <c r="B38" s="443"/>
      <c r="C38" s="443"/>
      <c r="D38" s="443"/>
      <c r="E38" s="443"/>
      <c r="F38" s="443"/>
    </row>
    <row r="39" spans="1:9">
      <c r="A39" t="s">
        <v>983</v>
      </c>
      <c r="B39"/>
      <c r="C39">
        <v>200</v>
      </c>
      <c r="D39" s="310"/>
      <c r="E39" s="443" t="s">
        <v>1277</v>
      </c>
      <c r="F39" s="443"/>
      <c r="G39" s="443"/>
      <c r="H39" s="443"/>
      <c r="I39" s="443"/>
    </row>
    <row r="40" spans="1:9">
      <c r="A40" t="s">
        <v>919</v>
      </c>
      <c r="B40"/>
      <c r="C40">
        <v>5</v>
      </c>
      <c r="D40" s="310"/>
      <c r="E40" s="443"/>
      <c r="F40" s="443"/>
      <c r="G40" s="443"/>
      <c r="H40" s="443"/>
      <c r="I40" s="443"/>
    </row>
    <row r="41" spans="1:9">
      <c r="A41" t="s">
        <v>1267</v>
      </c>
      <c r="B41"/>
      <c r="C41">
        <v>200</v>
      </c>
      <c r="E41" s="443"/>
      <c r="F41" s="443"/>
      <c r="G41" s="443"/>
      <c r="H41" s="443"/>
      <c r="I41" s="443"/>
    </row>
    <row r="42" spans="1:9">
      <c r="A42" t="s">
        <v>1268</v>
      </c>
      <c r="B42"/>
      <c r="C42">
        <f>C40</f>
        <v>5</v>
      </c>
    </row>
    <row r="43" spans="1:9">
      <c r="A43" t="s">
        <v>1270</v>
      </c>
      <c r="B43"/>
      <c r="C43">
        <f>MAX(0,C41-C39)</f>
        <v>0</v>
      </c>
    </row>
    <row r="44" spans="1:9">
      <c r="A44" t="s">
        <v>1272</v>
      </c>
      <c r="B44"/>
      <c r="C44" s="4">
        <f>C43-C42</f>
        <v>-5</v>
      </c>
    </row>
    <row r="45" spans="1:9">
      <c r="A45" s="443" t="s">
        <v>1278</v>
      </c>
      <c r="B45" s="443"/>
      <c r="C45" s="443"/>
      <c r="D45" s="443"/>
      <c r="E45" s="443"/>
      <c r="F45" s="443"/>
    </row>
    <row r="46" spans="1:9">
      <c r="A46" s="443"/>
      <c r="B46" s="443"/>
      <c r="C46" s="443"/>
      <c r="D46" s="443"/>
      <c r="E46" s="443"/>
      <c r="F46" s="443"/>
    </row>
    <row r="47" spans="1:9">
      <c r="A47" s="443"/>
      <c r="B47" s="443"/>
      <c r="C47" s="443"/>
      <c r="D47" s="443"/>
      <c r="E47" s="443"/>
      <c r="F47" s="443"/>
    </row>
    <row r="48" spans="1:9">
      <c r="A48" s="443"/>
      <c r="B48" s="443"/>
      <c r="C48" s="443"/>
      <c r="D48" s="443"/>
      <c r="E48" s="443"/>
      <c r="F48" s="443"/>
    </row>
    <row r="49" spans="1:13">
      <c r="A49" s="443"/>
      <c r="B49" s="443"/>
      <c r="C49" s="443"/>
      <c r="D49" s="443"/>
      <c r="E49" s="443"/>
      <c r="F49" s="443"/>
    </row>
    <row r="50" spans="1:13">
      <c r="A50" t="s">
        <v>983</v>
      </c>
      <c r="B50"/>
      <c r="C50">
        <v>255</v>
      </c>
      <c r="E50" t="s">
        <v>983</v>
      </c>
      <c r="F50"/>
      <c r="G50">
        <v>255</v>
      </c>
      <c r="I50" s="253" t="s">
        <v>1279</v>
      </c>
    </row>
    <row r="51" spans="1:13">
      <c r="A51" t="s">
        <v>919</v>
      </c>
      <c r="B51"/>
      <c r="C51">
        <v>21</v>
      </c>
      <c r="E51" t="s">
        <v>919</v>
      </c>
      <c r="F51"/>
      <c r="G51">
        <v>21</v>
      </c>
      <c r="I51" s="237" t="s">
        <v>1280</v>
      </c>
    </row>
    <row r="52" spans="1:13">
      <c r="A52" t="s">
        <v>1267</v>
      </c>
      <c r="B52"/>
      <c r="C52">
        <v>272</v>
      </c>
      <c r="E52" t="s">
        <v>1267</v>
      </c>
      <c r="F52"/>
      <c r="G52">
        <v>272</v>
      </c>
    </row>
    <row r="53" spans="1:13">
      <c r="A53" t="s">
        <v>1268</v>
      </c>
      <c r="B53"/>
      <c r="C53">
        <f>C51</f>
        <v>21</v>
      </c>
      <c r="E53" s="237" t="s">
        <v>1269</v>
      </c>
    </row>
    <row r="54" spans="1:13">
      <c r="A54" t="s">
        <v>1270</v>
      </c>
      <c r="B54"/>
      <c r="C54">
        <f>MAX(0,C52-C50)</f>
        <v>17</v>
      </c>
      <c r="E54" s="237" t="s">
        <v>1271</v>
      </c>
      <c r="G54" s="237">
        <f>G52-G51-G50</f>
        <v>-4</v>
      </c>
    </row>
    <row r="55" spans="1:13">
      <c r="A55" t="s">
        <v>1272</v>
      </c>
      <c r="B55"/>
      <c r="C55" s="4">
        <f>C54-C53</f>
        <v>-4</v>
      </c>
    </row>
    <row r="56" spans="1:13">
      <c r="A56" s="443" t="s">
        <v>1281</v>
      </c>
      <c r="B56" s="443"/>
      <c r="C56" s="443"/>
      <c r="D56" s="443"/>
      <c r="E56" s="443"/>
      <c r="F56" s="443"/>
      <c r="K56"/>
      <c r="L56"/>
      <c r="M56"/>
    </row>
    <row r="57" spans="1:13">
      <c r="A57" s="443"/>
      <c r="B57" s="443"/>
      <c r="C57" s="443"/>
      <c r="D57" s="443"/>
      <c r="E57" s="443"/>
      <c r="F57" s="443"/>
      <c r="K57"/>
      <c r="L57"/>
      <c r="M57"/>
    </row>
    <row r="58" spans="1:13">
      <c r="A58" s="443"/>
      <c r="B58" s="443"/>
      <c r="C58" s="443"/>
      <c r="D58" s="443"/>
      <c r="E58" s="443"/>
      <c r="F58" s="443"/>
      <c r="K58"/>
      <c r="L58"/>
      <c r="M58"/>
    </row>
    <row r="59" spans="1:13">
      <c r="A59" s="443"/>
      <c r="B59" s="443"/>
      <c r="C59" s="443"/>
      <c r="D59" s="443"/>
      <c r="E59" s="443"/>
      <c r="F59" s="443"/>
      <c r="K59"/>
      <c r="L59"/>
      <c r="M59"/>
    </row>
    <row r="60" spans="1:13">
      <c r="A60" s="443"/>
      <c r="B60" s="443"/>
      <c r="C60" s="443"/>
      <c r="D60" s="443"/>
      <c r="E60" s="443"/>
      <c r="F60" s="443"/>
      <c r="K60"/>
      <c r="L60"/>
      <c r="M60"/>
    </row>
    <row r="61" spans="1:13">
      <c r="A61" t="s">
        <v>983</v>
      </c>
      <c r="B61"/>
      <c r="C61">
        <v>250</v>
      </c>
      <c r="D61" s="310"/>
      <c r="E61" s="443" t="s">
        <v>1282</v>
      </c>
      <c r="F61" s="443"/>
      <c r="G61" s="443"/>
      <c r="H61" s="443"/>
      <c r="I61" s="443"/>
      <c r="K61"/>
      <c r="L61"/>
      <c r="M61"/>
    </row>
    <row r="62" spans="1:13">
      <c r="A62" t="s">
        <v>919</v>
      </c>
      <c r="B62"/>
      <c r="C62">
        <v>25</v>
      </c>
      <c r="D62" s="310"/>
      <c r="E62" s="443"/>
      <c r="F62" s="443"/>
      <c r="G62" s="443"/>
      <c r="H62" s="443"/>
      <c r="I62" s="443"/>
      <c r="K62"/>
      <c r="L62"/>
      <c r="M62"/>
    </row>
    <row r="63" spans="1:13">
      <c r="A63" t="s">
        <v>1267</v>
      </c>
      <c r="B63"/>
      <c r="C63">
        <v>237</v>
      </c>
      <c r="E63" s="443"/>
      <c r="F63" s="443"/>
      <c r="G63" s="443"/>
      <c r="H63" s="443"/>
      <c r="I63" s="443"/>
      <c r="K63"/>
      <c r="L63"/>
      <c r="M63" s="4"/>
    </row>
    <row r="64" spans="1:13">
      <c r="A64" t="s">
        <v>1268</v>
      </c>
      <c r="B64"/>
      <c r="C64">
        <f>C62</f>
        <v>25</v>
      </c>
      <c r="E64" s="443"/>
      <c r="F64" s="443"/>
      <c r="G64" s="443"/>
      <c r="H64" s="443"/>
      <c r="I64" s="443"/>
    </row>
    <row r="65" spans="1:6">
      <c r="A65" t="s">
        <v>1270</v>
      </c>
      <c r="B65"/>
      <c r="C65">
        <f>MAX(0,C63-C61)</f>
        <v>0</v>
      </c>
    </row>
    <row r="66" spans="1:6">
      <c r="A66" t="s">
        <v>1272</v>
      </c>
      <c r="B66"/>
      <c r="C66" s="4">
        <f>C65-C64</f>
        <v>-25</v>
      </c>
    </row>
    <row r="67" spans="1:6">
      <c r="A67" s="443" t="s">
        <v>1283</v>
      </c>
      <c r="B67" s="443"/>
      <c r="C67" s="443"/>
      <c r="D67" s="443"/>
      <c r="E67" s="443"/>
    </row>
    <row r="68" spans="1:6">
      <c r="A68" s="443"/>
      <c r="B68" s="443"/>
      <c r="C68" s="443"/>
      <c r="D68" s="443"/>
      <c r="E68" s="443"/>
    </row>
    <row r="69" spans="1:6">
      <c r="A69" s="443"/>
      <c r="B69" s="443"/>
      <c r="C69" s="443"/>
      <c r="D69" s="443"/>
      <c r="E69" s="443"/>
    </row>
    <row r="70" spans="1:6">
      <c r="A70" s="443"/>
      <c r="B70" s="443"/>
      <c r="C70" s="443"/>
      <c r="D70" s="443"/>
      <c r="E70" s="443"/>
    </row>
    <row r="71" spans="1:6">
      <c r="A71" s="443"/>
      <c r="B71" s="443"/>
      <c r="C71" s="443"/>
      <c r="D71" s="443"/>
      <c r="E71" s="443"/>
    </row>
    <row r="72" spans="1:6">
      <c r="A72" s="443"/>
      <c r="B72" s="443"/>
      <c r="C72" s="443"/>
      <c r="D72" s="443"/>
      <c r="E72" s="443"/>
    </row>
    <row r="73" spans="1:6">
      <c r="A73" s="443"/>
      <c r="B73" s="443"/>
      <c r="C73" s="443"/>
      <c r="D73" s="443"/>
      <c r="E73" s="443"/>
    </row>
    <row r="74" spans="1:6">
      <c r="A74"/>
      <c r="B74"/>
      <c r="C74"/>
      <c r="F74" s="312"/>
    </row>
    <row r="75" spans="1:6">
      <c r="A75" t="s">
        <v>983</v>
      </c>
      <c r="B75"/>
      <c r="C75">
        <v>160</v>
      </c>
      <c r="D75" s="237" t="s">
        <v>1269</v>
      </c>
    </row>
    <row r="76" spans="1:6">
      <c r="A76" t="s">
        <v>919</v>
      </c>
      <c r="B76"/>
      <c r="C76">
        <v>18</v>
      </c>
      <c r="D76" s="237" t="s">
        <v>1284</v>
      </c>
    </row>
    <row r="77" spans="1:6">
      <c r="A77" t="s">
        <v>1267</v>
      </c>
      <c r="B77"/>
      <c r="C77">
        <v>190</v>
      </c>
    </row>
    <row r="78" spans="1:6">
      <c r="A78" t="s">
        <v>1285</v>
      </c>
      <c r="B78"/>
      <c r="C78" s="313">
        <f>-(C77-C75)+C76</f>
        <v>-12</v>
      </c>
    </row>
    <row r="79" spans="1:6">
      <c r="A79"/>
      <c r="B79"/>
      <c r="C79"/>
    </row>
    <row r="81" spans="1:22">
      <c r="A81" s="443" t="s">
        <v>1286</v>
      </c>
      <c r="B81" s="443"/>
      <c r="C81" s="443"/>
      <c r="D81" s="443"/>
      <c r="E81" s="443"/>
    </row>
    <row r="82" spans="1:22">
      <c r="A82" s="443"/>
      <c r="B82" s="443"/>
      <c r="C82" s="443"/>
      <c r="D82" s="443"/>
      <c r="E82" s="443"/>
    </row>
    <row r="83" spans="1:22">
      <c r="A83" s="443"/>
      <c r="B83" s="443"/>
      <c r="C83" s="443"/>
      <c r="D83" s="443"/>
      <c r="E83" s="443"/>
    </row>
    <row r="84" spans="1:22">
      <c r="A84" s="443"/>
      <c r="B84" s="443"/>
      <c r="C84" s="443"/>
      <c r="D84" s="443"/>
      <c r="E84" s="443"/>
    </row>
    <row r="85" spans="1:22">
      <c r="A85" s="443"/>
      <c r="B85" s="443"/>
      <c r="C85" s="443"/>
      <c r="D85" s="443"/>
      <c r="E85" s="443"/>
    </row>
    <row r="86" spans="1:22">
      <c r="A86" s="443"/>
      <c r="B86" s="443"/>
      <c r="C86" s="443"/>
      <c r="D86" s="443"/>
      <c r="E86" s="443"/>
    </row>
    <row r="87" spans="1:22">
      <c r="A87" t="s">
        <v>983</v>
      </c>
      <c r="B87"/>
      <c r="C87">
        <v>270</v>
      </c>
      <c r="D87" s="237" t="s">
        <v>1269</v>
      </c>
    </row>
    <row r="88" spans="1:22">
      <c r="A88" t="s">
        <v>919</v>
      </c>
      <c r="B88"/>
      <c r="C88">
        <v>40</v>
      </c>
      <c r="D88" s="237" t="s">
        <v>1284</v>
      </c>
    </row>
    <row r="89" spans="1:22">
      <c r="A89" t="s">
        <v>1267</v>
      </c>
      <c r="B89"/>
      <c r="C89">
        <v>295</v>
      </c>
      <c r="P89" s="443"/>
      <c r="Q89" s="443"/>
      <c r="R89" s="443"/>
      <c r="S89" s="443"/>
      <c r="T89" s="443"/>
      <c r="U89" s="443"/>
      <c r="V89" s="443"/>
    </row>
    <row r="90" spans="1:22">
      <c r="A90" t="s">
        <v>1285</v>
      </c>
      <c r="B90"/>
      <c r="C90" s="313">
        <f>-(C89-C87)+C88</f>
        <v>15</v>
      </c>
      <c r="P90" s="443"/>
      <c r="Q90" s="443"/>
      <c r="R90" s="443"/>
      <c r="S90" s="443"/>
      <c r="T90" s="443"/>
      <c r="U90" s="443"/>
      <c r="V90" s="443"/>
    </row>
    <row r="91" spans="1:22">
      <c r="A91"/>
      <c r="B91"/>
      <c r="C91"/>
      <c r="P91" s="443"/>
      <c r="Q91" s="443"/>
      <c r="R91" s="443"/>
      <c r="S91" s="443"/>
      <c r="T91" s="443"/>
      <c r="U91" s="443"/>
      <c r="V91" s="443"/>
    </row>
    <row r="92" spans="1:22">
      <c r="A92"/>
      <c r="B92"/>
      <c r="C92"/>
      <c r="P92" s="443"/>
      <c r="Q92" s="443"/>
      <c r="R92" s="443"/>
      <c r="S92" s="443"/>
      <c r="T92" s="443"/>
      <c r="U92" s="443"/>
      <c r="V92" s="443"/>
    </row>
    <row r="93" spans="1:22">
      <c r="P93" s="443"/>
      <c r="Q93" s="443"/>
      <c r="R93" s="443"/>
      <c r="S93" s="443"/>
      <c r="T93" s="443"/>
      <c r="U93" s="443"/>
      <c r="V93" s="443"/>
    </row>
    <row r="94" spans="1:22">
      <c r="A94" s="443" t="s">
        <v>1287</v>
      </c>
      <c r="B94" s="443"/>
      <c r="C94" s="443"/>
      <c r="D94" s="443"/>
      <c r="E94" s="443"/>
      <c r="P94" s="443"/>
      <c r="Q94" s="443"/>
      <c r="R94" s="443"/>
      <c r="S94" s="443"/>
      <c r="T94" s="443"/>
      <c r="U94" s="443"/>
      <c r="V94" s="443"/>
    </row>
    <row r="95" spans="1:22">
      <c r="A95" s="443"/>
      <c r="B95" s="443"/>
      <c r="C95" s="443"/>
      <c r="D95" s="443"/>
      <c r="E95" s="443"/>
    </row>
    <row r="96" spans="1:22">
      <c r="A96" s="443"/>
      <c r="B96" s="443"/>
      <c r="C96" s="443"/>
      <c r="D96" s="443"/>
      <c r="E96" s="443"/>
    </row>
    <row r="97" spans="1:6">
      <c r="A97" s="443"/>
      <c r="B97" s="443"/>
      <c r="C97" s="443"/>
      <c r="D97" s="443"/>
      <c r="E97" s="443"/>
    </row>
    <row r="98" spans="1:6">
      <c r="A98" s="443"/>
      <c r="B98" s="443"/>
      <c r="C98" s="443"/>
      <c r="D98" s="443"/>
      <c r="E98" s="443"/>
    </row>
    <row r="99" spans="1:6">
      <c r="A99" s="443"/>
      <c r="B99" s="443"/>
      <c r="C99" s="443"/>
      <c r="D99" s="443"/>
      <c r="E99" s="443"/>
    </row>
    <row r="100" spans="1:6">
      <c r="A100" s="443"/>
      <c r="B100" s="443"/>
      <c r="C100" s="443"/>
      <c r="D100" s="443"/>
      <c r="E100" s="443"/>
    </row>
    <row r="101" spans="1:6">
      <c r="A101" t="s">
        <v>983</v>
      </c>
      <c r="B101"/>
      <c r="C101">
        <v>110</v>
      </c>
      <c r="D101" s="310"/>
      <c r="E101" s="310"/>
    </row>
    <row r="102" spans="1:6">
      <c r="A102" t="s">
        <v>521</v>
      </c>
      <c r="B102"/>
      <c r="C102">
        <v>20</v>
      </c>
      <c r="D102" s="310"/>
      <c r="E102" s="310"/>
    </row>
    <row r="103" spans="1:6">
      <c r="A103" t="s">
        <v>1267</v>
      </c>
      <c r="B103"/>
      <c r="C103">
        <v>76</v>
      </c>
      <c r="D103" s="310"/>
      <c r="E103" s="310"/>
    </row>
    <row r="104" spans="1:6">
      <c r="A104" t="s">
        <v>1288</v>
      </c>
      <c r="B104"/>
      <c r="C104">
        <f>C102</f>
        <v>20</v>
      </c>
      <c r="D104" s="310"/>
      <c r="E104" s="310"/>
    </row>
    <row r="105" spans="1:6">
      <c r="A105" t="s">
        <v>1289</v>
      </c>
      <c r="B105"/>
      <c r="C105">
        <f>MAX(0,C101-C103)</f>
        <v>34</v>
      </c>
      <c r="D105" s="310"/>
      <c r="E105" s="310"/>
    </row>
    <row r="106" spans="1:6">
      <c r="A106" t="s">
        <v>1290</v>
      </c>
      <c r="B106"/>
      <c r="C106" s="4">
        <f>C105-C104</f>
        <v>14</v>
      </c>
    </row>
    <row r="108" spans="1:6">
      <c r="A108" s="443" t="s">
        <v>1291</v>
      </c>
      <c r="B108" s="443"/>
      <c r="C108" s="443"/>
      <c r="D108" s="443"/>
      <c r="E108" s="443"/>
      <c r="F108" s="443"/>
    </row>
    <row r="109" spans="1:6">
      <c r="A109" s="443"/>
      <c r="B109" s="443"/>
      <c r="C109" s="443"/>
      <c r="D109" s="443"/>
      <c r="E109" s="443"/>
      <c r="F109" s="443"/>
    </row>
    <row r="110" spans="1:6">
      <c r="A110" s="443"/>
      <c r="B110" s="443"/>
      <c r="C110" s="443"/>
      <c r="D110" s="443"/>
      <c r="E110" s="443"/>
      <c r="F110" s="443"/>
    </row>
    <row r="111" spans="1:6">
      <c r="A111" s="443"/>
      <c r="B111" s="443"/>
      <c r="C111" s="443"/>
      <c r="D111" s="443"/>
      <c r="E111" s="443"/>
      <c r="F111" s="443"/>
    </row>
    <row r="112" spans="1:6">
      <c r="A112" s="443"/>
      <c r="B112" s="443"/>
      <c r="C112" s="443"/>
      <c r="D112" s="443"/>
      <c r="E112" s="443"/>
      <c r="F112" s="443"/>
    </row>
    <row r="113" spans="1:9">
      <c r="A113" s="443"/>
      <c r="B113" s="443"/>
      <c r="C113" s="443"/>
      <c r="D113" s="443"/>
      <c r="E113" s="443"/>
      <c r="F113" s="443"/>
    </row>
    <row r="114" spans="1:9">
      <c r="A114" t="s">
        <v>983</v>
      </c>
      <c r="B114"/>
      <c r="C114">
        <v>100</v>
      </c>
      <c r="D114" s="310"/>
      <c r="E114" s="310"/>
      <c r="F114" s="310"/>
    </row>
    <row r="115" spans="1:9">
      <c r="A115" t="s">
        <v>521</v>
      </c>
      <c r="B115"/>
      <c r="C115">
        <v>5</v>
      </c>
      <c r="D115" s="310"/>
      <c r="E115" s="310"/>
      <c r="F115" s="310"/>
    </row>
    <row r="116" spans="1:9">
      <c r="A116" t="s">
        <v>1267</v>
      </c>
      <c r="B116"/>
      <c r="C116">
        <v>98</v>
      </c>
      <c r="D116" s="310"/>
      <c r="E116" s="310"/>
      <c r="F116" s="310"/>
    </row>
    <row r="117" spans="1:9">
      <c r="A117" t="s">
        <v>1288</v>
      </c>
      <c r="B117"/>
      <c r="C117">
        <f>C115</f>
        <v>5</v>
      </c>
      <c r="D117" s="310"/>
      <c r="E117" s="310"/>
      <c r="F117" s="310"/>
    </row>
    <row r="118" spans="1:9">
      <c r="A118" t="s">
        <v>1289</v>
      </c>
      <c r="B118"/>
      <c r="C118">
        <f>MAX(0,C114-C116)</f>
        <v>2</v>
      </c>
      <c r="D118" s="310"/>
      <c r="E118" s="310"/>
      <c r="F118" s="310"/>
    </row>
    <row r="119" spans="1:9">
      <c r="A119" t="s">
        <v>1290</v>
      </c>
      <c r="B119"/>
      <c r="C119" s="4">
        <f>C118-C117</f>
        <v>-3</v>
      </c>
    </row>
    <row r="121" spans="1:9">
      <c r="A121" s="443" t="s">
        <v>1292</v>
      </c>
      <c r="B121" s="443"/>
      <c r="C121" s="443"/>
      <c r="D121" s="443"/>
      <c r="E121" s="443"/>
      <c r="F121" s="443"/>
    </row>
    <row r="122" spans="1:9">
      <c r="A122" s="443"/>
      <c r="B122" s="443"/>
      <c r="C122" s="443"/>
      <c r="D122" s="443"/>
      <c r="E122" s="443"/>
      <c r="F122" s="443"/>
    </row>
    <row r="123" spans="1:9">
      <c r="A123" s="443"/>
      <c r="B123" s="443"/>
      <c r="C123" s="443"/>
      <c r="D123" s="443"/>
      <c r="E123" s="443"/>
      <c r="F123" s="443"/>
    </row>
    <row r="124" spans="1:9">
      <c r="A124" s="443"/>
      <c r="B124" s="443"/>
      <c r="C124" s="443"/>
      <c r="D124" s="443"/>
      <c r="E124" s="443"/>
      <c r="F124" s="443"/>
    </row>
    <row r="125" spans="1:9">
      <c r="A125" s="443"/>
      <c r="B125" s="443"/>
      <c r="C125" s="443"/>
      <c r="D125" s="443"/>
      <c r="E125" s="443"/>
      <c r="F125" s="443"/>
    </row>
    <row r="126" spans="1:9">
      <c r="A126" s="443"/>
      <c r="B126" s="443"/>
      <c r="C126" s="443"/>
      <c r="D126" s="443"/>
      <c r="E126" s="443"/>
      <c r="F126" s="443"/>
    </row>
    <row r="127" spans="1:9">
      <c r="A127" t="s">
        <v>983</v>
      </c>
      <c r="B127"/>
      <c r="C127">
        <v>84</v>
      </c>
      <c r="D127" s="310"/>
      <c r="E127" s="443" t="s">
        <v>1293</v>
      </c>
      <c r="F127" s="443"/>
      <c r="G127" s="443"/>
      <c r="H127" s="443"/>
      <c r="I127" s="443"/>
    </row>
    <row r="128" spans="1:9">
      <c r="A128" t="s">
        <v>521</v>
      </c>
      <c r="B128"/>
      <c r="C128">
        <v>12</v>
      </c>
      <c r="D128" s="310"/>
      <c r="E128" s="443"/>
      <c r="F128" s="443"/>
      <c r="G128" s="443"/>
      <c r="H128" s="443"/>
      <c r="I128" s="443"/>
    </row>
    <row r="129" spans="1:10">
      <c r="A129" t="s">
        <v>1267</v>
      </c>
      <c r="B129"/>
      <c r="C129">
        <v>98</v>
      </c>
      <c r="D129" s="310"/>
      <c r="E129" s="443"/>
      <c r="F129" s="443"/>
      <c r="G129" s="443"/>
      <c r="H129" s="443"/>
      <c r="I129" s="443"/>
    </row>
    <row r="130" spans="1:10">
      <c r="A130"/>
      <c r="B130"/>
      <c r="C130" s="311">
        <f>C128</f>
        <v>12</v>
      </c>
      <c r="D130" s="310"/>
      <c r="E130" s="443"/>
      <c r="F130" s="443"/>
      <c r="G130" s="443"/>
      <c r="H130" s="443"/>
      <c r="I130" s="443"/>
    </row>
    <row r="131" spans="1:10">
      <c r="A131"/>
      <c r="B131"/>
      <c r="C131"/>
    </row>
    <row r="132" spans="1:10">
      <c r="A132"/>
      <c r="B132"/>
      <c r="C132"/>
    </row>
    <row r="133" spans="1:10">
      <c r="A133" s="443" t="s">
        <v>1294</v>
      </c>
      <c r="B133" s="443"/>
      <c r="C133" s="443"/>
      <c r="D133" s="443"/>
      <c r="E133" s="443"/>
      <c r="F133" s="443"/>
    </row>
    <row r="134" spans="1:10">
      <c r="A134" s="443"/>
      <c r="B134" s="443"/>
      <c r="C134" s="443"/>
      <c r="D134" s="443"/>
      <c r="E134" s="443"/>
      <c r="F134" s="443"/>
    </row>
    <row r="135" spans="1:10">
      <c r="A135" s="443"/>
      <c r="B135" s="443"/>
      <c r="C135" s="443"/>
      <c r="D135" s="443"/>
      <c r="E135" s="443"/>
      <c r="F135" s="443"/>
    </row>
    <row r="136" spans="1:10">
      <c r="A136" s="443"/>
      <c r="B136" s="443"/>
      <c r="C136" s="443"/>
      <c r="D136" s="443"/>
      <c r="E136" s="443"/>
      <c r="F136" s="443"/>
    </row>
    <row r="137" spans="1:10">
      <c r="A137" s="443"/>
      <c r="B137" s="443"/>
      <c r="C137" s="443"/>
      <c r="D137" s="443"/>
      <c r="E137" s="443"/>
      <c r="F137" s="443"/>
    </row>
    <row r="138" spans="1:10">
      <c r="A138" t="s">
        <v>983</v>
      </c>
      <c r="B138"/>
      <c r="C138">
        <v>200</v>
      </c>
      <c r="E138" s="443" t="s">
        <v>1295</v>
      </c>
      <c r="F138" s="443"/>
      <c r="G138" s="443"/>
      <c r="H138" s="443"/>
      <c r="I138" s="443"/>
    </row>
    <row r="139" spans="1:10">
      <c r="A139" t="s">
        <v>521</v>
      </c>
      <c r="B139"/>
      <c r="C139">
        <v>25</v>
      </c>
      <c r="E139" s="443"/>
      <c r="F139" s="443"/>
      <c r="G139" s="443"/>
      <c r="H139" s="443"/>
      <c r="I139" s="443"/>
    </row>
    <row r="140" spans="1:10">
      <c r="A140" t="s">
        <v>1267</v>
      </c>
      <c r="B140"/>
      <c r="C140">
        <v>180</v>
      </c>
      <c r="E140" s="443"/>
      <c r="F140" s="443"/>
      <c r="G140" s="443"/>
      <c r="H140" s="443"/>
      <c r="I140" s="443"/>
    </row>
    <row r="141" spans="1:10">
      <c r="A141" t="s">
        <v>1296</v>
      </c>
      <c r="B141"/>
      <c r="C141" s="311">
        <f>-(C138-C140)+C139</f>
        <v>5</v>
      </c>
    </row>
    <row r="142" spans="1:10">
      <c r="A142"/>
      <c r="B142"/>
      <c r="C142"/>
    </row>
    <row r="143" spans="1:10">
      <c r="A143"/>
      <c r="B143"/>
      <c r="C143"/>
    </row>
    <row r="144" spans="1:10" ht="15.6" customHeight="1">
      <c r="A144" s="238" t="s">
        <v>1297</v>
      </c>
      <c r="B144" s="239"/>
      <c r="C144" s="444" t="s">
        <v>1298</v>
      </c>
      <c r="D144" s="444"/>
      <c r="E144" s="444"/>
      <c r="F144" s="444"/>
      <c r="G144" s="444"/>
      <c r="H144" s="444"/>
      <c r="I144" s="444"/>
      <c r="J144" s="445"/>
    </row>
    <row r="145" spans="1:10">
      <c r="A145" s="240" t="s">
        <v>1299</v>
      </c>
      <c r="C145" s="443"/>
      <c r="D145" s="443"/>
      <c r="E145" s="443"/>
      <c r="F145" s="443"/>
      <c r="G145" s="443"/>
      <c r="H145" s="443"/>
      <c r="I145" s="443"/>
      <c r="J145" s="446"/>
    </row>
    <row r="146" spans="1:10">
      <c r="A146" s="240" t="s">
        <v>1300</v>
      </c>
      <c r="C146" s="443"/>
      <c r="D146" s="443"/>
      <c r="E146" s="443"/>
      <c r="F146" s="443"/>
      <c r="G146" s="443"/>
      <c r="H146" s="443"/>
      <c r="I146" s="443"/>
      <c r="J146" s="446"/>
    </row>
    <row r="147" spans="1:10">
      <c r="A147" s="240" t="s">
        <v>1301</v>
      </c>
      <c r="C147" s="443"/>
      <c r="D147" s="443"/>
      <c r="E147" s="443"/>
      <c r="F147" s="443"/>
      <c r="G147" s="443"/>
      <c r="H147" s="443"/>
      <c r="I147" s="443"/>
      <c r="J147" s="446"/>
    </row>
    <row r="148" spans="1:10">
      <c r="A148" s="240" t="s">
        <v>1302</v>
      </c>
      <c r="C148" s="443"/>
      <c r="D148" s="443"/>
      <c r="E148" s="443"/>
      <c r="F148" s="443"/>
      <c r="G148" s="443"/>
      <c r="H148" s="443"/>
      <c r="I148" s="443"/>
      <c r="J148" s="446"/>
    </row>
    <row r="149" spans="1:10">
      <c r="A149" s="240" t="s">
        <v>1303</v>
      </c>
      <c r="J149" s="241"/>
    </row>
    <row r="150" spans="1:10">
      <c r="A150" s="242" t="s">
        <v>983</v>
      </c>
      <c r="B150" s="237">
        <v>185</v>
      </c>
      <c r="J150" s="241"/>
    </row>
    <row r="151" spans="1:10">
      <c r="A151" s="242" t="s">
        <v>919</v>
      </c>
      <c r="B151" s="237">
        <v>7</v>
      </c>
      <c r="J151" s="241"/>
    </row>
    <row r="152" spans="1:10">
      <c r="A152" s="242" t="s">
        <v>939</v>
      </c>
      <c r="B152" s="237">
        <v>2</v>
      </c>
      <c r="J152" s="241"/>
    </row>
    <row r="153" spans="1:10">
      <c r="A153" s="242" t="s">
        <v>1082</v>
      </c>
      <c r="B153" s="243">
        <v>0.05</v>
      </c>
      <c r="J153" s="241"/>
    </row>
    <row r="154" spans="1:10">
      <c r="A154" s="242" t="s">
        <v>1267</v>
      </c>
      <c r="B154" s="237">
        <v>180</v>
      </c>
      <c r="J154" s="241"/>
    </row>
    <row r="155" spans="1:10">
      <c r="A155" s="242" t="s">
        <v>1304</v>
      </c>
      <c r="J155" s="241"/>
    </row>
    <row r="156" spans="1:10">
      <c r="A156" s="242"/>
      <c r="J156" s="241"/>
    </row>
    <row r="157" spans="1:10">
      <c r="A157" s="242" t="s">
        <v>1268</v>
      </c>
      <c r="B157" s="237">
        <f>B151*(1+B153*B152/12)</f>
        <v>7.0583333333333336</v>
      </c>
      <c r="J157" s="241"/>
    </row>
    <row r="158" spans="1:10">
      <c r="A158" s="242" t="s">
        <v>1270</v>
      </c>
      <c r="C158" s="237">
        <f>MAX(0,B154-B150)</f>
        <v>0</v>
      </c>
      <c r="J158" s="241"/>
    </row>
    <row r="159" spans="1:10">
      <c r="A159" s="242" t="s">
        <v>1272</v>
      </c>
      <c r="C159" s="237">
        <f>C158-B157</f>
        <v>-7.0583333333333336</v>
      </c>
      <c r="J159" s="241"/>
    </row>
    <row r="160" spans="1:10">
      <c r="A160" s="242"/>
      <c r="J160" s="241"/>
    </row>
    <row r="161" spans="1:10">
      <c r="A161" s="242" t="s">
        <v>983</v>
      </c>
      <c r="B161" s="237">
        <v>185</v>
      </c>
      <c r="J161" s="241"/>
    </row>
    <row r="162" spans="1:10">
      <c r="A162" s="242" t="s">
        <v>919</v>
      </c>
      <c r="B162" s="237">
        <v>7</v>
      </c>
      <c r="J162" s="241"/>
    </row>
    <row r="163" spans="1:10">
      <c r="A163" s="242" t="s">
        <v>939</v>
      </c>
      <c r="B163" s="237">
        <v>2</v>
      </c>
      <c r="J163" s="241"/>
    </row>
    <row r="164" spans="1:10">
      <c r="A164" s="242" t="s">
        <v>1082</v>
      </c>
      <c r="B164" s="243">
        <v>0.05</v>
      </c>
      <c r="J164" s="241"/>
    </row>
    <row r="165" spans="1:10">
      <c r="A165" s="242" t="s">
        <v>1267</v>
      </c>
      <c r="B165" s="237">
        <v>185</v>
      </c>
      <c r="J165" s="241"/>
    </row>
    <row r="166" spans="1:10">
      <c r="A166" s="242" t="s">
        <v>1304</v>
      </c>
      <c r="J166" s="241"/>
    </row>
    <row r="167" spans="1:10">
      <c r="A167" s="242"/>
      <c r="J167" s="241"/>
    </row>
    <row r="168" spans="1:10">
      <c r="A168" s="242" t="s">
        <v>1268</v>
      </c>
      <c r="B168" s="237">
        <f>B162*(1+B164*B163/12)</f>
        <v>7.0583333333333336</v>
      </c>
      <c r="J168" s="241"/>
    </row>
    <row r="169" spans="1:10">
      <c r="A169" s="242" t="s">
        <v>1270</v>
      </c>
      <c r="C169" s="237">
        <f>MAX(0,B165-B161)</f>
        <v>0</v>
      </c>
      <c r="J169" s="241"/>
    </row>
    <row r="170" spans="1:10">
      <c r="A170" s="242" t="s">
        <v>1272</v>
      </c>
      <c r="C170" s="237">
        <f>C169-B168</f>
        <v>-7.0583333333333336</v>
      </c>
      <c r="J170" s="241"/>
    </row>
    <row r="171" spans="1:10">
      <c r="A171" s="242"/>
      <c r="J171" s="241"/>
    </row>
    <row r="172" spans="1:10">
      <c r="A172" s="242" t="s">
        <v>983</v>
      </c>
      <c r="B172" s="237">
        <v>185</v>
      </c>
      <c r="J172" s="241"/>
    </row>
    <row r="173" spans="1:10">
      <c r="A173" s="242" t="s">
        <v>919</v>
      </c>
      <c r="B173" s="237">
        <v>7</v>
      </c>
      <c r="J173" s="241"/>
    </row>
    <row r="174" spans="1:10">
      <c r="A174" s="242" t="s">
        <v>939</v>
      </c>
      <c r="B174" s="237">
        <v>2</v>
      </c>
      <c r="J174" s="241"/>
    </row>
    <row r="175" spans="1:10">
      <c r="A175" s="242" t="s">
        <v>1082</v>
      </c>
      <c r="B175" s="243">
        <v>0.05</v>
      </c>
      <c r="J175" s="241"/>
    </row>
    <row r="176" spans="1:10">
      <c r="A176" s="242" t="s">
        <v>1267</v>
      </c>
      <c r="B176" s="237">
        <v>195</v>
      </c>
      <c r="J176" s="241"/>
    </row>
    <row r="177" spans="1:12">
      <c r="A177" s="242" t="s">
        <v>1304</v>
      </c>
      <c r="J177" s="241"/>
    </row>
    <row r="178" spans="1:12">
      <c r="A178" s="242"/>
      <c r="J178" s="241"/>
    </row>
    <row r="179" spans="1:12">
      <c r="A179" s="242" t="s">
        <v>1268</v>
      </c>
      <c r="B179" s="237">
        <f>B173*(1+B175*B174/12)</f>
        <v>7.0583333333333336</v>
      </c>
      <c r="J179" s="241"/>
    </row>
    <row r="180" spans="1:12">
      <c r="A180" s="242" t="s">
        <v>1270</v>
      </c>
      <c r="C180" s="237">
        <f>MAX(0,B176-B172)</f>
        <v>10</v>
      </c>
      <c r="J180" s="241"/>
    </row>
    <row r="181" spans="1:12">
      <c r="A181" s="242" t="s">
        <v>1272</v>
      </c>
      <c r="C181" s="237">
        <f>C180-B179</f>
        <v>2.9416666666666664</v>
      </c>
      <c r="J181" s="241"/>
    </row>
    <row r="182" spans="1:12">
      <c r="A182" s="244"/>
      <c r="B182" s="239"/>
      <c r="C182" s="239"/>
      <c r="D182" s="239"/>
      <c r="E182" s="239"/>
      <c r="F182" s="239"/>
      <c r="G182" s="444" t="s">
        <v>1305</v>
      </c>
      <c r="H182" s="444"/>
      <c r="I182" s="444"/>
      <c r="J182" s="444"/>
      <c r="K182" s="444"/>
      <c r="L182" s="445"/>
    </row>
    <row r="183" spans="1:12">
      <c r="A183" s="240" t="s">
        <v>1306</v>
      </c>
      <c r="G183" s="443"/>
      <c r="H183" s="443"/>
      <c r="I183" s="443"/>
      <c r="J183" s="443"/>
      <c r="K183" s="443"/>
      <c r="L183" s="446"/>
    </row>
    <row r="184" spans="1:12">
      <c r="A184" s="240" t="s">
        <v>1307</v>
      </c>
      <c r="G184" s="443"/>
      <c r="H184" s="443"/>
      <c r="I184" s="443"/>
      <c r="J184" s="443"/>
      <c r="K184" s="443"/>
      <c r="L184" s="446"/>
    </row>
    <row r="185" spans="1:12">
      <c r="A185" s="240" t="s">
        <v>1308</v>
      </c>
      <c r="G185" s="443"/>
      <c r="H185" s="443"/>
      <c r="I185" s="443"/>
      <c r="J185" s="443"/>
      <c r="K185" s="443"/>
      <c r="L185" s="446"/>
    </row>
    <row r="186" spans="1:12">
      <c r="A186" s="240" t="s">
        <v>1309</v>
      </c>
      <c r="G186" s="443"/>
      <c r="H186" s="443"/>
      <c r="I186" s="443"/>
      <c r="J186" s="443"/>
      <c r="K186" s="443"/>
      <c r="L186" s="446"/>
    </row>
    <row r="187" spans="1:12">
      <c r="A187" s="240" t="s">
        <v>1310</v>
      </c>
      <c r="G187" s="443"/>
      <c r="H187" s="443"/>
      <c r="I187" s="443"/>
      <c r="J187" s="443"/>
      <c r="K187" s="443"/>
      <c r="L187" s="446"/>
    </row>
    <row r="188" spans="1:12">
      <c r="A188" s="242"/>
      <c r="L188" s="241"/>
    </row>
    <row r="189" spans="1:12">
      <c r="A189" s="242" t="s">
        <v>983</v>
      </c>
      <c r="B189" s="237">
        <v>235</v>
      </c>
      <c r="L189" s="241"/>
    </row>
    <row r="190" spans="1:12">
      <c r="A190" s="242" t="s">
        <v>521</v>
      </c>
      <c r="B190" s="237">
        <v>9</v>
      </c>
      <c r="L190" s="241"/>
    </row>
    <row r="191" spans="1:12">
      <c r="A191" s="242" t="s">
        <v>939</v>
      </c>
      <c r="B191" s="237">
        <v>4</v>
      </c>
      <c r="L191" s="241"/>
    </row>
    <row r="192" spans="1:12">
      <c r="A192" s="242" t="s">
        <v>1082</v>
      </c>
      <c r="B192" s="243">
        <v>0.06</v>
      </c>
      <c r="L192" s="241"/>
    </row>
    <row r="193" spans="1:12">
      <c r="A193" s="242" t="s">
        <v>1267</v>
      </c>
      <c r="B193" s="237">
        <v>240</v>
      </c>
      <c r="L193" s="241"/>
    </row>
    <row r="194" spans="1:12">
      <c r="A194" s="242" t="s">
        <v>1311</v>
      </c>
      <c r="L194" s="241"/>
    </row>
    <row r="195" spans="1:12">
      <c r="A195" s="242"/>
      <c r="L195" s="241"/>
    </row>
    <row r="196" spans="1:12">
      <c r="A196" s="242" t="s">
        <v>1288</v>
      </c>
      <c r="B196" s="237">
        <f>B190*(1+B192*B191/12)</f>
        <v>9.18</v>
      </c>
      <c r="L196" s="241"/>
    </row>
    <row r="197" spans="1:12">
      <c r="A197" s="242" t="s">
        <v>1289</v>
      </c>
      <c r="C197" s="237">
        <f>MAX(0,B189-B193)</f>
        <v>0</v>
      </c>
      <c r="L197" s="241"/>
    </row>
    <row r="198" spans="1:12">
      <c r="A198" s="242" t="s">
        <v>1290</v>
      </c>
      <c r="C198" s="237">
        <f>C197-B196</f>
        <v>-9.18</v>
      </c>
      <c r="L198" s="241"/>
    </row>
    <row r="199" spans="1:12">
      <c r="A199" s="242"/>
      <c r="L199" s="241"/>
    </row>
    <row r="200" spans="1:12">
      <c r="A200" s="242" t="s">
        <v>983</v>
      </c>
      <c r="B200" s="237">
        <v>235</v>
      </c>
      <c r="L200" s="241"/>
    </row>
    <row r="201" spans="1:12">
      <c r="A201" s="242" t="s">
        <v>521</v>
      </c>
      <c r="B201" s="237">
        <v>9</v>
      </c>
      <c r="L201" s="241"/>
    </row>
    <row r="202" spans="1:12">
      <c r="A202" s="242" t="s">
        <v>939</v>
      </c>
      <c r="B202" s="237">
        <v>4</v>
      </c>
      <c r="L202" s="241"/>
    </row>
    <row r="203" spans="1:12">
      <c r="A203" s="242" t="s">
        <v>1082</v>
      </c>
      <c r="B203" s="243">
        <v>0.06</v>
      </c>
      <c r="L203" s="241"/>
    </row>
    <row r="204" spans="1:12">
      <c r="A204" s="242" t="s">
        <v>1267</v>
      </c>
      <c r="B204" s="237">
        <v>235</v>
      </c>
      <c r="L204" s="241"/>
    </row>
    <row r="205" spans="1:12">
      <c r="A205" s="242" t="s">
        <v>1311</v>
      </c>
      <c r="L205" s="241"/>
    </row>
    <row r="206" spans="1:12">
      <c r="A206" s="242"/>
      <c r="L206" s="241"/>
    </row>
    <row r="207" spans="1:12">
      <c r="A207" s="242" t="s">
        <v>1288</v>
      </c>
      <c r="B207" s="237">
        <f>B201*(1+B203*B202/12)</f>
        <v>9.18</v>
      </c>
      <c r="L207" s="241"/>
    </row>
    <row r="208" spans="1:12">
      <c r="A208" s="242" t="s">
        <v>1289</v>
      </c>
      <c r="C208" s="237">
        <f>MAX(0,B200-B204)</f>
        <v>0</v>
      </c>
      <c r="L208" s="241"/>
    </row>
    <row r="209" spans="1:12">
      <c r="A209" s="242" t="s">
        <v>1290</v>
      </c>
      <c r="C209" s="237">
        <f>C208-B207</f>
        <v>-9.18</v>
      </c>
      <c r="L209" s="241"/>
    </row>
    <row r="210" spans="1:12">
      <c r="A210" s="242"/>
      <c r="L210" s="241"/>
    </row>
    <row r="211" spans="1:12">
      <c r="A211" s="242" t="s">
        <v>983</v>
      </c>
      <c r="B211" s="237">
        <v>235</v>
      </c>
      <c r="L211" s="241"/>
    </row>
    <row r="212" spans="1:12">
      <c r="A212" s="242" t="s">
        <v>521</v>
      </c>
      <c r="B212" s="237">
        <v>9</v>
      </c>
      <c r="L212" s="241"/>
    </row>
    <row r="213" spans="1:12">
      <c r="A213" s="242" t="s">
        <v>939</v>
      </c>
      <c r="B213" s="237">
        <v>4</v>
      </c>
      <c r="L213" s="241"/>
    </row>
    <row r="214" spans="1:12">
      <c r="A214" s="242" t="s">
        <v>1082</v>
      </c>
      <c r="B214" s="243">
        <v>0.06</v>
      </c>
      <c r="L214" s="241"/>
    </row>
    <row r="215" spans="1:12">
      <c r="A215" s="242" t="s">
        <v>1267</v>
      </c>
      <c r="B215" s="237">
        <v>225</v>
      </c>
      <c r="L215" s="241"/>
    </row>
    <row r="216" spans="1:12">
      <c r="A216" s="242" t="s">
        <v>1311</v>
      </c>
      <c r="L216" s="241"/>
    </row>
    <row r="217" spans="1:12">
      <c r="A217" s="242"/>
      <c r="L217" s="241"/>
    </row>
    <row r="218" spans="1:12">
      <c r="A218" s="242" t="s">
        <v>1288</v>
      </c>
      <c r="B218" s="237">
        <f>B212*(1+B214*B213/12)</f>
        <v>9.18</v>
      </c>
      <c r="L218" s="241"/>
    </row>
    <row r="219" spans="1:12">
      <c r="A219" s="242" t="s">
        <v>1289</v>
      </c>
      <c r="C219" s="237">
        <f>MAX(0,B211-B215)</f>
        <v>10</v>
      </c>
      <c r="L219" s="241"/>
    </row>
    <row r="220" spans="1:12">
      <c r="A220" s="245" t="s">
        <v>1290</v>
      </c>
      <c r="B220" s="246"/>
      <c r="C220" s="246">
        <f>C219-B218</f>
        <v>0.82000000000000028</v>
      </c>
      <c r="D220" s="246"/>
      <c r="E220" s="246"/>
      <c r="F220" s="246"/>
      <c r="G220" s="246"/>
      <c r="H220" s="246"/>
      <c r="I220" s="246"/>
      <c r="J220" s="246"/>
      <c r="K220" s="246"/>
      <c r="L220" s="247"/>
    </row>
    <row r="222" spans="1:12" ht="19.149999999999999" customHeight="1">
      <c r="A222" s="459" t="s">
        <v>1312</v>
      </c>
      <c r="B222" s="459"/>
      <c r="C222" s="459"/>
      <c r="D222" s="459"/>
      <c r="E222" s="459"/>
      <c r="F222" s="459"/>
      <c r="G222" s="459"/>
      <c r="H222" s="459"/>
      <c r="I222" s="459"/>
      <c r="J222" s="459"/>
      <c r="K222" s="459"/>
      <c r="L222" s="459"/>
    </row>
    <row r="223" spans="1:12" ht="19.149999999999999" customHeight="1">
      <c r="A223" s="459"/>
      <c r="B223" s="459"/>
      <c r="C223" s="459"/>
      <c r="D223" s="459"/>
      <c r="E223" s="459"/>
      <c r="F223" s="459"/>
      <c r="G223" s="459"/>
      <c r="H223" s="459"/>
      <c r="I223" s="459"/>
      <c r="J223" s="459"/>
      <c r="K223" s="459"/>
      <c r="L223" s="459"/>
    </row>
    <row r="224" spans="1:12">
      <c r="A224" s="459"/>
      <c r="B224" s="459"/>
      <c r="C224" s="459"/>
      <c r="D224" s="459"/>
      <c r="E224" s="459"/>
      <c r="F224" s="459"/>
      <c r="G224" s="459"/>
      <c r="H224" s="459"/>
      <c r="I224" s="459"/>
      <c r="J224" s="459"/>
      <c r="K224" s="459"/>
      <c r="L224" s="459"/>
    </row>
    <row r="225" spans="1:16" ht="19.149999999999999" customHeight="1">
      <c r="A225" s="459"/>
      <c r="B225" s="459"/>
      <c r="C225" s="459"/>
      <c r="D225" s="459"/>
      <c r="E225" s="459"/>
      <c r="F225" s="459"/>
      <c r="G225" s="459"/>
      <c r="H225" s="459"/>
      <c r="I225" s="459"/>
      <c r="J225" s="459"/>
      <c r="K225" s="459"/>
      <c r="L225" s="459"/>
    </row>
    <row r="226" spans="1:16">
      <c r="A226" s="248" t="s">
        <v>1313</v>
      </c>
    </row>
    <row r="227" spans="1:16">
      <c r="A227" s="248" t="s">
        <v>1314</v>
      </c>
    </row>
    <row r="228" spans="1:16">
      <c r="A228" s="248" t="s">
        <v>1315</v>
      </c>
    </row>
    <row r="229" spans="1:16">
      <c r="A229" s="248" t="s">
        <v>1316</v>
      </c>
    </row>
    <row r="230" spans="1:16">
      <c r="A230" s="248" t="s">
        <v>1317</v>
      </c>
    </row>
    <row r="231" spans="1:16">
      <c r="A231" s="248" t="s">
        <v>1318</v>
      </c>
    </row>
    <row r="232" spans="1:16">
      <c r="A232" s="249"/>
    </row>
    <row r="233" spans="1:16">
      <c r="A233" s="248" t="s">
        <v>1319</v>
      </c>
      <c r="H233" s="443" t="s">
        <v>1320</v>
      </c>
      <c r="I233" s="443"/>
      <c r="J233" s="443"/>
      <c r="K233" s="443"/>
      <c r="L233" s="443"/>
      <c r="M233" s="443"/>
      <c r="N233" s="443"/>
      <c r="O233" s="443"/>
      <c r="P233" s="443"/>
    </row>
    <row r="234" spans="1:16">
      <c r="A234" s="248" t="s">
        <v>1321</v>
      </c>
      <c r="H234" s="443"/>
      <c r="I234" s="443"/>
      <c r="J234" s="443"/>
      <c r="K234" s="443"/>
      <c r="L234" s="443"/>
      <c r="M234" s="443"/>
      <c r="N234" s="443"/>
      <c r="O234" s="443"/>
      <c r="P234" s="443"/>
    </row>
    <row r="235" spans="1:16">
      <c r="A235" s="248" t="s">
        <v>1322</v>
      </c>
      <c r="H235" s="443"/>
      <c r="I235" s="443"/>
      <c r="J235" s="443"/>
      <c r="K235" s="443"/>
      <c r="L235" s="443"/>
      <c r="M235" s="443"/>
      <c r="N235" s="443"/>
      <c r="O235" s="443"/>
      <c r="P235" s="443"/>
    </row>
    <row r="236" spans="1:16">
      <c r="A236" s="248" t="s">
        <v>1323</v>
      </c>
      <c r="H236" s="443"/>
      <c r="I236" s="443"/>
      <c r="J236" s="443"/>
      <c r="K236" s="443"/>
      <c r="L236" s="443"/>
      <c r="M236" s="443"/>
      <c r="N236" s="443"/>
      <c r="O236" s="443"/>
      <c r="P236" s="443"/>
    </row>
    <row r="237" spans="1:16">
      <c r="A237" s="248" t="s">
        <v>1324</v>
      </c>
      <c r="H237" s="443"/>
      <c r="I237" s="443"/>
      <c r="J237" s="443"/>
      <c r="K237" s="443"/>
      <c r="L237" s="443"/>
      <c r="M237" s="443"/>
      <c r="N237" s="443"/>
      <c r="O237" s="443"/>
      <c r="P237" s="443"/>
    </row>
    <row r="239" spans="1:16">
      <c r="A239" s="249"/>
    </row>
    <row r="240" spans="1:16">
      <c r="A240" s="238" t="s">
        <v>1325</v>
      </c>
      <c r="B240" s="239"/>
      <c r="C240" s="239"/>
      <c r="D240" s="239"/>
      <c r="E240" s="239"/>
      <c r="F240" s="239"/>
      <c r="G240" s="239"/>
      <c r="H240" s="444" t="s">
        <v>1326</v>
      </c>
      <c r="I240" s="444"/>
      <c r="J240" s="444"/>
      <c r="K240" s="444"/>
      <c r="L240" s="444"/>
      <c r="M240" s="444"/>
      <c r="N240" s="444"/>
      <c r="O240" s="444"/>
      <c r="P240" s="445"/>
    </row>
    <row r="241" spans="1:16">
      <c r="A241" s="240" t="s">
        <v>1327</v>
      </c>
      <c r="H241" s="443"/>
      <c r="I241" s="443"/>
      <c r="J241" s="443"/>
      <c r="K241" s="443"/>
      <c r="L241" s="443"/>
      <c r="M241" s="443"/>
      <c r="N241" s="443"/>
      <c r="O241" s="443"/>
      <c r="P241" s="446"/>
    </row>
    <row r="242" spans="1:16">
      <c r="A242" s="240" t="s">
        <v>1328</v>
      </c>
      <c r="H242" s="443"/>
      <c r="I242" s="443"/>
      <c r="J242" s="443"/>
      <c r="K242" s="443"/>
      <c r="L242" s="443"/>
      <c r="M242" s="443"/>
      <c r="N242" s="443"/>
      <c r="O242" s="443"/>
      <c r="P242" s="446"/>
    </row>
    <row r="243" spans="1:16">
      <c r="A243" s="240" t="s">
        <v>1329</v>
      </c>
      <c r="H243" s="443"/>
      <c r="I243" s="443"/>
      <c r="J243" s="443"/>
      <c r="K243" s="443"/>
      <c r="L243" s="443"/>
      <c r="M243" s="443"/>
      <c r="N243" s="443"/>
      <c r="O243" s="443"/>
      <c r="P243" s="446"/>
    </row>
    <row r="244" spans="1:16">
      <c r="A244" s="240" t="s">
        <v>1330</v>
      </c>
      <c r="H244" s="443"/>
      <c r="I244" s="443"/>
      <c r="J244" s="443"/>
      <c r="K244" s="443"/>
      <c r="L244" s="443"/>
      <c r="M244" s="443"/>
      <c r="N244" s="443"/>
      <c r="O244" s="443"/>
      <c r="P244" s="446"/>
    </row>
    <row r="245" spans="1:16">
      <c r="A245" s="240" t="s">
        <v>1331</v>
      </c>
      <c r="P245" s="241"/>
    </row>
    <row r="246" spans="1:16">
      <c r="A246" s="242"/>
      <c r="P246" s="241"/>
    </row>
    <row r="247" spans="1:16">
      <c r="A247" s="242" t="s">
        <v>983</v>
      </c>
      <c r="B247" s="237">
        <v>150</v>
      </c>
      <c r="P247" s="241"/>
    </row>
    <row r="248" spans="1:16">
      <c r="A248" s="242" t="s">
        <v>919</v>
      </c>
      <c r="B248" s="237">
        <v>6</v>
      </c>
      <c r="P248" s="241"/>
    </row>
    <row r="249" spans="1:16">
      <c r="A249" s="242" t="s">
        <v>939</v>
      </c>
      <c r="B249" s="237">
        <v>8</v>
      </c>
      <c r="P249" s="241"/>
    </row>
    <row r="250" spans="1:16">
      <c r="A250" s="242" t="s">
        <v>1082</v>
      </c>
      <c r="B250" s="243">
        <v>0.04</v>
      </c>
      <c r="P250" s="241"/>
    </row>
    <row r="251" spans="1:16">
      <c r="A251" s="242" t="s">
        <v>1267</v>
      </c>
      <c r="B251" s="237">
        <v>175</v>
      </c>
      <c r="P251" s="241"/>
    </row>
    <row r="252" spans="1:16">
      <c r="A252" s="242" t="s">
        <v>1332</v>
      </c>
      <c r="P252" s="241"/>
    </row>
    <row r="253" spans="1:16">
      <c r="A253" s="242"/>
      <c r="P253" s="241"/>
    </row>
    <row r="254" spans="1:16">
      <c r="A254" s="242" t="s">
        <v>1268</v>
      </c>
      <c r="B254" s="237">
        <f>B248*(1+B250*B249/12)</f>
        <v>6.16</v>
      </c>
      <c r="P254" s="241"/>
    </row>
    <row r="255" spans="1:16">
      <c r="A255" s="242" t="s">
        <v>1270</v>
      </c>
      <c r="C255" s="237">
        <f>MAX(0,B251-B247)</f>
        <v>25</v>
      </c>
      <c r="P255" s="241"/>
    </row>
    <row r="256" spans="1:16">
      <c r="A256" s="242" t="s">
        <v>1333</v>
      </c>
      <c r="C256" s="237">
        <f>B254-C255</f>
        <v>-18.84</v>
      </c>
      <c r="P256" s="241"/>
    </row>
    <row r="257" spans="1:16">
      <c r="A257" s="242"/>
      <c r="P257" s="241"/>
    </row>
    <row r="258" spans="1:16">
      <c r="A258" s="242" t="s">
        <v>983</v>
      </c>
      <c r="B258" s="237">
        <v>150</v>
      </c>
      <c r="P258" s="241"/>
    </row>
    <row r="259" spans="1:16">
      <c r="A259" s="242" t="s">
        <v>919</v>
      </c>
      <c r="B259" s="237">
        <v>6</v>
      </c>
      <c r="P259" s="241"/>
    </row>
    <row r="260" spans="1:16">
      <c r="A260" s="242" t="s">
        <v>939</v>
      </c>
      <c r="B260" s="237">
        <v>8</v>
      </c>
      <c r="P260" s="241"/>
    </row>
    <row r="261" spans="1:16">
      <c r="A261" s="242" t="s">
        <v>1082</v>
      </c>
      <c r="B261" s="243">
        <v>0.04</v>
      </c>
      <c r="P261" s="241"/>
    </row>
    <row r="262" spans="1:16">
      <c r="A262" s="242" t="s">
        <v>1267</v>
      </c>
      <c r="B262" s="237">
        <v>150</v>
      </c>
      <c r="P262" s="241"/>
    </row>
    <row r="263" spans="1:16">
      <c r="A263" s="242" t="s">
        <v>1332</v>
      </c>
      <c r="P263" s="241"/>
    </row>
    <row r="264" spans="1:16">
      <c r="A264" s="242"/>
      <c r="P264" s="241"/>
    </row>
    <row r="265" spans="1:16">
      <c r="A265" s="242" t="s">
        <v>1268</v>
      </c>
      <c r="B265" s="237">
        <f>B259*(1+B261*B260/12)</f>
        <v>6.16</v>
      </c>
      <c r="P265" s="241"/>
    </row>
    <row r="266" spans="1:16">
      <c r="A266" s="242" t="s">
        <v>1270</v>
      </c>
      <c r="C266" s="237">
        <f>MAX(0,B262-B258)</f>
        <v>0</v>
      </c>
      <c r="P266" s="241"/>
    </row>
    <row r="267" spans="1:16">
      <c r="A267" s="245" t="s">
        <v>1333</v>
      </c>
      <c r="B267" s="246"/>
      <c r="C267" s="246">
        <f>B265-C266</f>
        <v>6.16</v>
      </c>
      <c r="D267" s="246"/>
      <c r="E267" s="246"/>
      <c r="F267" s="246"/>
      <c r="G267" s="246"/>
      <c r="H267" s="246"/>
      <c r="I267" s="246"/>
      <c r="J267" s="246"/>
      <c r="K267" s="246"/>
      <c r="L267" s="246"/>
      <c r="M267" s="246"/>
      <c r="N267" s="246"/>
      <c r="O267" s="246"/>
      <c r="P267" s="247"/>
    </row>
    <row r="269" spans="1:16" ht="19.5">
      <c r="A269" s="250"/>
      <c r="B269" s="239"/>
      <c r="C269" s="239"/>
      <c r="D269" s="239"/>
      <c r="E269" s="455" t="s">
        <v>1334</v>
      </c>
      <c r="F269" s="455"/>
      <c r="G269" s="455"/>
      <c r="H269" s="455"/>
      <c r="I269" s="455"/>
      <c r="J269" s="455"/>
      <c r="K269" s="455"/>
      <c r="L269" s="456"/>
    </row>
    <row r="270" spans="1:16" ht="19.5">
      <c r="A270" s="235" t="s">
        <v>1335</v>
      </c>
      <c r="E270" s="447"/>
      <c r="F270" s="447"/>
      <c r="G270" s="447"/>
      <c r="H270" s="447"/>
      <c r="I270" s="447"/>
      <c r="J270" s="447"/>
      <c r="K270" s="447"/>
      <c r="L270" s="458"/>
    </row>
    <row r="271" spans="1:16" ht="19.5">
      <c r="A271" s="235" t="s">
        <v>1336</v>
      </c>
      <c r="E271" s="447"/>
      <c r="F271" s="447"/>
      <c r="G271" s="447"/>
      <c r="H271" s="447"/>
      <c r="I271" s="447"/>
      <c r="J271" s="447"/>
      <c r="K271" s="447"/>
      <c r="L271" s="458"/>
    </row>
    <row r="272" spans="1:16" ht="19.5">
      <c r="A272" s="235" t="s">
        <v>1337</v>
      </c>
      <c r="E272" s="447"/>
      <c r="F272" s="447"/>
      <c r="G272" s="447"/>
      <c r="H272" s="447"/>
      <c r="I272" s="447"/>
      <c r="J272" s="447"/>
      <c r="K272" s="447"/>
      <c r="L272" s="458"/>
    </row>
    <row r="273" spans="1:12" ht="19.5">
      <c r="A273" s="235" t="s">
        <v>1338</v>
      </c>
      <c r="E273" s="447"/>
      <c r="F273" s="447"/>
      <c r="G273" s="447"/>
      <c r="H273" s="447"/>
      <c r="I273" s="447"/>
      <c r="J273" s="447"/>
      <c r="K273" s="447"/>
      <c r="L273" s="458"/>
    </row>
    <row r="274" spans="1:12" ht="19.5">
      <c r="A274" s="235" t="s">
        <v>1339</v>
      </c>
      <c r="E274" s="447"/>
      <c r="F274" s="447"/>
      <c r="G274" s="447"/>
      <c r="H274" s="447"/>
      <c r="I274" s="447"/>
      <c r="J274" s="447"/>
      <c r="K274" s="447"/>
      <c r="L274" s="458"/>
    </row>
    <row r="275" spans="1:12" ht="19.5">
      <c r="A275" s="236" t="s">
        <v>1340</v>
      </c>
      <c r="L275" s="241"/>
    </row>
    <row r="276" spans="1:12">
      <c r="A276" s="242"/>
      <c r="L276" s="241"/>
    </row>
    <row r="277" spans="1:12">
      <c r="A277" s="104" t="s">
        <v>983</v>
      </c>
      <c r="B277">
        <v>255</v>
      </c>
      <c r="C277"/>
      <c r="L277" s="241"/>
    </row>
    <row r="278" spans="1:12">
      <c r="A278" s="104" t="s">
        <v>521</v>
      </c>
      <c r="B278">
        <v>7.5</v>
      </c>
      <c r="C278"/>
      <c r="L278" s="241"/>
    </row>
    <row r="279" spans="1:12">
      <c r="A279" s="104" t="s">
        <v>939</v>
      </c>
      <c r="B279">
        <v>5</v>
      </c>
      <c r="C279"/>
      <c r="L279" s="241"/>
    </row>
    <row r="280" spans="1:12">
      <c r="A280" s="104" t="s">
        <v>1082</v>
      </c>
      <c r="B280" s="251">
        <v>5.5E-2</v>
      </c>
      <c r="C280"/>
      <c r="L280" s="241"/>
    </row>
    <row r="281" spans="1:12">
      <c r="A281" s="104" t="s">
        <v>1267</v>
      </c>
      <c r="B281">
        <v>225</v>
      </c>
      <c r="C281"/>
      <c r="L281" s="241"/>
    </row>
    <row r="282" spans="1:12">
      <c r="A282" s="104" t="s">
        <v>1341</v>
      </c>
      <c r="B282"/>
      <c r="C282"/>
      <c r="L282" s="241"/>
    </row>
    <row r="283" spans="1:12">
      <c r="A283" s="104"/>
      <c r="B283"/>
      <c r="C283"/>
      <c r="L283" s="241"/>
    </row>
    <row r="284" spans="1:12">
      <c r="A284" s="104" t="s">
        <v>1288</v>
      </c>
      <c r="B284">
        <f>B278*(1+B280*B279/12)</f>
        <v>7.671875</v>
      </c>
      <c r="C284"/>
      <c r="L284" s="241"/>
    </row>
    <row r="285" spans="1:12">
      <c r="A285" s="104" t="s">
        <v>1289</v>
      </c>
      <c r="B285"/>
      <c r="C285">
        <f>MAX(0,B277-B281)</f>
        <v>30</v>
      </c>
      <c r="L285" s="241"/>
    </row>
    <row r="286" spans="1:12">
      <c r="A286" s="104" t="s">
        <v>1342</v>
      </c>
      <c r="B286"/>
      <c r="C286">
        <f>B284-C285</f>
        <v>-22.328125</v>
      </c>
      <c r="L286" s="241"/>
    </row>
    <row r="287" spans="1:12">
      <c r="A287" s="104"/>
      <c r="B287"/>
      <c r="C287"/>
      <c r="L287" s="241"/>
    </row>
    <row r="288" spans="1:12">
      <c r="A288" s="104" t="s">
        <v>983</v>
      </c>
      <c r="B288">
        <v>255</v>
      </c>
      <c r="C288"/>
      <c r="L288" s="241"/>
    </row>
    <row r="289" spans="1:12">
      <c r="A289" s="104" t="s">
        <v>521</v>
      </c>
      <c r="B289">
        <v>7.5</v>
      </c>
      <c r="C289"/>
      <c r="L289" s="241"/>
    </row>
    <row r="290" spans="1:12">
      <c r="A290" s="104" t="s">
        <v>939</v>
      </c>
      <c r="B290">
        <v>5</v>
      </c>
      <c r="C290"/>
      <c r="L290" s="241"/>
    </row>
    <row r="291" spans="1:12">
      <c r="A291" s="104" t="s">
        <v>1082</v>
      </c>
      <c r="B291" s="251">
        <v>5.5E-2</v>
      </c>
      <c r="C291"/>
      <c r="L291" s="241"/>
    </row>
    <row r="292" spans="1:12">
      <c r="A292" s="104" t="s">
        <v>1267</v>
      </c>
      <c r="B292">
        <v>270</v>
      </c>
      <c r="C292"/>
      <c r="L292" s="241"/>
    </row>
    <row r="293" spans="1:12">
      <c r="A293" s="104" t="s">
        <v>1341</v>
      </c>
      <c r="B293"/>
      <c r="C293"/>
      <c r="L293" s="241"/>
    </row>
    <row r="294" spans="1:12">
      <c r="A294" s="104"/>
      <c r="B294"/>
      <c r="C294"/>
      <c r="L294" s="241"/>
    </row>
    <row r="295" spans="1:12">
      <c r="A295" s="104" t="s">
        <v>1288</v>
      </c>
      <c r="B295">
        <f>B289*(1+B291*B290/12)</f>
        <v>7.671875</v>
      </c>
      <c r="C295"/>
      <c r="L295" s="241"/>
    </row>
    <row r="296" spans="1:12">
      <c r="A296" s="104" t="s">
        <v>1289</v>
      </c>
      <c r="B296"/>
      <c r="C296">
        <f>MAX(0,B288-B292)</f>
        <v>0</v>
      </c>
      <c r="L296" s="241"/>
    </row>
    <row r="297" spans="1:12">
      <c r="A297" s="105" t="s">
        <v>1342</v>
      </c>
      <c r="B297" s="97"/>
      <c r="C297" s="97">
        <f>B295-C296</f>
        <v>7.671875</v>
      </c>
      <c r="D297" s="246"/>
      <c r="E297" s="246"/>
      <c r="F297" s="246"/>
      <c r="G297" s="246"/>
      <c r="H297" s="246"/>
      <c r="I297" s="246"/>
      <c r="J297" s="246"/>
      <c r="K297" s="246"/>
      <c r="L297" s="247"/>
    </row>
    <row r="299" spans="1:12" ht="18.600000000000001" customHeight="1">
      <c r="A299" s="448" t="s">
        <v>1343</v>
      </c>
      <c r="B299" s="449"/>
      <c r="C299" s="449"/>
      <c r="D299" s="449"/>
      <c r="E299" s="449"/>
      <c r="F299" s="449"/>
      <c r="G299" s="449"/>
      <c r="H299" s="450"/>
    </row>
    <row r="300" spans="1:12" ht="18" customHeight="1">
      <c r="A300" s="451"/>
      <c r="B300" s="452"/>
      <c r="C300" s="452"/>
      <c r="D300" s="452"/>
      <c r="E300" s="452"/>
      <c r="F300" s="452"/>
      <c r="G300" s="452"/>
      <c r="H300" s="453"/>
    </row>
    <row r="301" spans="1:12" ht="15.6" customHeight="1">
      <c r="A301" s="451"/>
      <c r="B301" s="452"/>
      <c r="C301" s="452"/>
      <c r="D301" s="452"/>
      <c r="E301" s="452"/>
      <c r="F301" s="452"/>
      <c r="G301" s="452"/>
      <c r="H301" s="453"/>
    </row>
    <row r="302" spans="1:12" ht="15.6" customHeight="1">
      <c r="A302" s="451"/>
      <c r="B302" s="452"/>
      <c r="C302" s="452"/>
      <c r="D302" s="452"/>
      <c r="E302" s="452"/>
      <c r="F302" s="452"/>
      <c r="G302" s="452"/>
      <c r="H302" s="453"/>
    </row>
    <row r="303" spans="1:12" ht="15.6" customHeight="1">
      <c r="A303" s="451"/>
      <c r="B303" s="452"/>
      <c r="C303" s="452"/>
      <c r="D303" s="452"/>
      <c r="E303" s="452"/>
      <c r="F303" s="452"/>
      <c r="G303" s="452"/>
      <c r="H303" s="453"/>
    </row>
    <row r="304" spans="1:12" ht="15.6" customHeight="1">
      <c r="A304" s="451"/>
      <c r="B304" s="452"/>
      <c r="C304" s="452"/>
      <c r="D304" s="452"/>
      <c r="E304" s="452"/>
      <c r="F304" s="452"/>
      <c r="G304" s="452"/>
      <c r="H304" s="453"/>
    </row>
    <row r="305" spans="1:13" ht="15.6" customHeight="1">
      <c r="A305" s="451"/>
      <c r="B305" s="452"/>
      <c r="C305" s="452"/>
      <c r="D305" s="452"/>
      <c r="E305" s="452"/>
      <c r="F305" s="452"/>
      <c r="G305" s="452"/>
      <c r="H305" s="453"/>
    </row>
    <row r="306" spans="1:13" ht="15.6" customHeight="1">
      <c r="A306" s="451"/>
      <c r="B306" s="452"/>
      <c r="C306" s="452"/>
      <c r="D306" s="452"/>
      <c r="E306" s="452"/>
      <c r="F306" s="452"/>
      <c r="G306" s="452"/>
      <c r="H306" s="453"/>
    </row>
    <row r="307" spans="1:13" ht="15.6" customHeight="1">
      <c r="A307" s="451"/>
      <c r="B307" s="452"/>
      <c r="C307" s="452"/>
      <c r="D307" s="452"/>
      <c r="E307" s="452"/>
      <c r="F307" s="452"/>
      <c r="G307" s="452"/>
      <c r="H307" s="453"/>
    </row>
    <row r="308" spans="1:13" ht="15.6" customHeight="1">
      <c r="A308" s="451"/>
      <c r="B308" s="452"/>
      <c r="C308" s="452"/>
      <c r="D308" s="452"/>
      <c r="E308" s="452"/>
      <c r="F308" s="452"/>
      <c r="G308" s="452"/>
      <c r="H308" s="453"/>
    </row>
    <row r="309" spans="1:13">
      <c r="A309" s="104" t="s">
        <v>983</v>
      </c>
      <c r="B309">
        <v>1300000</v>
      </c>
      <c r="C309"/>
      <c r="H309" s="241"/>
    </row>
    <row r="310" spans="1:13">
      <c r="A310" s="104" t="s">
        <v>521</v>
      </c>
      <c r="B310">
        <v>65000</v>
      </c>
      <c r="C310"/>
      <c r="H310" s="241"/>
    </row>
    <row r="311" spans="1:13">
      <c r="A311" s="104" t="s">
        <v>939</v>
      </c>
      <c r="B311">
        <v>4</v>
      </c>
      <c r="C311"/>
      <c r="H311" s="241"/>
    </row>
    <row r="312" spans="1:13">
      <c r="A312" s="104" t="s">
        <v>1047</v>
      </c>
      <c r="B312" s="2">
        <v>0.08</v>
      </c>
      <c r="C312"/>
      <c r="H312" s="241"/>
    </row>
    <row r="313" spans="1:13">
      <c r="A313" s="104" t="s">
        <v>1267</v>
      </c>
      <c r="B313">
        <v>870000</v>
      </c>
      <c r="C313"/>
      <c r="H313" s="241"/>
    </row>
    <row r="314" spans="1:13">
      <c r="A314" s="104" t="s">
        <v>1311</v>
      </c>
      <c r="B314"/>
      <c r="C314"/>
      <c r="H314" s="241"/>
    </row>
    <row r="315" spans="1:13">
      <c r="A315" s="104"/>
      <c r="B315"/>
      <c r="C315"/>
      <c r="H315" s="241"/>
    </row>
    <row r="316" spans="1:13">
      <c r="A316" s="104" t="s">
        <v>1288</v>
      </c>
      <c r="B316">
        <f>B310*EXP(B312*B311/12)</f>
        <v>66756.651253427364</v>
      </c>
      <c r="C316"/>
      <c r="H316" s="241"/>
    </row>
    <row r="317" spans="1:13">
      <c r="A317" s="104" t="s">
        <v>1289</v>
      </c>
      <c r="B317"/>
      <c r="C317">
        <f>MAX(0,B309-B313)</f>
        <v>430000</v>
      </c>
      <c r="H317" s="241"/>
    </row>
    <row r="318" spans="1:13">
      <c r="A318" s="105" t="s">
        <v>1290</v>
      </c>
      <c r="B318" s="97"/>
      <c r="C318" s="252">
        <f>C317-B316</f>
        <v>363243.34874657262</v>
      </c>
      <c r="D318" s="246"/>
      <c r="E318" s="246"/>
      <c r="F318" s="246"/>
      <c r="G318" s="246"/>
      <c r="H318" s="247"/>
    </row>
    <row r="320" spans="1:13" ht="15.6" customHeight="1">
      <c r="A320" s="454" t="s">
        <v>1344</v>
      </c>
      <c r="B320" s="455"/>
      <c r="C320" s="455"/>
      <c r="D320" s="455"/>
      <c r="E320" s="455"/>
      <c r="F320" s="455"/>
      <c r="G320" s="455"/>
      <c r="H320" s="455"/>
      <c r="I320" s="455"/>
      <c r="J320" s="455"/>
      <c r="K320" s="455"/>
      <c r="L320" s="455"/>
      <c r="M320" s="456"/>
    </row>
    <row r="321" spans="1:13" ht="116.45" customHeight="1">
      <c r="A321" s="457"/>
      <c r="B321" s="447"/>
      <c r="C321" s="447"/>
      <c r="D321" s="447"/>
      <c r="E321" s="447"/>
      <c r="F321" s="447"/>
      <c r="G321" s="447"/>
      <c r="H321" s="447"/>
      <c r="I321" s="447"/>
      <c r="J321" s="447"/>
      <c r="K321" s="447"/>
      <c r="L321" s="447"/>
      <c r="M321" s="458"/>
    </row>
    <row r="322" spans="1:13" ht="19.149999999999999" customHeight="1">
      <c r="A322" s="457"/>
      <c r="B322" s="447"/>
      <c r="C322" s="447"/>
      <c r="D322" s="447"/>
      <c r="E322" s="447"/>
      <c r="F322" s="447"/>
      <c r="G322" s="447"/>
      <c r="H322" s="447"/>
      <c r="I322" s="447"/>
      <c r="J322" s="447"/>
      <c r="K322" s="447"/>
      <c r="L322" s="447"/>
      <c r="M322" s="458"/>
    </row>
    <row r="323" spans="1:13" ht="19.149999999999999" customHeight="1">
      <c r="A323" s="457"/>
      <c r="B323" s="447"/>
      <c r="C323" s="447"/>
      <c r="D323" s="447"/>
      <c r="E323" s="447"/>
      <c r="F323" s="447"/>
      <c r="G323" s="447"/>
      <c r="H323" s="447"/>
      <c r="I323" s="447"/>
      <c r="J323" s="447"/>
      <c r="K323" s="447"/>
      <c r="L323" s="447"/>
      <c r="M323" s="458"/>
    </row>
    <row r="324" spans="1:13" ht="19.5">
      <c r="A324" s="236" t="s">
        <v>1345</v>
      </c>
      <c r="M324" s="241"/>
    </row>
    <row r="325" spans="1:13" ht="19.5">
      <c r="A325" s="235" t="s">
        <v>1346</v>
      </c>
      <c r="M325" s="241"/>
    </row>
    <row r="326" spans="1:13" ht="19.5">
      <c r="A326" s="235" t="s">
        <v>1347</v>
      </c>
      <c r="M326" s="241"/>
    </row>
    <row r="327" spans="1:13">
      <c r="A327" s="242"/>
      <c r="M327" s="241"/>
    </row>
    <row r="328" spans="1:13">
      <c r="A328" s="104" t="s">
        <v>1348</v>
      </c>
      <c r="B328">
        <v>180</v>
      </c>
      <c r="C328"/>
      <c r="D328"/>
      <c r="M328" s="241"/>
    </row>
    <row r="329" spans="1:13">
      <c r="A329" s="104" t="s">
        <v>983</v>
      </c>
      <c r="B329">
        <v>200</v>
      </c>
      <c r="C329"/>
      <c r="D329"/>
      <c r="M329" s="241"/>
    </row>
    <row r="330" spans="1:13">
      <c r="A330" s="104" t="s">
        <v>521</v>
      </c>
      <c r="B330">
        <v>5</v>
      </c>
      <c r="C330"/>
      <c r="D330"/>
      <c r="M330" s="241"/>
    </row>
    <row r="331" spans="1:13">
      <c r="A331" s="104" t="s">
        <v>939</v>
      </c>
      <c r="B331">
        <v>3</v>
      </c>
      <c r="C331"/>
      <c r="D331"/>
      <c r="M331" s="241"/>
    </row>
    <row r="332" spans="1:13">
      <c r="A332" s="104" t="s">
        <v>1082</v>
      </c>
      <c r="B332" s="2">
        <v>0.06</v>
      </c>
      <c r="C332"/>
      <c r="D332"/>
      <c r="M332" s="241"/>
    </row>
    <row r="333" spans="1:13">
      <c r="A333" s="104" t="s">
        <v>1267</v>
      </c>
      <c r="B333">
        <v>220</v>
      </c>
      <c r="C333"/>
      <c r="D333"/>
      <c r="M333" s="241"/>
    </row>
    <row r="334" spans="1:13">
      <c r="A334" s="104" t="s">
        <v>1311</v>
      </c>
      <c r="B334"/>
      <c r="C334"/>
      <c r="D334"/>
      <c r="M334" s="241"/>
    </row>
    <row r="335" spans="1:13">
      <c r="A335" s="104"/>
      <c r="B335"/>
      <c r="C335"/>
      <c r="D335"/>
      <c r="M335" s="241"/>
    </row>
    <row r="336" spans="1:13">
      <c r="A336" s="104" t="s">
        <v>1349</v>
      </c>
      <c r="B336"/>
      <c r="C336"/>
      <c r="D336">
        <f>(B328+B330)*(1+B332*B331/12)</f>
        <v>187.77499999999998</v>
      </c>
      <c r="M336" s="241"/>
    </row>
    <row r="337" spans="1:13">
      <c r="A337" s="104"/>
      <c r="B337"/>
      <c r="C337"/>
      <c r="D337"/>
      <c r="M337" s="241"/>
    </row>
    <row r="338" spans="1:13">
      <c r="A338" s="104" t="s">
        <v>1350</v>
      </c>
      <c r="B338"/>
      <c r="C338">
        <f xml:space="preserve"> MAX(B329,B333)</f>
        <v>220</v>
      </c>
      <c r="D338"/>
      <c r="M338" s="241"/>
    </row>
    <row r="339" spans="1:13">
      <c r="A339" s="104"/>
      <c r="B339"/>
      <c r="C339"/>
      <c r="D339"/>
      <c r="M339" s="241"/>
    </row>
    <row r="340" spans="1:13">
      <c r="A340" s="105" t="s">
        <v>1351</v>
      </c>
      <c r="B340" s="97"/>
      <c r="C340" s="97"/>
      <c r="D340" s="97">
        <f>C338-D336</f>
        <v>32.225000000000023</v>
      </c>
      <c r="E340" s="246"/>
      <c r="F340" s="246"/>
      <c r="G340" s="246"/>
      <c r="H340" s="246"/>
      <c r="I340" s="246"/>
      <c r="J340" s="246"/>
      <c r="K340" s="246"/>
      <c r="L340" s="246"/>
      <c r="M340" s="247"/>
    </row>
    <row r="342" spans="1:13" ht="15.6" customHeight="1">
      <c r="A342" s="454" t="s">
        <v>1352</v>
      </c>
      <c r="B342" s="455"/>
      <c r="C342" s="455"/>
      <c r="D342" s="455"/>
      <c r="E342" s="455"/>
      <c r="F342" s="455"/>
      <c r="G342" s="455"/>
      <c r="H342" s="455"/>
      <c r="I342" s="456"/>
    </row>
    <row r="343" spans="1:13" ht="19.149999999999999" customHeight="1">
      <c r="A343" s="457"/>
      <c r="B343" s="447"/>
      <c r="C343" s="447"/>
      <c r="D343" s="447"/>
      <c r="E343" s="447"/>
      <c r="F343" s="447"/>
      <c r="G343" s="447"/>
      <c r="H343" s="447"/>
      <c r="I343" s="458"/>
    </row>
    <row r="344" spans="1:13" ht="19.149999999999999" customHeight="1">
      <c r="A344" s="457"/>
      <c r="B344" s="447"/>
      <c r="C344" s="447"/>
      <c r="D344" s="447"/>
      <c r="E344" s="447"/>
      <c r="F344" s="447"/>
      <c r="G344" s="447"/>
      <c r="H344" s="447"/>
      <c r="I344" s="458"/>
    </row>
    <row r="345" spans="1:13" ht="18" customHeight="1">
      <c r="A345" s="457"/>
      <c r="B345" s="447"/>
      <c r="C345" s="447"/>
      <c r="D345" s="447"/>
      <c r="E345" s="447"/>
      <c r="F345" s="447"/>
      <c r="G345" s="447"/>
      <c r="H345" s="447"/>
      <c r="I345" s="458"/>
    </row>
    <row r="346" spans="1:13" ht="19.149999999999999" customHeight="1">
      <c r="A346" s="457"/>
      <c r="B346" s="447"/>
      <c r="C346" s="447"/>
      <c r="D346" s="447"/>
      <c r="E346" s="447"/>
      <c r="F346" s="447"/>
      <c r="G346" s="447"/>
      <c r="H346" s="447"/>
      <c r="I346" s="458"/>
    </row>
    <row r="347" spans="1:13">
      <c r="A347" s="457"/>
      <c r="B347" s="447"/>
      <c r="C347" s="447"/>
      <c r="D347" s="447"/>
      <c r="E347" s="447"/>
      <c r="F347" s="447"/>
      <c r="G347" s="447"/>
      <c r="H347" s="447"/>
      <c r="I347" s="458"/>
    </row>
    <row r="348" spans="1:13">
      <c r="A348" s="457"/>
      <c r="B348" s="447"/>
      <c r="C348" s="447"/>
      <c r="D348" s="447"/>
      <c r="E348" s="447"/>
      <c r="F348" s="447"/>
      <c r="G348" s="447"/>
      <c r="H348" s="447"/>
      <c r="I348" s="458"/>
    </row>
    <row r="349" spans="1:13">
      <c r="A349" s="457"/>
      <c r="B349" s="447"/>
      <c r="C349" s="447"/>
      <c r="D349" s="447"/>
      <c r="E349" s="447"/>
      <c r="F349" s="447"/>
      <c r="G349" s="447"/>
      <c r="H349" s="447"/>
      <c r="I349" s="458"/>
    </row>
    <row r="350" spans="1:13">
      <c r="A350" s="457"/>
      <c r="B350" s="447"/>
      <c r="C350" s="447"/>
      <c r="D350" s="447"/>
      <c r="E350" s="447"/>
      <c r="F350" s="447"/>
      <c r="G350" s="447"/>
      <c r="H350" s="447"/>
      <c r="I350" s="458"/>
    </row>
    <row r="351" spans="1:13">
      <c r="A351" s="242"/>
      <c r="I351" s="241"/>
    </row>
    <row r="352" spans="1:13">
      <c r="A352" s="104" t="s">
        <v>1348</v>
      </c>
      <c r="B352">
        <v>140</v>
      </c>
      <c r="C352"/>
      <c r="D352"/>
      <c r="I352" s="241"/>
    </row>
    <row r="353" spans="1:9">
      <c r="A353" s="104" t="s">
        <v>983</v>
      </c>
      <c r="B353">
        <v>150</v>
      </c>
      <c r="C353"/>
      <c r="D353"/>
      <c r="I353" s="241"/>
    </row>
    <row r="354" spans="1:9">
      <c r="A354" s="104" t="s">
        <v>919</v>
      </c>
      <c r="B354">
        <v>5</v>
      </c>
      <c r="C354"/>
      <c r="D354"/>
      <c r="I354" s="241"/>
    </row>
    <row r="355" spans="1:9">
      <c r="A355" s="104" t="s">
        <v>1082</v>
      </c>
      <c r="B355" s="2">
        <v>0.04</v>
      </c>
      <c r="C355"/>
      <c r="D355"/>
      <c r="I355" s="241"/>
    </row>
    <row r="356" spans="1:9">
      <c r="A356" s="104" t="s">
        <v>939</v>
      </c>
      <c r="B356">
        <v>6</v>
      </c>
      <c r="C356"/>
      <c r="D356"/>
      <c r="I356" s="241"/>
    </row>
    <row r="357" spans="1:9">
      <c r="A357" s="104" t="s">
        <v>1267</v>
      </c>
      <c r="B357">
        <v>130</v>
      </c>
      <c r="C357"/>
      <c r="D357"/>
      <c r="I357" s="241"/>
    </row>
    <row r="358" spans="1:9">
      <c r="A358" s="104" t="s">
        <v>1304</v>
      </c>
      <c r="B358"/>
      <c r="C358"/>
      <c r="D358"/>
      <c r="I358" s="241"/>
    </row>
    <row r="359" spans="1:9">
      <c r="A359" s="104"/>
      <c r="B359"/>
      <c r="C359"/>
      <c r="D359"/>
      <c r="I359" s="241"/>
    </row>
    <row r="360" spans="1:9">
      <c r="A360" s="104" t="s">
        <v>1353</v>
      </c>
      <c r="B360">
        <f>(B352-B354)*(1+B355*B356/12)</f>
        <v>137.69999999999999</v>
      </c>
      <c r="C360"/>
      <c r="D360"/>
      <c r="I360" s="241"/>
    </row>
    <row r="361" spans="1:9">
      <c r="A361" s="104" t="s">
        <v>1354</v>
      </c>
      <c r="B361">
        <f>MIN(B357,B353)</f>
        <v>130</v>
      </c>
      <c r="C361"/>
      <c r="D361"/>
      <c r="I361" s="241"/>
    </row>
    <row r="362" spans="1:9">
      <c r="A362" s="105" t="s">
        <v>1355</v>
      </c>
      <c r="B362" s="97"/>
      <c r="C362" s="97"/>
      <c r="D362" s="97">
        <f>B360-B361</f>
        <v>7.6999999999999886</v>
      </c>
      <c r="E362" s="246"/>
      <c r="F362" s="246"/>
      <c r="G362" s="246"/>
      <c r="H362" s="246"/>
      <c r="I362" s="247"/>
    </row>
    <row r="364" spans="1:9" ht="15.6" customHeight="1">
      <c r="A364" s="454" t="s">
        <v>1356</v>
      </c>
      <c r="B364" s="455"/>
      <c r="C364" s="455"/>
      <c r="D364" s="455"/>
      <c r="E364" s="455"/>
      <c r="F364" s="455"/>
      <c r="G364" s="455"/>
      <c r="H364" s="455"/>
      <c r="I364" s="456"/>
    </row>
    <row r="365" spans="1:9" ht="19.149999999999999" customHeight="1">
      <c r="A365" s="457"/>
      <c r="B365" s="447"/>
      <c r="C365" s="447"/>
      <c r="D365" s="447"/>
      <c r="E365" s="447"/>
      <c r="F365" s="447"/>
      <c r="G365" s="447"/>
      <c r="H365" s="447"/>
      <c r="I365" s="458"/>
    </row>
    <row r="366" spans="1:9" ht="18" customHeight="1">
      <c r="A366" s="457"/>
      <c r="B366" s="447"/>
      <c r="C366" s="447"/>
      <c r="D366" s="447"/>
      <c r="E366" s="447"/>
      <c r="F366" s="447"/>
      <c r="G366" s="447"/>
      <c r="H366" s="447"/>
      <c r="I366" s="458"/>
    </row>
    <row r="367" spans="1:9">
      <c r="A367" s="457"/>
      <c r="B367" s="447"/>
      <c r="C367" s="447"/>
      <c r="D367" s="447"/>
      <c r="E367" s="447"/>
      <c r="F367" s="447"/>
      <c r="G367" s="447"/>
      <c r="H367" s="447"/>
      <c r="I367" s="458"/>
    </row>
    <row r="368" spans="1:9">
      <c r="A368" s="457"/>
      <c r="B368" s="447"/>
      <c r="C368" s="447"/>
      <c r="D368" s="447"/>
      <c r="E368" s="447"/>
      <c r="F368" s="447"/>
      <c r="G368" s="447"/>
      <c r="H368" s="447"/>
      <c r="I368" s="458"/>
    </row>
    <row r="369" spans="1:15">
      <c r="A369" s="457"/>
      <c r="B369" s="447"/>
      <c r="C369" s="447"/>
      <c r="D369" s="447"/>
      <c r="E369" s="447"/>
      <c r="F369" s="447"/>
      <c r="G369" s="447"/>
      <c r="H369" s="447"/>
      <c r="I369" s="458"/>
    </row>
    <row r="370" spans="1:15">
      <c r="A370" s="457"/>
      <c r="B370" s="447"/>
      <c r="C370" s="447"/>
      <c r="D370" s="447"/>
      <c r="E370" s="447"/>
      <c r="F370" s="447"/>
      <c r="G370" s="447"/>
      <c r="H370" s="447"/>
      <c r="I370" s="458"/>
    </row>
    <row r="371" spans="1:15">
      <c r="A371" s="457"/>
      <c r="B371" s="447"/>
      <c r="C371" s="447"/>
      <c r="D371" s="447"/>
      <c r="E371" s="447"/>
      <c r="F371" s="447"/>
      <c r="G371" s="447"/>
      <c r="H371" s="447"/>
      <c r="I371" s="458"/>
    </row>
    <row r="372" spans="1:15">
      <c r="A372" s="104" t="s">
        <v>1348</v>
      </c>
      <c r="B372">
        <v>90</v>
      </c>
      <c r="C372"/>
      <c r="I372" s="241"/>
    </row>
    <row r="373" spans="1:15">
      <c r="A373" s="104" t="s">
        <v>983</v>
      </c>
      <c r="B373">
        <v>95</v>
      </c>
      <c r="C373"/>
      <c r="I373" s="241"/>
    </row>
    <row r="374" spans="1:15">
      <c r="A374" s="104" t="s">
        <v>919</v>
      </c>
      <c r="B374">
        <v>6</v>
      </c>
      <c r="C374"/>
      <c r="I374" s="241"/>
    </row>
    <row r="375" spans="1:15">
      <c r="A375" s="104" t="s">
        <v>1082</v>
      </c>
      <c r="B375" s="2">
        <v>0.04</v>
      </c>
      <c r="C375"/>
      <c r="I375" s="241"/>
    </row>
    <row r="376" spans="1:15">
      <c r="A376" s="104" t="s">
        <v>939</v>
      </c>
      <c r="B376">
        <v>6</v>
      </c>
      <c r="C376"/>
      <c r="I376" s="241"/>
    </row>
    <row r="377" spans="1:15">
      <c r="A377" s="104" t="s">
        <v>1267</v>
      </c>
      <c r="B377">
        <v>85</v>
      </c>
      <c r="C377"/>
      <c r="I377" s="241"/>
    </row>
    <row r="378" spans="1:15">
      <c r="A378" s="104"/>
      <c r="B378"/>
      <c r="C378"/>
      <c r="I378" s="241"/>
    </row>
    <row r="379" spans="1:15">
      <c r="A379" s="104" t="s">
        <v>1353</v>
      </c>
      <c r="B379">
        <f>(B372-B374)*(1+B375*B376/12)</f>
        <v>85.68</v>
      </c>
      <c r="C379"/>
      <c r="I379" s="241"/>
    </row>
    <row r="380" spans="1:15">
      <c r="A380" s="104" t="s">
        <v>1354</v>
      </c>
      <c r="B380">
        <f>MIN(B377,B373)</f>
        <v>85</v>
      </c>
      <c r="C380"/>
      <c r="I380" s="241"/>
    </row>
    <row r="381" spans="1:15">
      <c r="A381" s="104"/>
      <c r="B381"/>
      <c r="C381"/>
      <c r="I381" s="241"/>
    </row>
    <row r="382" spans="1:15">
      <c r="A382" s="105" t="s">
        <v>1357</v>
      </c>
      <c r="B382" s="97"/>
      <c r="C382" s="97">
        <f>B380-B379</f>
        <v>-0.68000000000000682</v>
      </c>
      <c r="D382" s="246"/>
      <c r="E382" s="246"/>
      <c r="F382" s="246"/>
      <c r="G382" s="246"/>
      <c r="H382" s="246"/>
      <c r="I382" s="247"/>
    </row>
    <row r="384" spans="1:15" ht="15.6" customHeight="1">
      <c r="A384" s="443" t="s">
        <v>1358</v>
      </c>
      <c r="B384" s="443"/>
      <c r="C384" s="443"/>
      <c r="D384" s="443"/>
      <c r="E384" s="443"/>
      <c r="F384" s="443"/>
      <c r="G384" s="443"/>
      <c r="H384" s="443"/>
      <c r="I384" s="443"/>
      <c r="J384" s="443"/>
      <c r="K384" s="443"/>
      <c r="L384" s="443"/>
      <c r="M384" s="443"/>
      <c r="N384" s="443"/>
      <c r="O384" s="443"/>
    </row>
    <row r="385" spans="1:16" ht="19.149999999999999" customHeight="1">
      <c r="A385" s="443"/>
      <c r="B385" s="443"/>
      <c r="C385" s="443"/>
      <c r="D385" s="443"/>
      <c r="E385" s="443"/>
      <c r="F385" s="443"/>
      <c r="G385" s="443"/>
      <c r="H385" s="443"/>
      <c r="I385" s="443"/>
      <c r="J385" s="443"/>
      <c r="K385" s="443"/>
      <c r="L385" s="443"/>
      <c r="M385" s="443"/>
      <c r="N385" s="443"/>
      <c r="O385" s="443"/>
    </row>
    <row r="386" spans="1:16" ht="18" customHeight="1">
      <c r="A386" s="443"/>
      <c r="B386" s="443"/>
      <c r="C386" s="443"/>
      <c r="D386" s="443"/>
      <c r="E386" s="443"/>
      <c r="F386" s="443"/>
      <c r="G386" s="443"/>
      <c r="H386" s="443"/>
      <c r="I386" s="443"/>
      <c r="J386" s="443"/>
      <c r="K386" s="443"/>
      <c r="L386" s="443"/>
      <c r="M386" s="443"/>
      <c r="N386" s="443"/>
      <c r="O386" s="443"/>
    </row>
    <row r="387" spans="1:16" ht="19.149999999999999" customHeight="1">
      <c r="A387" s="443"/>
      <c r="B387" s="443"/>
      <c r="C387" s="443"/>
      <c r="D387" s="443"/>
      <c r="E387" s="443"/>
      <c r="F387" s="443"/>
      <c r="G387" s="443"/>
      <c r="H387" s="443"/>
      <c r="I387" s="443"/>
      <c r="J387" s="443"/>
      <c r="K387" s="443"/>
      <c r="L387" s="443"/>
      <c r="M387" s="443"/>
      <c r="N387" s="443"/>
      <c r="O387" s="443"/>
    </row>
    <row r="388" spans="1:16" ht="18.75">
      <c r="D388" s="233"/>
    </row>
    <row r="389" spans="1:16" ht="15.6" customHeight="1">
      <c r="A389" s="443" t="s">
        <v>1359</v>
      </c>
      <c r="B389" s="443"/>
      <c r="C389" s="443"/>
      <c r="D389" s="443"/>
      <c r="E389" s="443"/>
      <c r="F389" s="443"/>
      <c r="G389" s="443"/>
      <c r="H389" s="443"/>
      <c r="I389" s="443"/>
    </row>
    <row r="390" spans="1:16" ht="16.149999999999999" customHeight="1">
      <c r="A390" s="443"/>
      <c r="B390" s="443"/>
      <c r="C390" s="443"/>
      <c r="D390" s="443"/>
      <c r="E390" s="443"/>
      <c r="F390" s="443"/>
      <c r="G390" s="443"/>
      <c r="H390" s="443"/>
      <c r="I390" s="443"/>
    </row>
    <row r="391" spans="1:16" ht="18.600000000000001" customHeight="1">
      <c r="A391" s="443"/>
      <c r="B391" s="443"/>
      <c r="C391" s="443"/>
      <c r="D391" s="443"/>
      <c r="E391" s="443"/>
      <c r="F391" s="443"/>
      <c r="G391" s="443"/>
      <c r="H391" s="443"/>
      <c r="I391" s="443"/>
    </row>
    <row r="392" spans="1:16" ht="19.149999999999999" customHeight="1">
      <c r="A392" s="443"/>
      <c r="B392" s="443"/>
      <c r="C392" s="443"/>
      <c r="D392" s="443"/>
      <c r="E392" s="443"/>
      <c r="F392" s="443"/>
      <c r="G392" s="443"/>
      <c r="H392" s="443"/>
      <c r="I392" s="443"/>
    </row>
    <row r="393" spans="1:16" ht="19.149999999999999" customHeight="1">
      <c r="A393" s="443"/>
      <c r="B393" s="443"/>
      <c r="C393" s="443"/>
      <c r="D393" s="443"/>
      <c r="E393" s="443"/>
      <c r="F393" s="443"/>
      <c r="G393" s="443"/>
      <c r="H393" s="443"/>
      <c r="I393" s="443"/>
    </row>
    <row r="394" spans="1:16" ht="19.149999999999999" customHeight="1">
      <c r="A394" s="443"/>
      <c r="B394" s="443"/>
      <c r="C394" s="443"/>
      <c r="D394" s="443"/>
      <c r="E394" s="443"/>
      <c r="F394" s="443"/>
      <c r="G394" s="443"/>
      <c r="H394" s="443"/>
      <c r="I394" s="443"/>
    </row>
    <row r="395" spans="1:16" ht="18.75">
      <c r="A395" s="216"/>
    </row>
    <row r="396" spans="1:16" ht="18" customHeight="1">
      <c r="A396" s="435" t="s">
        <v>1360</v>
      </c>
      <c r="B396" s="435"/>
      <c r="C396" s="435"/>
      <c r="D396" s="435"/>
      <c r="E396" s="435"/>
      <c r="F396" s="435"/>
      <c r="G396" s="435"/>
      <c r="H396" s="435"/>
      <c r="I396" s="435"/>
      <c r="J396" s="435"/>
      <c r="K396" s="435"/>
      <c r="L396" s="435"/>
      <c r="M396" s="435"/>
      <c r="N396" s="435"/>
      <c r="O396" s="435"/>
      <c r="P396" s="435"/>
    </row>
    <row r="397" spans="1:16" ht="18" customHeight="1">
      <c r="A397" s="435"/>
      <c r="B397" s="435"/>
      <c r="C397" s="435"/>
      <c r="D397" s="435"/>
      <c r="E397" s="435"/>
      <c r="F397" s="435"/>
      <c r="G397" s="435"/>
      <c r="H397" s="435"/>
      <c r="I397" s="435"/>
      <c r="J397" s="435"/>
      <c r="K397" s="435"/>
      <c r="L397" s="435"/>
      <c r="M397" s="435"/>
      <c r="N397" s="435"/>
      <c r="O397" s="435"/>
      <c r="P397" s="435"/>
    </row>
    <row r="398" spans="1:16" ht="18" customHeight="1">
      <c r="A398" s="435"/>
      <c r="B398" s="435"/>
      <c r="C398" s="435"/>
      <c r="D398" s="435"/>
      <c r="E398" s="435"/>
      <c r="F398" s="435"/>
      <c r="G398" s="435"/>
      <c r="H398" s="435"/>
      <c r="I398" s="435"/>
      <c r="J398" s="435"/>
      <c r="K398" s="435"/>
      <c r="L398" s="435"/>
      <c r="M398" s="435"/>
      <c r="N398" s="435"/>
      <c r="O398" s="435"/>
      <c r="P398" s="435"/>
    </row>
    <row r="399" spans="1:16" ht="18" customHeight="1">
      <c r="A399" s="435"/>
      <c r="B399" s="435"/>
      <c r="C399" s="435"/>
      <c r="D399" s="435"/>
      <c r="E399" s="435"/>
      <c r="F399" s="435"/>
      <c r="G399" s="435"/>
      <c r="H399" s="435"/>
      <c r="I399" s="435"/>
      <c r="J399" s="435"/>
      <c r="K399" s="435"/>
      <c r="L399" s="435"/>
      <c r="M399" s="435"/>
      <c r="N399" s="435"/>
      <c r="O399" s="435"/>
      <c r="P399" s="435"/>
    </row>
    <row r="400" spans="1:16" ht="15.6" customHeight="1">
      <c r="A400" s="443" t="s">
        <v>1361</v>
      </c>
      <c r="B400" s="443"/>
      <c r="C400" s="443"/>
      <c r="D400" s="443"/>
      <c r="E400" s="443"/>
      <c r="F400" s="443"/>
      <c r="G400" s="443"/>
      <c r="H400" s="443"/>
      <c r="I400" s="443"/>
    </row>
    <row r="401" spans="1:14" ht="18" customHeight="1">
      <c r="A401" s="443"/>
      <c r="B401" s="443"/>
      <c r="C401" s="443"/>
      <c r="D401" s="443"/>
      <c r="E401" s="443"/>
      <c r="F401" s="443"/>
      <c r="G401" s="443"/>
      <c r="H401" s="443"/>
      <c r="I401" s="443"/>
    </row>
    <row r="402" spans="1:14" ht="18" customHeight="1">
      <c r="A402" s="443"/>
      <c r="B402" s="443"/>
      <c r="C402" s="443"/>
      <c r="D402" s="443"/>
      <c r="E402" s="443"/>
      <c r="F402" s="443"/>
      <c r="G402" s="443"/>
      <c r="H402" s="443"/>
      <c r="I402" s="443"/>
    </row>
    <row r="403" spans="1:14" ht="18" customHeight="1">
      <c r="A403" s="443"/>
      <c r="B403" s="443"/>
      <c r="C403" s="443"/>
      <c r="D403" s="443"/>
      <c r="E403" s="443"/>
      <c r="F403" s="443"/>
      <c r="G403" s="443"/>
      <c r="H403" s="443"/>
      <c r="I403" s="443"/>
    </row>
    <row r="404" spans="1:14" ht="17.45" customHeight="1">
      <c r="A404" s="443"/>
      <c r="B404" s="443"/>
      <c r="C404" s="443"/>
      <c r="D404" s="443"/>
      <c r="E404" s="443"/>
      <c r="F404" s="443"/>
      <c r="G404" s="443"/>
      <c r="H404" s="443"/>
      <c r="I404" s="443"/>
    </row>
    <row r="405" spans="1:14" ht="18" customHeight="1">
      <c r="A405" s="443"/>
      <c r="B405" s="443"/>
      <c r="C405" s="443"/>
      <c r="D405" s="443"/>
      <c r="E405" s="443"/>
      <c r="F405" s="443"/>
      <c r="G405" s="443"/>
      <c r="H405" s="443"/>
      <c r="I405" s="443"/>
    </row>
    <row r="406" spans="1:14" ht="15.6" customHeight="1">
      <c r="A406" s="443" t="s">
        <v>1362</v>
      </c>
      <c r="B406" s="443"/>
      <c r="C406" s="443"/>
      <c r="D406" s="443"/>
      <c r="E406" s="443"/>
      <c r="F406" s="443"/>
      <c r="G406" s="443"/>
      <c r="H406" s="443"/>
      <c r="I406" s="443"/>
      <c r="J406" s="443"/>
      <c r="K406" s="443"/>
      <c r="L406" s="443"/>
      <c r="M406" s="443"/>
      <c r="N406" s="443"/>
    </row>
    <row r="407" spans="1:14" ht="17.45" customHeight="1">
      <c r="A407" s="443"/>
      <c r="B407" s="443"/>
      <c r="C407" s="443"/>
      <c r="D407" s="443"/>
      <c r="E407" s="443"/>
      <c r="F407" s="443"/>
      <c r="G407" s="443"/>
      <c r="H407" s="443"/>
      <c r="I407" s="443"/>
      <c r="J407" s="443"/>
      <c r="K407" s="443"/>
      <c r="L407" s="443"/>
      <c r="M407" s="443"/>
      <c r="N407" s="443"/>
    </row>
    <row r="408" spans="1:14">
      <c r="A408" s="443"/>
      <c r="B408" s="443"/>
      <c r="C408" s="443"/>
      <c r="D408" s="443"/>
      <c r="E408" s="443"/>
      <c r="F408" s="443"/>
      <c r="G408" s="443"/>
      <c r="H408" s="443"/>
      <c r="I408" s="443"/>
      <c r="J408" s="443"/>
      <c r="K408" s="443"/>
      <c r="L408" s="443"/>
      <c r="M408" s="443"/>
      <c r="N408" s="443"/>
    </row>
    <row r="409" spans="1:14" ht="15.6" customHeight="1">
      <c r="A409" s="443" t="s">
        <v>1363</v>
      </c>
      <c r="B409" s="443"/>
      <c r="C409" s="443"/>
      <c r="D409" s="443"/>
      <c r="E409" s="443"/>
      <c r="F409" s="443"/>
      <c r="G409" s="443"/>
      <c r="H409" s="443"/>
      <c r="I409" s="443"/>
    </row>
    <row r="410" spans="1:14">
      <c r="A410" s="443"/>
      <c r="B410" s="443"/>
      <c r="C410" s="443"/>
      <c r="D410" s="443"/>
      <c r="E410" s="443"/>
      <c r="F410" s="443"/>
      <c r="G410" s="443"/>
      <c r="H410" s="443"/>
      <c r="I410" s="443"/>
    </row>
    <row r="411" spans="1:14">
      <c r="A411" s="443"/>
      <c r="B411" s="443"/>
      <c r="C411" s="443"/>
      <c r="D411" s="443"/>
      <c r="E411" s="443"/>
      <c r="F411" s="443"/>
      <c r="G411" s="443"/>
      <c r="H411" s="443"/>
      <c r="I411" s="443"/>
    </row>
    <row r="412" spans="1:14">
      <c r="A412" s="443"/>
      <c r="B412" s="443"/>
      <c r="C412" s="443"/>
      <c r="D412" s="443"/>
      <c r="E412" s="443"/>
      <c r="F412" s="443"/>
      <c r="G412" s="443"/>
      <c r="H412" s="443"/>
      <c r="I412" s="443"/>
    </row>
    <row r="413" spans="1:14">
      <c r="A413" s="443"/>
      <c r="B413" s="443"/>
      <c r="C413" s="443"/>
      <c r="D413" s="443"/>
      <c r="E413" s="443"/>
      <c r="F413" s="443"/>
      <c r="G413" s="443"/>
      <c r="H413" s="443"/>
      <c r="I413" s="443"/>
    </row>
    <row r="414" spans="1:14" ht="15.6" customHeight="1">
      <c r="A414" s="443" t="s">
        <v>1364</v>
      </c>
      <c r="B414" s="443"/>
      <c r="C414" s="443"/>
      <c r="D414" s="443"/>
      <c r="E414" s="443"/>
      <c r="F414" s="443"/>
      <c r="G414" s="443"/>
      <c r="H414" s="443"/>
      <c r="I414" s="443"/>
    </row>
    <row r="415" spans="1:14">
      <c r="A415" s="443"/>
      <c r="B415" s="443"/>
      <c r="C415" s="443"/>
      <c r="D415" s="443"/>
      <c r="E415" s="443"/>
      <c r="F415" s="443"/>
      <c r="G415" s="443"/>
      <c r="H415" s="443"/>
      <c r="I415" s="443"/>
    </row>
    <row r="416" spans="1:14">
      <c r="A416" s="443"/>
      <c r="B416" s="443"/>
      <c r="C416" s="443"/>
      <c r="D416" s="443"/>
      <c r="E416" s="443"/>
      <c r="F416" s="443"/>
      <c r="G416" s="443"/>
      <c r="H416" s="443"/>
      <c r="I416" s="443"/>
    </row>
    <row r="417" spans="1:9">
      <c r="A417" s="443"/>
      <c r="B417" s="443"/>
      <c r="C417" s="443"/>
      <c r="D417" s="443"/>
      <c r="E417" s="443"/>
      <c r="F417" s="443"/>
      <c r="G417" s="443"/>
      <c r="H417" s="443"/>
      <c r="I417" s="443"/>
    </row>
    <row r="418" spans="1:9">
      <c r="A418" s="443"/>
      <c r="B418" s="443"/>
      <c r="C418" s="443"/>
      <c r="D418" s="443"/>
      <c r="E418" s="443"/>
      <c r="F418" s="443"/>
      <c r="G418" s="443"/>
      <c r="H418" s="443"/>
      <c r="I418" s="443"/>
    </row>
    <row r="419" spans="1:9">
      <c r="A419" s="443"/>
      <c r="B419" s="443"/>
      <c r="C419" s="443"/>
      <c r="D419" s="443"/>
      <c r="E419" s="443"/>
      <c r="F419" s="443"/>
      <c r="G419" s="443"/>
      <c r="H419" s="443"/>
      <c r="I419" s="443"/>
    </row>
    <row r="420" spans="1:9">
      <c r="A420" t="s">
        <v>983</v>
      </c>
      <c r="B420">
        <v>65</v>
      </c>
      <c r="C420"/>
    </row>
    <row r="421" spans="1:9">
      <c r="A421" t="s">
        <v>940</v>
      </c>
      <c r="B421" s="2">
        <v>0.06</v>
      </c>
      <c r="C421"/>
    </row>
    <row r="422" spans="1:9">
      <c r="A422" t="s">
        <v>290</v>
      </c>
      <c r="B422">
        <v>1</v>
      </c>
      <c r="C422"/>
    </row>
    <row r="423" spans="1:9">
      <c r="A423" t="s">
        <v>97</v>
      </c>
      <c r="B423">
        <v>75</v>
      </c>
      <c r="C423"/>
    </row>
    <row r="424" spans="1:9">
      <c r="A424" t="s">
        <v>1365</v>
      </c>
      <c r="B424">
        <v>95</v>
      </c>
      <c r="C424"/>
    </row>
    <row r="425" spans="1:9">
      <c r="A425" t="s">
        <v>1366</v>
      </c>
      <c r="B425">
        <v>63</v>
      </c>
      <c r="C425"/>
    </row>
    <row r="426" spans="1:9">
      <c r="A426"/>
      <c r="B426"/>
      <c r="C426"/>
    </row>
    <row r="427" spans="1:9">
      <c r="A427" t="s">
        <v>1367</v>
      </c>
      <c r="B427">
        <f>B421/12</f>
        <v>5.0000000000000001E-3</v>
      </c>
      <c r="C427"/>
    </row>
    <row r="428" spans="1:9">
      <c r="A428" t="s">
        <v>1368</v>
      </c>
      <c r="B428"/>
      <c r="C428">
        <f>B425/B423</f>
        <v>0.84</v>
      </c>
    </row>
    <row r="429" spans="1:9">
      <c r="A429" t="s">
        <v>1369</v>
      </c>
      <c r="B429"/>
      <c r="C429">
        <f>B424/B423</f>
        <v>1.2666666666666666</v>
      </c>
    </row>
    <row r="430" spans="1:9">
      <c r="A430"/>
      <c r="B430"/>
      <c r="C430"/>
    </row>
    <row r="431" spans="1:9">
      <c r="A431" t="s">
        <v>1370</v>
      </c>
      <c r="B431"/>
      <c r="C431">
        <f>MAX(0,B424-B420)</f>
        <v>30</v>
      </c>
    </row>
    <row r="432" spans="1:9">
      <c r="A432" t="s">
        <v>1371</v>
      </c>
      <c r="B432"/>
      <c r="C432">
        <f>MAX(0,B425-B420)</f>
        <v>0</v>
      </c>
    </row>
    <row r="433" spans="1:6">
      <c r="A433"/>
      <c r="B433"/>
      <c r="C433"/>
    </row>
    <row r="434" spans="1:6">
      <c r="A434" t="s">
        <v>910</v>
      </c>
      <c r="B434">
        <f>(1+B427-C428)*C431+(C429-1-B427)*C432</f>
        <v>4.9499999999999975</v>
      </c>
      <c r="C434"/>
    </row>
    <row r="435" spans="1:6">
      <c r="A435" t="s">
        <v>911</v>
      </c>
      <c r="B435">
        <f>(1+B427)*(C429-C428)</f>
        <v>0.4287999999999999</v>
      </c>
      <c r="C435"/>
    </row>
    <row r="436" spans="1:6">
      <c r="A436" t="s">
        <v>919</v>
      </c>
      <c r="B436">
        <f>B434/B435</f>
        <v>11.543843283582087</v>
      </c>
      <c r="C436"/>
    </row>
    <row r="437" spans="1:6" ht="15.6" customHeight="1">
      <c r="A437" s="443" t="s">
        <v>1372</v>
      </c>
      <c r="B437" s="443"/>
      <c r="C437" s="443"/>
      <c r="D437" s="443"/>
      <c r="E437" s="443"/>
      <c r="F437" s="443"/>
    </row>
    <row r="438" spans="1:6">
      <c r="A438" s="443"/>
      <c r="B438" s="443"/>
      <c r="C438" s="443"/>
      <c r="D438" s="443"/>
      <c r="E438" s="443"/>
      <c r="F438" s="443"/>
    </row>
    <row r="439" spans="1:6">
      <c r="A439" s="443"/>
      <c r="B439" s="443"/>
      <c r="C439" s="443"/>
      <c r="D439" s="443"/>
      <c r="E439" s="443"/>
      <c r="F439" s="443"/>
    </row>
    <row r="440" spans="1:6">
      <c r="A440" s="443"/>
      <c r="B440" s="443"/>
      <c r="C440" s="443"/>
      <c r="D440" s="443"/>
      <c r="E440" s="443"/>
      <c r="F440" s="443"/>
    </row>
    <row r="441" spans="1:6">
      <c r="A441" s="443"/>
      <c r="B441" s="443"/>
      <c r="C441" s="443"/>
      <c r="D441" s="443"/>
      <c r="E441" s="443"/>
      <c r="F441" s="443"/>
    </row>
    <row r="442" spans="1:6">
      <c r="A442" s="443"/>
      <c r="B442" s="443"/>
      <c r="C442" s="443"/>
      <c r="D442" s="443"/>
      <c r="E442" s="443"/>
      <c r="F442" s="443"/>
    </row>
    <row r="443" spans="1:6">
      <c r="A443" s="443"/>
      <c r="B443" s="443"/>
      <c r="C443" s="443"/>
      <c r="D443" s="443"/>
      <c r="E443" s="443"/>
      <c r="F443" s="443"/>
    </row>
    <row r="444" spans="1:6">
      <c r="A444" s="443"/>
      <c r="B444" s="443"/>
      <c r="C444" s="443"/>
      <c r="D444" s="443"/>
      <c r="E444" s="443"/>
      <c r="F444" s="443"/>
    </row>
    <row r="445" spans="1:6">
      <c r="A445" s="443"/>
      <c r="B445" s="443"/>
      <c r="C445" s="443"/>
      <c r="D445" s="443"/>
      <c r="E445" s="443"/>
      <c r="F445" s="443"/>
    </row>
    <row r="447" spans="1:6" ht="15.6" customHeight="1">
      <c r="A447" s="443" t="s">
        <v>1373</v>
      </c>
      <c r="B447" s="443"/>
      <c r="C447" s="443"/>
      <c r="D447" s="443"/>
      <c r="E447" s="443"/>
      <c r="F447" s="443"/>
    </row>
    <row r="448" spans="1:6">
      <c r="A448" s="443"/>
      <c r="B448" s="443"/>
      <c r="C448" s="443"/>
      <c r="D448" s="443"/>
      <c r="E448" s="443"/>
      <c r="F448" s="443"/>
    </row>
    <row r="449" spans="1:6">
      <c r="A449" s="443"/>
      <c r="B449" s="443"/>
      <c r="C449" s="443"/>
      <c r="D449" s="443"/>
      <c r="E449" s="443"/>
      <c r="F449" s="443"/>
    </row>
    <row r="450" spans="1:6">
      <c r="A450" s="443"/>
      <c r="B450" s="443"/>
      <c r="C450" s="443"/>
      <c r="D450" s="443"/>
      <c r="E450" s="443"/>
      <c r="F450" s="443"/>
    </row>
    <row r="451" spans="1:6">
      <c r="A451" s="443"/>
      <c r="B451" s="443"/>
      <c r="C451" s="443"/>
      <c r="D451" s="443"/>
      <c r="E451" s="443"/>
      <c r="F451" s="443"/>
    </row>
    <row r="452" spans="1:6">
      <c r="A452" s="443"/>
      <c r="B452" s="443"/>
      <c r="C452" s="443"/>
      <c r="D452" s="443"/>
      <c r="E452" s="443"/>
      <c r="F452" s="443"/>
    </row>
    <row r="453" spans="1:6">
      <c r="A453" s="443"/>
      <c r="B453" s="443"/>
      <c r="C453" s="443"/>
      <c r="D453" s="443"/>
      <c r="E453" s="443"/>
      <c r="F453" s="443"/>
    </row>
    <row r="454" spans="1:6">
      <c r="A454" s="443"/>
      <c r="B454" s="443"/>
      <c r="C454" s="443"/>
      <c r="D454" s="443"/>
      <c r="E454" s="443"/>
      <c r="F454" s="443"/>
    </row>
    <row r="455" spans="1:6">
      <c r="A455" s="443"/>
      <c r="B455" s="443"/>
      <c r="C455" s="443"/>
      <c r="D455" s="443"/>
      <c r="E455" s="443"/>
      <c r="F455" s="443"/>
    </row>
    <row r="456" spans="1:6">
      <c r="A456" s="310"/>
      <c r="B456" s="310"/>
      <c r="C456" s="310"/>
      <c r="D456" s="310"/>
      <c r="E456" s="310"/>
      <c r="F456" s="310"/>
    </row>
    <row r="458" spans="1:6">
      <c r="A458" t="s">
        <v>983</v>
      </c>
      <c r="B458">
        <v>220</v>
      </c>
    </row>
    <row r="459" spans="1:6">
      <c r="A459" t="s">
        <v>940</v>
      </c>
      <c r="B459" s="2">
        <v>0.08</v>
      </c>
      <c r="C459"/>
    </row>
    <row r="460" spans="1:6">
      <c r="A460" t="s">
        <v>290</v>
      </c>
      <c r="B460">
        <v>1</v>
      </c>
      <c r="C460"/>
    </row>
    <row r="461" spans="1:6">
      <c r="A461" t="s">
        <v>97</v>
      </c>
      <c r="B461">
        <v>200</v>
      </c>
      <c r="C461"/>
    </row>
    <row r="462" spans="1:6">
      <c r="A462" t="s">
        <v>1374</v>
      </c>
      <c r="B462" s="2">
        <v>0.15</v>
      </c>
      <c r="C462"/>
    </row>
    <row r="463" spans="1:6">
      <c r="A463" t="s">
        <v>1375</v>
      </c>
      <c r="B463" s="2">
        <v>0.2</v>
      </c>
      <c r="C463"/>
    </row>
    <row r="464" spans="1:6">
      <c r="A464"/>
      <c r="B464"/>
      <c r="C464"/>
    </row>
    <row r="465" spans="1:3">
      <c r="A465" t="s">
        <v>1376</v>
      </c>
      <c r="B465" s="2">
        <f>1+B462</f>
        <v>1.1499999999999999</v>
      </c>
      <c r="C465"/>
    </row>
    <row r="466" spans="1:3">
      <c r="A466" t="s">
        <v>1377</v>
      </c>
      <c r="B466" s="2">
        <f>1-B463</f>
        <v>0.8</v>
      </c>
      <c r="C466"/>
    </row>
    <row r="467" spans="1:3">
      <c r="A467"/>
      <c r="B467"/>
      <c r="C467"/>
    </row>
    <row r="468" spans="1:3">
      <c r="A468" t="s">
        <v>1378</v>
      </c>
      <c r="B468"/>
      <c r="C468"/>
    </row>
    <row r="469" spans="1:3">
      <c r="A469" t="s">
        <v>1365</v>
      </c>
      <c r="B469">
        <f>B465*B461</f>
        <v>229.99999999999997</v>
      </c>
      <c r="C469"/>
    </row>
    <row r="470" spans="1:3">
      <c r="A470" t="s">
        <v>1366</v>
      </c>
      <c r="B470">
        <f>B466*B461</f>
        <v>160</v>
      </c>
      <c r="C470"/>
    </row>
    <row r="471" spans="1:3">
      <c r="A471"/>
      <c r="B471"/>
      <c r="C471"/>
    </row>
    <row r="472" spans="1:3">
      <c r="A472" t="s">
        <v>1379</v>
      </c>
      <c r="B472">
        <f>B459/2</f>
        <v>0.04</v>
      </c>
      <c r="C472"/>
    </row>
    <row r="473" spans="1:3">
      <c r="A473"/>
      <c r="B473"/>
      <c r="C473"/>
    </row>
    <row r="474" spans="1:3">
      <c r="A474" t="s">
        <v>1380</v>
      </c>
      <c r="B474"/>
      <c r="C474">
        <f>MAX(0,B458-B469)</f>
        <v>0</v>
      </c>
    </row>
    <row r="475" spans="1:3">
      <c r="A475" t="s">
        <v>1381</v>
      </c>
      <c r="B475"/>
      <c r="C475">
        <f>MAX(0,B458-B470)</f>
        <v>60</v>
      </c>
    </row>
    <row r="476" spans="1:3">
      <c r="A476"/>
      <c r="B476"/>
      <c r="C476"/>
    </row>
    <row r="477" spans="1:3">
      <c r="A477" t="s">
        <v>1382</v>
      </c>
      <c r="B477">
        <f>(1+B472-B466)*C474+(B465-1-B472)*C475</f>
        <v>6.5999999999999943</v>
      </c>
      <c r="C477"/>
    </row>
    <row r="478" spans="1:3">
      <c r="A478" t="s">
        <v>1383</v>
      </c>
      <c r="B478">
        <f>(1+B472)*(B465-B466)</f>
        <v>0.36399999999999988</v>
      </c>
      <c r="C478"/>
    </row>
    <row r="479" spans="1:3">
      <c r="A479"/>
      <c r="B479"/>
      <c r="C479"/>
    </row>
    <row r="480" spans="1:3">
      <c r="A480" t="s">
        <v>521</v>
      </c>
      <c r="B480">
        <f>B477/B478</f>
        <v>18.131868131868121</v>
      </c>
      <c r="C480"/>
    </row>
    <row r="481" spans="1:9" ht="15.6" customHeight="1">
      <c r="A481" s="443" t="s">
        <v>1384</v>
      </c>
      <c r="B481" s="443"/>
      <c r="C481" s="443"/>
      <c r="D481" s="443"/>
      <c r="E481" s="443"/>
      <c r="F481" s="443"/>
    </row>
    <row r="482" spans="1:9">
      <c r="A482" s="443"/>
      <c r="B482" s="443"/>
      <c r="C482" s="443"/>
      <c r="D482" s="443"/>
      <c r="E482" s="443"/>
      <c r="F482" s="443"/>
    </row>
    <row r="483" spans="1:9">
      <c r="A483" s="443"/>
      <c r="B483" s="443"/>
      <c r="C483" s="443"/>
      <c r="D483" s="443"/>
      <c r="E483" s="443"/>
      <c r="F483" s="443"/>
    </row>
    <row r="484" spans="1:9">
      <c r="A484" s="443"/>
      <c r="B484" s="443"/>
      <c r="C484" s="443"/>
      <c r="D484" s="443"/>
      <c r="E484" s="443"/>
      <c r="F484" s="443"/>
    </row>
    <row r="485" spans="1:9">
      <c r="A485" s="443"/>
      <c r="B485" s="443"/>
      <c r="C485" s="443"/>
      <c r="D485" s="443"/>
      <c r="E485" s="443"/>
      <c r="F485" s="443"/>
    </row>
    <row r="486" spans="1:9">
      <c r="A486" s="443"/>
      <c r="B486" s="443"/>
      <c r="C486" s="443"/>
      <c r="D486" s="443"/>
      <c r="E486" s="443"/>
      <c r="F486" s="443"/>
    </row>
    <row r="488" spans="1:9" ht="15.6" customHeight="1">
      <c r="A488" s="447" t="s">
        <v>1385</v>
      </c>
      <c r="B488" s="447"/>
      <c r="C488" s="447"/>
      <c r="D488" s="447"/>
      <c r="E488" s="447"/>
      <c r="F488" s="447"/>
      <c r="G488" s="447"/>
      <c r="H488" s="447"/>
      <c r="I488" s="447"/>
    </row>
    <row r="489" spans="1:9">
      <c r="A489" s="447"/>
      <c r="B489" s="447"/>
      <c r="C489" s="447"/>
      <c r="D489" s="447"/>
      <c r="E489" s="447"/>
      <c r="F489" s="447"/>
      <c r="G489" s="447"/>
      <c r="H489" s="447"/>
      <c r="I489" s="447"/>
    </row>
    <row r="490" spans="1:9">
      <c r="A490" s="447"/>
      <c r="B490" s="447"/>
      <c r="C490" s="447"/>
      <c r="D490" s="447"/>
      <c r="E490" s="447"/>
      <c r="F490" s="447"/>
      <c r="G490" s="447"/>
      <c r="H490" s="447"/>
      <c r="I490" s="447"/>
    </row>
    <row r="491" spans="1:9">
      <c r="A491" s="447"/>
      <c r="B491" s="447"/>
      <c r="C491" s="447"/>
      <c r="D491" s="447"/>
      <c r="E491" s="447"/>
      <c r="F491" s="447"/>
      <c r="G491" s="447"/>
      <c r="H491" s="447"/>
      <c r="I491" s="447"/>
    </row>
    <row r="492" spans="1:9">
      <c r="A492" s="447"/>
      <c r="B492" s="447"/>
      <c r="C492" s="447"/>
      <c r="D492" s="447"/>
      <c r="E492" s="447"/>
      <c r="F492" s="447"/>
      <c r="G492" s="447"/>
      <c r="H492" s="447"/>
      <c r="I492" s="447"/>
    </row>
    <row r="493" spans="1:9">
      <c r="A493" s="447"/>
      <c r="B493" s="447"/>
      <c r="C493" s="447"/>
      <c r="D493" s="447"/>
      <c r="E493" s="447"/>
      <c r="F493" s="447"/>
      <c r="G493" s="447"/>
      <c r="H493" s="447"/>
      <c r="I493" s="447"/>
    </row>
    <row r="494" spans="1:9">
      <c r="A494" s="447"/>
      <c r="B494" s="447"/>
      <c r="C494" s="447"/>
      <c r="D494" s="447"/>
      <c r="E494" s="447"/>
      <c r="F494" s="447"/>
      <c r="G494" s="447"/>
      <c r="H494" s="447"/>
      <c r="I494" s="447"/>
    </row>
    <row r="495" spans="1:9">
      <c r="A495" s="447"/>
      <c r="B495" s="447"/>
      <c r="C495" s="447"/>
      <c r="D495" s="447"/>
      <c r="E495" s="447"/>
      <c r="F495" s="447"/>
      <c r="G495" s="447"/>
      <c r="H495" s="447"/>
      <c r="I495" s="447"/>
    </row>
    <row r="496" spans="1:9">
      <c r="A496" s="447"/>
      <c r="B496" s="447"/>
      <c r="C496" s="447"/>
      <c r="D496" s="447"/>
      <c r="E496" s="447"/>
      <c r="F496" s="447"/>
      <c r="G496" s="447"/>
      <c r="H496" s="447"/>
      <c r="I496" s="447"/>
    </row>
    <row r="497" spans="1:9">
      <c r="A497" s="447"/>
      <c r="B497" s="447"/>
      <c r="C497" s="447"/>
      <c r="D497" s="447"/>
      <c r="E497" s="447"/>
      <c r="F497" s="447"/>
      <c r="G497" s="447"/>
      <c r="H497" s="447"/>
      <c r="I497" s="447"/>
    </row>
    <row r="499" spans="1:9">
      <c r="A499" t="s">
        <v>1348</v>
      </c>
      <c r="B499">
        <v>8000</v>
      </c>
      <c r="C499"/>
    </row>
    <row r="500" spans="1:9">
      <c r="A500" t="s">
        <v>48</v>
      </c>
      <c r="B500">
        <v>1</v>
      </c>
      <c r="C500"/>
    </row>
    <row r="501" spans="1:9">
      <c r="A501" t="s">
        <v>983</v>
      </c>
      <c r="B501">
        <v>7800</v>
      </c>
      <c r="C501"/>
    </row>
    <row r="502" spans="1:9">
      <c r="A502" t="s">
        <v>730</v>
      </c>
      <c r="B502" s="2">
        <v>0.2</v>
      </c>
      <c r="C502"/>
    </row>
    <row r="503" spans="1:9">
      <c r="A503" t="s">
        <v>1047</v>
      </c>
      <c r="B503" s="2">
        <v>7.0000000000000007E-2</v>
      </c>
      <c r="C503"/>
    </row>
    <row r="504" spans="1:9">
      <c r="A504"/>
      <c r="B504"/>
      <c r="C504"/>
    </row>
    <row r="505" spans="1:9">
      <c r="A505" t="s">
        <v>1386</v>
      </c>
      <c r="B505"/>
      <c r="C505" s="234">
        <f>EXP(B503)-1</f>
        <v>7.2508181254216542E-2</v>
      </c>
    </row>
    <row r="506" spans="1:9">
      <c r="A506"/>
      <c r="B506"/>
      <c r="C506"/>
    </row>
    <row r="507" spans="1:9">
      <c r="A507" t="s">
        <v>1387</v>
      </c>
      <c r="B507"/>
      <c r="C507"/>
    </row>
    <row r="508" spans="1:9">
      <c r="A508" t="s">
        <v>1388</v>
      </c>
      <c r="B508"/>
      <c r="C508"/>
    </row>
    <row r="509" spans="1:9">
      <c r="A509"/>
      <c r="B509"/>
      <c r="C509"/>
    </row>
    <row r="510" spans="1:9">
      <c r="A510" t="s">
        <v>1365</v>
      </c>
      <c r="B510"/>
      <c r="C510"/>
    </row>
    <row r="511" spans="1:9">
      <c r="A511" t="s">
        <v>1366</v>
      </c>
      <c r="B511"/>
      <c r="C511"/>
    </row>
    <row r="512" spans="1:9">
      <c r="A512"/>
      <c r="B512"/>
      <c r="C512"/>
    </row>
    <row r="513" spans="1:8">
      <c r="A513" t="s">
        <v>1389</v>
      </c>
      <c r="B513"/>
      <c r="C513"/>
    </row>
    <row r="514" spans="1:8">
      <c r="A514" t="s">
        <v>1390</v>
      </c>
      <c r="B514"/>
      <c r="C514"/>
    </row>
    <row r="515" spans="1:8">
      <c r="A515"/>
      <c r="B515"/>
      <c r="C515"/>
    </row>
    <row r="516" spans="1:8">
      <c r="A516" t="s">
        <v>521</v>
      </c>
      <c r="B516"/>
      <c r="C516"/>
    </row>
    <row r="517" spans="1:8" ht="15.6" customHeight="1">
      <c r="A517" s="443" t="s">
        <v>1391</v>
      </c>
      <c r="B517" s="443"/>
      <c r="C517" s="443"/>
      <c r="D517" s="443"/>
      <c r="E517" s="443"/>
      <c r="F517" s="443"/>
      <c r="G517" s="443"/>
      <c r="H517" s="443"/>
    </row>
    <row r="518" spans="1:8">
      <c r="A518" s="443"/>
      <c r="B518" s="443"/>
      <c r="C518" s="443"/>
      <c r="D518" s="443"/>
      <c r="E518" s="443"/>
      <c r="F518" s="443"/>
      <c r="G518" s="443"/>
      <c r="H518" s="443"/>
    </row>
    <row r="519" spans="1:8">
      <c r="A519" s="443"/>
      <c r="B519" s="443"/>
      <c r="C519" s="443"/>
      <c r="D519" s="443"/>
      <c r="E519" s="443"/>
      <c r="F519" s="443"/>
      <c r="G519" s="443"/>
      <c r="H519" s="443"/>
    </row>
    <row r="520" spans="1:8">
      <c r="A520" s="443"/>
      <c r="B520" s="443"/>
      <c r="C520" s="443"/>
      <c r="D520" s="443"/>
      <c r="E520" s="443"/>
      <c r="F520" s="443"/>
      <c r="G520" s="443"/>
      <c r="H520" s="443"/>
    </row>
    <row r="521" spans="1:8">
      <c r="A521" s="443"/>
      <c r="B521" s="443"/>
      <c r="C521" s="443"/>
      <c r="D521" s="443"/>
      <c r="E521" s="443"/>
      <c r="F521" s="443"/>
      <c r="G521" s="443"/>
      <c r="H521" s="443"/>
    </row>
    <row r="522" spans="1:8">
      <c r="A522" s="443"/>
      <c r="B522" s="443"/>
      <c r="C522" s="443"/>
      <c r="D522" s="443"/>
      <c r="E522" s="443"/>
      <c r="F522" s="443"/>
      <c r="G522" s="443"/>
      <c r="H522" s="443"/>
    </row>
    <row r="523" spans="1:8">
      <c r="A523" s="443"/>
      <c r="B523" s="443"/>
      <c r="C523" s="443"/>
      <c r="D523" s="443"/>
      <c r="E523" s="443"/>
      <c r="F523" s="443"/>
      <c r="G523" s="443"/>
      <c r="H523" s="443"/>
    </row>
    <row r="524" spans="1:8">
      <c r="A524" s="443"/>
      <c r="B524" s="443"/>
      <c r="C524" s="443"/>
      <c r="D524" s="443"/>
      <c r="E524" s="443"/>
      <c r="F524" s="443"/>
      <c r="G524" s="443"/>
      <c r="H524" s="443"/>
    </row>
    <row r="526" spans="1:8">
      <c r="A526" t="s">
        <v>1348</v>
      </c>
      <c r="B526">
        <v>650</v>
      </c>
      <c r="D526" s="253"/>
    </row>
    <row r="527" spans="1:8">
      <c r="A527" t="s">
        <v>983</v>
      </c>
      <c r="B527">
        <v>550</v>
      </c>
    </row>
    <row r="528" spans="1:8">
      <c r="A528" t="s">
        <v>290</v>
      </c>
      <c r="B528">
        <v>4</v>
      </c>
    </row>
    <row r="529" spans="1:6">
      <c r="A529" t="s">
        <v>940</v>
      </c>
      <c r="B529" s="2">
        <v>7.0000000000000007E-2</v>
      </c>
    </row>
    <row r="530" spans="1:6">
      <c r="A530" t="s">
        <v>730</v>
      </c>
      <c r="B530">
        <v>0.2</v>
      </c>
    </row>
    <row r="531" spans="1:6">
      <c r="A531"/>
      <c r="B531"/>
    </row>
    <row r="532" spans="1:6">
      <c r="A532" t="s">
        <v>1392</v>
      </c>
      <c r="B532">
        <f>B528/12</f>
        <v>0.33333333333333331</v>
      </c>
    </row>
    <row r="533" spans="1:6">
      <c r="A533"/>
      <c r="B533"/>
    </row>
    <row r="534" spans="1:6">
      <c r="A534" t="s">
        <v>323</v>
      </c>
      <c r="B534">
        <f>((LN(B526/B527)+(B529+B530^2/2)*B532)/(B530*B532^0.5))</f>
        <v>1.7065384323779151</v>
      </c>
    </row>
    <row r="535" spans="1:6">
      <c r="A535" t="s">
        <v>324</v>
      </c>
      <c r="B535">
        <f>(LN(B526/B527)+(B529-B530^2/2)*B532)/(B530*B532^0.5)</f>
        <v>1.5910683785399899</v>
      </c>
    </row>
    <row r="536" spans="1:6">
      <c r="A536"/>
      <c r="B536"/>
    </row>
    <row r="537" spans="1:6">
      <c r="A537" t="s">
        <v>1393</v>
      </c>
      <c r="B537">
        <f>_xlfn.NORM.S.DIST(B534,1)</f>
        <v>0.95604606146031368</v>
      </c>
    </row>
    <row r="538" spans="1:6">
      <c r="A538" t="s">
        <v>1394</v>
      </c>
      <c r="B538">
        <f>_xlfn.NORM.S.DIST(B535,1)</f>
        <v>0.94420290599901857</v>
      </c>
    </row>
    <row r="539" spans="1:6">
      <c r="A539"/>
      <c r="B539"/>
    </row>
    <row r="540" spans="1:6">
      <c r="A540" t="s">
        <v>919</v>
      </c>
      <c r="B540">
        <f>B526*B537-B527*EXP(-B529*B532)*B538</f>
        <v>114.09533726541866</v>
      </c>
    </row>
    <row r="541" spans="1:6" ht="15.6" customHeight="1">
      <c r="A541" s="443" t="s">
        <v>1395</v>
      </c>
      <c r="B541" s="443"/>
      <c r="C541" s="443"/>
      <c r="D541" s="443"/>
      <c r="E541" s="443"/>
      <c r="F541" s="443"/>
    </row>
    <row r="542" spans="1:6">
      <c r="A542" s="443"/>
      <c r="B542" s="443"/>
      <c r="C542" s="443"/>
      <c r="D542" s="443"/>
      <c r="E542" s="443"/>
      <c r="F542" s="443"/>
    </row>
    <row r="543" spans="1:6">
      <c r="A543" s="443"/>
      <c r="B543" s="443"/>
      <c r="C543" s="443"/>
      <c r="D543" s="443"/>
      <c r="E543" s="443"/>
      <c r="F543" s="443"/>
    </row>
    <row r="544" spans="1:6">
      <c r="A544" s="443"/>
      <c r="B544" s="443"/>
      <c r="C544" s="443"/>
      <c r="D544" s="443"/>
      <c r="E544" s="443"/>
      <c r="F544" s="443"/>
    </row>
    <row r="545" spans="1:7">
      <c r="A545" s="443"/>
      <c r="B545" s="443"/>
      <c r="C545" s="443"/>
      <c r="D545" s="443"/>
      <c r="E545" s="443"/>
      <c r="F545" s="443"/>
    </row>
    <row r="546" spans="1:7">
      <c r="A546" s="443"/>
      <c r="B546" s="443"/>
      <c r="C546" s="443"/>
      <c r="D546" s="443"/>
      <c r="E546" s="443"/>
      <c r="F546" s="443"/>
    </row>
    <row r="547" spans="1:7">
      <c r="A547" s="443"/>
      <c r="B547" s="443"/>
      <c r="C547" s="443"/>
      <c r="D547" s="443"/>
      <c r="E547" s="443"/>
      <c r="F547" s="443"/>
    </row>
    <row r="549" spans="1:7" ht="15.6" customHeight="1">
      <c r="A549" s="443" t="s">
        <v>1396</v>
      </c>
      <c r="B549" s="443"/>
      <c r="C549" s="443"/>
      <c r="D549" s="443"/>
      <c r="E549" s="443"/>
      <c r="F549" s="443"/>
      <c r="G549" s="443"/>
    </row>
    <row r="550" spans="1:7">
      <c r="A550" s="443"/>
      <c r="B550" s="443"/>
      <c r="C550" s="443"/>
      <c r="D550" s="443"/>
      <c r="E550" s="443"/>
      <c r="F550" s="443"/>
      <c r="G550" s="443"/>
    </row>
    <row r="551" spans="1:7">
      <c r="A551" s="443"/>
      <c r="B551" s="443"/>
      <c r="C551" s="443"/>
      <c r="D551" s="443"/>
      <c r="E551" s="443"/>
      <c r="F551" s="443"/>
      <c r="G551" s="443"/>
    </row>
    <row r="552" spans="1:7">
      <c r="A552" s="443"/>
      <c r="B552" s="443"/>
      <c r="C552" s="443"/>
      <c r="D552" s="443"/>
      <c r="E552" s="443"/>
      <c r="F552" s="443"/>
      <c r="G552" s="443"/>
    </row>
    <row r="553" spans="1:7">
      <c r="A553" s="443"/>
      <c r="B553" s="443"/>
      <c r="C553" s="443"/>
      <c r="D553" s="443"/>
      <c r="E553" s="443"/>
      <c r="F553" s="443"/>
      <c r="G553" s="443"/>
    </row>
    <row r="554" spans="1:7">
      <c r="A554" s="443"/>
      <c r="B554" s="443"/>
      <c r="C554" s="443"/>
      <c r="D554" s="443"/>
      <c r="E554" s="443"/>
      <c r="F554" s="443"/>
      <c r="G554" s="443"/>
    </row>
    <row r="555" spans="1:7">
      <c r="A555" s="443"/>
      <c r="B555" s="443"/>
      <c r="C555" s="443"/>
      <c r="D555" s="443"/>
      <c r="E555" s="443"/>
      <c r="F555" s="443"/>
      <c r="G555" s="443"/>
    </row>
    <row r="556" spans="1:7">
      <c r="A556" s="443"/>
      <c r="B556" s="443"/>
      <c r="C556" s="443"/>
      <c r="D556" s="443"/>
      <c r="E556" s="443"/>
      <c r="F556" s="443"/>
      <c r="G556" s="443"/>
    </row>
    <row r="558" spans="1:7" ht="15.6" customHeight="1">
      <c r="A558" s="443" t="s">
        <v>1397</v>
      </c>
      <c r="B558" s="443"/>
      <c r="C558" s="443"/>
      <c r="D558" s="443"/>
      <c r="E558" s="443"/>
      <c r="F558" s="443"/>
      <c r="G558" s="443"/>
    </row>
    <row r="559" spans="1:7">
      <c r="A559" s="443"/>
      <c r="B559" s="443"/>
      <c r="C559" s="443"/>
      <c r="D559" s="443"/>
      <c r="E559" s="443"/>
      <c r="F559" s="443"/>
      <c r="G559" s="443"/>
    </row>
    <row r="560" spans="1:7">
      <c r="A560" s="443"/>
      <c r="B560" s="443"/>
      <c r="C560" s="443"/>
      <c r="D560" s="443"/>
      <c r="E560" s="443"/>
      <c r="F560" s="443"/>
      <c r="G560" s="443"/>
    </row>
    <row r="561" spans="1:7">
      <c r="A561" s="443"/>
      <c r="B561" s="443"/>
      <c r="C561" s="443"/>
      <c r="D561" s="443"/>
      <c r="E561" s="443"/>
      <c r="F561" s="443"/>
      <c r="G561" s="443"/>
    </row>
    <row r="562" spans="1:7">
      <c r="A562" s="443"/>
      <c r="B562" s="443"/>
      <c r="C562" s="443"/>
      <c r="D562" s="443"/>
      <c r="E562" s="443"/>
      <c r="F562" s="443"/>
      <c r="G562" s="443"/>
    </row>
    <row r="563" spans="1:7">
      <c r="A563" s="443"/>
      <c r="B563" s="443"/>
      <c r="C563" s="443"/>
      <c r="D563" s="443"/>
      <c r="E563" s="443"/>
      <c r="F563" s="443"/>
      <c r="G563" s="443"/>
    </row>
    <row r="565" spans="1:7" ht="15.6" customHeight="1">
      <c r="A565" s="443" t="s">
        <v>1398</v>
      </c>
      <c r="B565" s="443"/>
      <c r="C565" s="443"/>
      <c r="D565" s="443"/>
      <c r="E565" s="443"/>
      <c r="F565" s="443"/>
      <c r="G565" s="443"/>
    </row>
    <row r="566" spans="1:7">
      <c r="A566" s="443"/>
      <c r="B566" s="443"/>
      <c r="C566" s="443"/>
      <c r="D566" s="443"/>
      <c r="E566" s="443"/>
      <c r="F566" s="443"/>
      <c r="G566" s="443"/>
    </row>
    <row r="567" spans="1:7">
      <c r="A567" s="443"/>
      <c r="B567" s="443"/>
      <c r="C567" s="443"/>
      <c r="D567" s="443"/>
      <c r="E567" s="443"/>
      <c r="F567" s="443"/>
      <c r="G567" s="443"/>
    </row>
    <row r="568" spans="1:7">
      <c r="A568" s="443"/>
      <c r="B568" s="443"/>
      <c r="C568" s="443"/>
      <c r="D568" s="443"/>
      <c r="E568" s="443"/>
      <c r="F568" s="443"/>
      <c r="G568" s="443"/>
    </row>
    <row r="570" spans="1:7">
      <c r="A570" t="s">
        <v>983</v>
      </c>
      <c r="B570"/>
      <c r="C570">
        <v>143</v>
      </c>
    </row>
    <row r="571" spans="1:7">
      <c r="A571" t="s">
        <v>919</v>
      </c>
      <c r="B571"/>
      <c r="C571">
        <v>4</v>
      </c>
    </row>
    <row r="572" spans="1:7">
      <c r="A572" t="s">
        <v>1267</v>
      </c>
      <c r="B572"/>
      <c r="C572">
        <v>150</v>
      </c>
    </row>
    <row r="573" spans="1:7">
      <c r="A573" t="s">
        <v>1268</v>
      </c>
      <c r="B573"/>
      <c r="C573">
        <f>C571</f>
        <v>4</v>
      </c>
    </row>
    <row r="574" spans="1:7">
      <c r="A574" t="s">
        <v>1270</v>
      </c>
      <c r="B574"/>
      <c r="C574">
        <f>MAX(0,C572-C570)</f>
        <v>7</v>
      </c>
    </row>
    <row r="575" spans="1:7">
      <c r="A575" t="s">
        <v>1272</v>
      </c>
      <c r="B575"/>
      <c r="C575" s="4">
        <f>C574-C573</f>
        <v>3</v>
      </c>
    </row>
    <row r="577" spans="1:7" ht="15.6" customHeight="1">
      <c r="A577" s="443" t="s">
        <v>1399</v>
      </c>
      <c r="B577" s="443"/>
      <c r="C577" s="443"/>
      <c r="D577" s="443"/>
      <c r="E577" s="443"/>
      <c r="F577" s="443"/>
      <c r="G577" s="443"/>
    </row>
    <row r="578" spans="1:7">
      <c r="A578" s="443"/>
      <c r="B578" s="443"/>
      <c r="C578" s="443"/>
      <c r="D578" s="443"/>
      <c r="E578" s="443"/>
      <c r="F578" s="443"/>
      <c r="G578" s="443"/>
    </row>
    <row r="579" spans="1:7">
      <c r="A579" s="443"/>
      <c r="B579" s="443"/>
      <c r="C579" s="443"/>
      <c r="D579" s="443"/>
      <c r="E579" s="443"/>
      <c r="F579" s="443"/>
      <c r="G579" s="443"/>
    </row>
    <row r="580" spans="1:7">
      <c r="A580" s="443"/>
      <c r="B580" s="443"/>
      <c r="C580" s="443"/>
      <c r="D580" s="443"/>
      <c r="E580" s="443"/>
      <c r="F580" s="443"/>
      <c r="G580" s="443"/>
    </row>
    <row r="581" spans="1:7">
      <c r="A581" s="443"/>
      <c r="B581" s="443"/>
      <c r="C581" s="443"/>
      <c r="D581" s="443"/>
      <c r="E581" s="443"/>
      <c r="F581" s="443"/>
      <c r="G581" s="443"/>
    </row>
    <row r="583" spans="1:7">
      <c r="A583" t="s">
        <v>983</v>
      </c>
      <c r="B583"/>
      <c r="C583">
        <v>78</v>
      </c>
    </row>
    <row r="584" spans="1:7">
      <c r="A584" t="s">
        <v>919</v>
      </c>
      <c r="B584"/>
      <c r="C584">
        <v>10</v>
      </c>
    </row>
    <row r="585" spans="1:7">
      <c r="A585" t="s">
        <v>1267</v>
      </c>
      <c r="B585"/>
      <c r="C585">
        <v>62</v>
      </c>
    </row>
    <row r="586" spans="1:7">
      <c r="A586" t="s">
        <v>1268</v>
      </c>
      <c r="B586"/>
      <c r="C586">
        <f>C584</f>
        <v>10</v>
      </c>
    </row>
    <row r="587" spans="1:7">
      <c r="A587" t="s">
        <v>1270</v>
      </c>
      <c r="B587"/>
      <c r="C587">
        <f>MAX(0,C585-C583)</f>
        <v>0</v>
      </c>
    </row>
    <row r="588" spans="1:7">
      <c r="A588" t="s">
        <v>1272</v>
      </c>
      <c r="B588"/>
      <c r="C588" s="4">
        <f>C587-C586</f>
        <v>-10</v>
      </c>
    </row>
    <row r="590" spans="1:7" ht="15.6" customHeight="1">
      <c r="A590" s="443" t="s">
        <v>1400</v>
      </c>
      <c r="B590" s="443"/>
      <c r="C590" s="443"/>
      <c r="D590" s="443"/>
      <c r="E590" s="443"/>
      <c r="F590" s="443"/>
      <c r="G590" s="443"/>
    </row>
    <row r="591" spans="1:7">
      <c r="A591" s="443"/>
      <c r="B591" s="443"/>
      <c r="C591" s="443"/>
      <c r="D591" s="443"/>
      <c r="E591" s="443"/>
      <c r="F591" s="443"/>
      <c r="G591" s="443"/>
    </row>
    <row r="592" spans="1:7">
      <c r="A592" s="443"/>
      <c r="B592" s="443"/>
      <c r="C592" s="443"/>
      <c r="D592" s="443"/>
      <c r="E592" s="443"/>
      <c r="F592" s="443"/>
      <c r="G592" s="443"/>
    </row>
    <row r="593" spans="1:7">
      <c r="A593" s="443"/>
      <c r="B593" s="443"/>
      <c r="C593" s="443"/>
      <c r="D593" s="443"/>
      <c r="E593" s="443"/>
      <c r="F593" s="443"/>
      <c r="G593" s="443"/>
    </row>
    <row r="594" spans="1:7">
      <c r="A594" s="443"/>
      <c r="B594" s="443"/>
      <c r="C594" s="443"/>
      <c r="D594" s="443"/>
      <c r="E594" s="443"/>
      <c r="F594" s="443"/>
      <c r="G594" s="443"/>
    </row>
    <row r="595" spans="1:7">
      <c r="A595" s="443"/>
      <c r="B595" s="443"/>
      <c r="C595" s="443"/>
      <c r="D595" s="443"/>
      <c r="E595" s="443"/>
      <c r="F595" s="443"/>
      <c r="G595" s="443"/>
    </row>
    <row r="597" spans="1:7">
      <c r="A597" t="s">
        <v>983</v>
      </c>
      <c r="B597"/>
      <c r="C597">
        <v>127</v>
      </c>
    </row>
    <row r="598" spans="1:7">
      <c r="A598" t="s">
        <v>521</v>
      </c>
      <c r="B598"/>
      <c r="C598">
        <v>28</v>
      </c>
    </row>
    <row r="599" spans="1:7">
      <c r="A599" t="s">
        <v>1267</v>
      </c>
      <c r="B599"/>
      <c r="C599">
        <v>82</v>
      </c>
    </row>
    <row r="600" spans="1:7">
      <c r="A600" t="s">
        <v>1288</v>
      </c>
      <c r="B600"/>
      <c r="C600">
        <f>C598</f>
        <v>28</v>
      </c>
    </row>
    <row r="601" spans="1:7">
      <c r="A601" t="s">
        <v>1289</v>
      </c>
      <c r="B601"/>
      <c r="C601">
        <f>MAX(0,C597-C599)</f>
        <v>45</v>
      </c>
    </row>
    <row r="602" spans="1:7">
      <c r="A602" t="s">
        <v>1290</v>
      </c>
      <c r="B602"/>
      <c r="C602" s="4">
        <f>C601-C600</f>
        <v>17</v>
      </c>
    </row>
    <row r="604" spans="1:7" ht="15.6" customHeight="1">
      <c r="A604" s="443" t="s">
        <v>1401</v>
      </c>
      <c r="B604" s="443"/>
      <c r="C604" s="443"/>
      <c r="D604" s="443"/>
      <c r="E604" s="443"/>
      <c r="F604" s="443"/>
      <c r="G604" s="443"/>
    </row>
    <row r="605" spans="1:7">
      <c r="A605" s="443"/>
      <c r="B605" s="443"/>
      <c r="C605" s="443"/>
      <c r="D605" s="443"/>
      <c r="E605" s="443"/>
      <c r="F605" s="443"/>
      <c r="G605" s="443"/>
    </row>
    <row r="606" spans="1:7">
      <c r="A606" s="443"/>
      <c r="B606" s="443"/>
      <c r="C606" s="443"/>
      <c r="D606" s="443"/>
      <c r="E606" s="443"/>
      <c r="F606" s="443"/>
      <c r="G606" s="443"/>
    </row>
    <row r="607" spans="1:7">
      <c r="A607" s="443"/>
      <c r="B607" s="443"/>
      <c r="C607" s="443"/>
      <c r="D607" s="443"/>
      <c r="E607" s="443"/>
      <c r="F607" s="443"/>
      <c r="G607" s="443"/>
    </row>
    <row r="608" spans="1:7">
      <c r="A608" s="443"/>
      <c r="B608" s="443"/>
      <c r="C608" s="443"/>
      <c r="D608" s="443"/>
      <c r="E608" s="443"/>
      <c r="F608" s="443"/>
      <c r="G608" s="443"/>
    </row>
    <row r="609" spans="1:7">
      <c r="A609" s="443"/>
      <c r="B609" s="443"/>
      <c r="C609" s="443"/>
      <c r="D609" s="443"/>
      <c r="E609" s="443"/>
      <c r="F609" s="443"/>
      <c r="G609" s="443"/>
    </row>
    <row r="610" spans="1:7">
      <c r="A610" s="443"/>
      <c r="B610" s="443"/>
      <c r="C610" s="443"/>
      <c r="D610" s="443"/>
      <c r="E610" s="443"/>
      <c r="F610" s="443"/>
      <c r="G610" s="443"/>
    </row>
    <row r="612" spans="1:7">
      <c r="A612" t="s">
        <v>983</v>
      </c>
      <c r="B612"/>
      <c r="C612">
        <v>164</v>
      </c>
    </row>
    <row r="613" spans="1:7">
      <c r="A613" t="s">
        <v>521</v>
      </c>
      <c r="B613"/>
      <c r="C613">
        <v>15</v>
      </c>
    </row>
    <row r="614" spans="1:7">
      <c r="A614" t="s">
        <v>1267</v>
      </c>
      <c r="B614"/>
      <c r="C614">
        <v>176</v>
      </c>
    </row>
    <row r="615" spans="1:7">
      <c r="A615" t="s">
        <v>1288</v>
      </c>
      <c r="B615"/>
      <c r="C615">
        <f>C613</f>
        <v>15</v>
      </c>
    </row>
    <row r="616" spans="1:7">
      <c r="A616" t="s">
        <v>1289</v>
      </c>
      <c r="B616"/>
      <c r="C616">
        <f>MAX(0,C612-C614)</f>
        <v>0</v>
      </c>
    </row>
    <row r="617" spans="1:7">
      <c r="A617" t="s">
        <v>1342</v>
      </c>
      <c r="B617"/>
      <c r="C617" s="4">
        <f>C615-C616</f>
        <v>15</v>
      </c>
    </row>
    <row r="619" spans="1:7" ht="15.6" customHeight="1">
      <c r="A619" s="443" t="s">
        <v>1402</v>
      </c>
      <c r="B619" s="443"/>
      <c r="C619" s="443"/>
      <c r="D619" s="443"/>
      <c r="E619" s="443"/>
      <c r="F619" s="443"/>
      <c r="G619" s="443"/>
    </row>
    <row r="620" spans="1:7">
      <c r="A620" s="443"/>
      <c r="B620" s="443"/>
      <c r="C620" s="443"/>
      <c r="D620" s="443"/>
      <c r="E620" s="443"/>
      <c r="F620" s="443"/>
      <c r="G620" s="443"/>
    </row>
    <row r="621" spans="1:7" ht="19.149999999999999" customHeight="1">
      <c r="A621" s="443"/>
      <c r="B621" s="443"/>
      <c r="C621" s="443"/>
      <c r="D621" s="443"/>
      <c r="E621" s="443"/>
      <c r="F621" s="443"/>
      <c r="G621" s="443"/>
    </row>
    <row r="622" spans="1:7" ht="18" customHeight="1">
      <c r="A622" s="443"/>
      <c r="B622" s="443"/>
      <c r="C622" s="443"/>
      <c r="D622" s="443"/>
      <c r="E622" s="443"/>
      <c r="F622" s="443"/>
      <c r="G622" s="443"/>
    </row>
    <row r="623" spans="1:7">
      <c r="A623" s="443"/>
      <c r="B623" s="443"/>
      <c r="C623" s="443"/>
      <c r="D623" s="443"/>
      <c r="E623" s="443"/>
      <c r="F623" s="443"/>
      <c r="G623" s="443"/>
    </row>
    <row r="624" spans="1:7">
      <c r="A624" s="443"/>
      <c r="B624" s="443"/>
      <c r="C624" s="443"/>
      <c r="D624" s="443"/>
      <c r="E624" s="443"/>
      <c r="F624" s="443"/>
      <c r="G624" s="443"/>
    </row>
    <row r="625" spans="1:7">
      <c r="A625" s="443"/>
      <c r="B625" s="443"/>
      <c r="C625" s="443"/>
      <c r="D625" s="443"/>
      <c r="E625" s="443"/>
      <c r="F625" s="443"/>
      <c r="G625" s="443"/>
    </row>
    <row r="626" spans="1:7">
      <c r="A626" s="443"/>
      <c r="B626" s="443"/>
      <c r="C626" s="443"/>
      <c r="D626" s="443"/>
      <c r="E626" s="443"/>
      <c r="F626" s="443"/>
      <c r="G626" s="443"/>
    </row>
    <row r="628" spans="1:7">
      <c r="A628" t="s">
        <v>983</v>
      </c>
      <c r="B628"/>
      <c r="C628">
        <v>218</v>
      </c>
      <c r="D628"/>
      <c r="E628"/>
      <c r="F628"/>
    </row>
    <row r="629" spans="1:7">
      <c r="A629" t="s">
        <v>919</v>
      </c>
      <c r="B629"/>
      <c r="C629">
        <v>7</v>
      </c>
      <c r="D629"/>
      <c r="E629"/>
      <c r="F629"/>
    </row>
    <row r="630" spans="1:7">
      <c r="A630" t="s">
        <v>939</v>
      </c>
      <c r="B630"/>
      <c r="C630">
        <v>3</v>
      </c>
      <c r="D630"/>
      <c r="E630"/>
      <c r="F630"/>
    </row>
    <row r="631" spans="1:7">
      <c r="A631" t="s">
        <v>1082</v>
      </c>
      <c r="B631"/>
      <c r="C631" s="2">
        <v>0.06</v>
      </c>
      <c r="D631"/>
      <c r="E631"/>
      <c r="F631"/>
    </row>
    <row r="632" spans="1:7">
      <c r="A632" t="s">
        <v>1267</v>
      </c>
      <c r="B632"/>
      <c r="C632">
        <v>197</v>
      </c>
      <c r="D632">
        <v>230</v>
      </c>
      <c r="E632">
        <v>220</v>
      </c>
      <c r="F632">
        <v>218</v>
      </c>
    </row>
    <row r="633" spans="1:7">
      <c r="A633" t="s">
        <v>1268</v>
      </c>
      <c r="B633"/>
      <c r="C633">
        <f>C629*(1+C631*C630/12)</f>
        <v>7.1049999999999995</v>
      </c>
      <c r="D633"/>
      <c r="E633"/>
      <c r="F633"/>
    </row>
    <row r="634" spans="1:7">
      <c r="A634" t="s">
        <v>1270</v>
      </c>
      <c r="B634"/>
      <c r="C634">
        <f>MAX(0,C632-$C628)</f>
        <v>0</v>
      </c>
      <c r="D634">
        <f>MAX(0,D632-$C628)</f>
        <v>12</v>
      </c>
      <c r="E634">
        <f>MAX(0,E632-$C628)</f>
        <v>2</v>
      </c>
      <c r="F634">
        <f>MAX(0,F632-$C628)</f>
        <v>0</v>
      </c>
    </row>
    <row r="635" spans="1:7">
      <c r="A635" t="s">
        <v>1272</v>
      </c>
      <c r="B635"/>
      <c r="C635" s="254">
        <f>C634-$C633</f>
        <v>-7.1049999999999995</v>
      </c>
      <c r="D635" s="254">
        <f>D634-$C633</f>
        <v>4.8950000000000005</v>
      </c>
      <c r="E635" s="254">
        <f>E634-$C633</f>
        <v>-5.1049999999999995</v>
      </c>
      <c r="F635" s="254">
        <f>F634-$C633</f>
        <v>-7.1049999999999995</v>
      </c>
    </row>
    <row r="637" spans="1:7" ht="15.6" customHeight="1">
      <c r="A637" s="443" t="s">
        <v>1403</v>
      </c>
      <c r="B637" s="443"/>
      <c r="C637" s="443"/>
      <c r="D637" s="443"/>
      <c r="E637" s="443"/>
      <c r="F637" s="443"/>
      <c r="G637" s="443"/>
    </row>
    <row r="638" spans="1:7">
      <c r="A638" s="443"/>
      <c r="B638" s="443"/>
      <c r="C638" s="443"/>
      <c r="D638" s="443"/>
      <c r="E638" s="443"/>
      <c r="F638" s="443"/>
      <c r="G638" s="443"/>
    </row>
    <row r="639" spans="1:7">
      <c r="A639" s="443"/>
      <c r="B639" s="443"/>
      <c r="C639" s="443"/>
      <c r="D639" s="443"/>
      <c r="E639" s="443"/>
      <c r="F639" s="443"/>
      <c r="G639" s="443"/>
    </row>
    <row r="640" spans="1:7">
      <c r="A640" s="443"/>
      <c r="B640" s="443"/>
      <c r="C640" s="443"/>
      <c r="D640" s="443"/>
      <c r="E640" s="443"/>
      <c r="F640" s="443"/>
      <c r="G640" s="443"/>
    </row>
    <row r="641" spans="1:8">
      <c r="A641" s="443"/>
      <c r="B641" s="443"/>
      <c r="C641" s="443"/>
      <c r="D641" s="443"/>
      <c r="E641" s="443"/>
      <c r="F641" s="443"/>
      <c r="G641" s="443"/>
    </row>
    <row r="642" spans="1:8">
      <c r="A642" s="443"/>
      <c r="B642" s="443"/>
      <c r="C642" s="443"/>
      <c r="D642" s="443"/>
      <c r="E642" s="443"/>
      <c r="F642" s="443"/>
      <c r="G642" s="443"/>
    </row>
    <row r="643" spans="1:8">
      <c r="A643" s="443"/>
      <c r="B643" s="443"/>
      <c r="C643" s="443"/>
      <c r="D643" s="443"/>
      <c r="E643" s="443"/>
      <c r="F643" s="443"/>
      <c r="G643" s="443"/>
    </row>
    <row r="644" spans="1:8">
      <c r="A644" s="443"/>
      <c r="B644" s="443"/>
      <c r="C644" s="443"/>
      <c r="D644" s="443"/>
      <c r="E644" s="443"/>
      <c r="F644" s="443"/>
      <c r="G644" s="443"/>
    </row>
    <row r="645" spans="1:8">
      <c r="A645" s="443"/>
      <c r="B645" s="443"/>
      <c r="C645" s="443"/>
      <c r="D645" s="443"/>
      <c r="E645" s="443"/>
      <c r="F645" s="443"/>
      <c r="G645" s="443"/>
    </row>
    <row r="647" spans="1:8">
      <c r="A647" t="s">
        <v>983</v>
      </c>
      <c r="B647"/>
      <c r="C647">
        <v>183</v>
      </c>
      <c r="D647"/>
      <c r="E647"/>
      <c r="F647"/>
      <c r="G647"/>
    </row>
    <row r="648" spans="1:8">
      <c r="A648" t="s">
        <v>919</v>
      </c>
      <c r="B648"/>
      <c r="C648">
        <v>9</v>
      </c>
      <c r="D648"/>
      <c r="E648"/>
      <c r="F648"/>
      <c r="G648"/>
    </row>
    <row r="649" spans="1:8">
      <c r="A649" t="s">
        <v>939</v>
      </c>
      <c r="B649"/>
      <c r="C649">
        <v>7</v>
      </c>
      <c r="D649"/>
      <c r="E649"/>
      <c r="F649"/>
      <c r="G649"/>
    </row>
    <row r="650" spans="1:8">
      <c r="A650" t="s">
        <v>1082</v>
      </c>
      <c r="B650"/>
      <c r="C650" s="2">
        <v>0.05</v>
      </c>
      <c r="D650"/>
      <c r="E650"/>
      <c r="F650"/>
      <c r="G650"/>
    </row>
    <row r="651" spans="1:8">
      <c r="A651" t="s">
        <v>1267</v>
      </c>
      <c r="B651"/>
      <c r="C651">
        <v>190</v>
      </c>
      <c r="D651">
        <v>205</v>
      </c>
      <c r="E651">
        <v>185</v>
      </c>
      <c r="F651">
        <v>183</v>
      </c>
      <c r="G651">
        <v>181.5</v>
      </c>
    </row>
    <row r="652" spans="1:8">
      <c r="A652" t="s">
        <v>1268</v>
      </c>
      <c r="B652"/>
      <c r="C652">
        <f>C648*(1+C650*C649/12)</f>
        <v>9.2624999999999993</v>
      </c>
      <c r="D652"/>
      <c r="E652"/>
      <c r="F652"/>
      <c r="G652"/>
    </row>
    <row r="653" spans="1:8">
      <c r="A653" t="s">
        <v>1270</v>
      </c>
      <c r="B653"/>
      <c r="C653">
        <f>MAX(0,C651-$C647)</f>
        <v>7</v>
      </c>
      <c r="D653">
        <f>MAX(0,D651-$C647)</f>
        <v>22</v>
      </c>
      <c r="E653">
        <f>MAX(0,E651-$C647)</f>
        <v>2</v>
      </c>
      <c r="F653">
        <f>MAX(0,F651-$C647)</f>
        <v>0</v>
      </c>
      <c r="G653">
        <f>MAX(0,G651-$C647)</f>
        <v>0</v>
      </c>
    </row>
    <row r="654" spans="1:8">
      <c r="A654" t="s">
        <v>1272</v>
      </c>
      <c r="B654"/>
      <c r="C654" s="10">
        <f>$C652-C653</f>
        <v>2.2624999999999993</v>
      </c>
      <c r="D654" s="10">
        <f>$C652-D653</f>
        <v>-12.737500000000001</v>
      </c>
      <c r="E654" s="10">
        <f>$C652-E653</f>
        <v>7.2624999999999993</v>
      </c>
      <c r="F654" s="10">
        <f>$C652-F653</f>
        <v>9.2624999999999993</v>
      </c>
      <c r="G654" s="10">
        <f>$C652-G653</f>
        <v>9.2624999999999993</v>
      </c>
    </row>
    <row r="656" spans="1:8" ht="15.6" customHeight="1">
      <c r="A656" s="443" t="s">
        <v>1404</v>
      </c>
      <c r="B656" s="443"/>
      <c r="C656" s="443"/>
      <c r="D656" s="443"/>
      <c r="E656" s="443"/>
      <c r="F656" s="443"/>
      <c r="G656" s="443"/>
      <c r="H656" s="443"/>
    </row>
    <row r="657" spans="1:8">
      <c r="A657" s="443"/>
      <c r="B657" s="443"/>
      <c r="C657" s="443"/>
      <c r="D657" s="443"/>
      <c r="E657" s="443"/>
      <c r="F657" s="443"/>
      <c r="G657" s="443"/>
      <c r="H657" s="443"/>
    </row>
    <row r="658" spans="1:8">
      <c r="A658" s="443"/>
      <c r="B658" s="443"/>
      <c r="C658" s="443"/>
      <c r="D658" s="443"/>
      <c r="E658" s="443"/>
      <c r="F658" s="443"/>
      <c r="G658" s="443"/>
      <c r="H658" s="443"/>
    </row>
    <row r="659" spans="1:8">
      <c r="A659" s="443"/>
      <c r="B659" s="443"/>
      <c r="C659" s="443"/>
      <c r="D659" s="443"/>
      <c r="E659" s="443"/>
      <c r="F659" s="443"/>
      <c r="G659" s="443"/>
      <c r="H659" s="443"/>
    </row>
    <row r="660" spans="1:8">
      <c r="A660" s="443"/>
      <c r="B660" s="443"/>
      <c r="C660" s="443"/>
      <c r="D660" s="443"/>
      <c r="E660" s="443"/>
      <c r="F660" s="443"/>
      <c r="G660" s="443"/>
      <c r="H660" s="443"/>
    </row>
    <row r="661" spans="1:8">
      <c r="A661" s="443"/>
      <c r="B661" s="443"/>
      <c r="C661" s="443"/>
      <c r="D661" s="443"/>
      <c r="E661" s="443"/>
      <c r="F661" s="443"/>
      <c r="G661" s="443"/>
      <c r="H661" s="443"/>
    </row>
    <row r="662" spans="1:8">
      <c r="A662" s="443"/>
      <c r="B662" s="443"/>
      <c r="C662" s="443"/>
      <c r="D662" s="443"/>
      <c r="E662" s="443"/>
      <c r="F662" s="443"/>
      <c r="G662" s="443"/>
      <c r="H662" s="443"/>
    </row>
    <row r="663" spans="1:8">
      <c r="A663" s="443"/>
      <c r="B663" s="443"/>
      <c r="C663" s="443"/>
      <c r="D663" s="443"/>
      <c r="E663" s="443"/>
      <c r="F663" s="443"/>
      <c r="G663" s="443"/>
      <c r="H663" s="443"/>
    </row>
    <row r="664" spans="1:8">
      <c r="A664" s="443"/>
      <c r="B664" s="443"/>
      <c r="C664" s="443"/>
      <c r="D664" s="443"/>
      <c r="E664" s="443"/>
      <c r="F664" s="443"/>
      <c r="G664" s="443"/>
      <c r="H664" s="443"/>
    </row>
    <row r="665" spans="1:8">
      <c r="A665" s="443"/>
      <c r="B665" s="443"/>
      <c r="C665" s="443"/>
      <c r="D665" s="443"/>
      <c r="E665" s="443"/>
      <c r="F665" s="443"/>
      <c r="G665" s="443"/>
      <c r="H665" s="443"/>
    </row>
    <row r="666" spans="1:8">
      <c r="A666" t="s">
        <v>983</v>
      </c>
      <c r="B666"/>
      <c r="C666">
        <v>510000</v>
      </c>
    </row>
    <row r="667" spans="1:8">
      <c r="A667" t="s">
        <v>521</v>
      </c>
      <c r="B667"/>
      <c r="C667">
        <v>50000</v>
      </c>
    </row>
    <row r="668" spans="1:8">
      <c r="A668" t="s">
        <v>939</v>
      </c>
      <c r="B668"/>
      <c r="C668">
        <v>3</v>
      </c>
    </row>
    <row r="669" spans="1:8">
      <c r="A669" t="s">
        <v>1082</v>
      </c>
      <c r="B669"/>
      <c r="C669" s="2">
        <v>0.06</v>
      </c>
    </row>
    <row r="670" spans="1:8">
      <c r="A670" t="s">
        <v>1267</v>
      </c>
      <c r="B670"/>
      <c r="C670">
        <v>430000</v>
      </c>
    </row>
    <row r="671" spans="1:8">
      <c r="A671" t="s">
        <v>1288</v>
      </c>
      <c r="B671"/>
      <c r="C671">
        <f>C667*EXP(C669*C668/12)</f>
        <v>50755.653230785945</v>
      </c>
    </row>
    <row r="672" spans="1:8">
      <c r="A672" t="s">
        <v>1289</v>
      </c>
      <c r="B672"/>
      <c r="C672">
        <f>MAX(0,C666-C670)</f>
        <v>80000</v>
      </c>
    </row>
    <row r="673" spans="1:12">
      <c r="A673" t="s">
        <v>1290</v>
      </c>
      <c r="B673"/>
      <c r="C673" s="15">
        <f>C672-C671</f>
        <v>29244.346769214055</v>
      </c>
    </row>
    <row r="675" spans="1:12" ht="15.6" customHeight="1">
      <c r="A675" s="443" t="s">
        <v>1405</v>
      </c>
      <c r="B675" s="443"/>
      <c r="C675" s="443"/>
      <c r="D675" s="443"/>
      <c r="E675" s="443"/>
      <c r="F675" s="443"/>
      <c r="G675" s="443"/>
      <c r="H675" s="443"/>
      <c r="I675" s="443"/>
      <c r="J675" s="443"/>
    </row>
    <row r="676" spans="1:12">
      <c r="A676" s="443"/>
      <c r="B676" s="443"/>
      <c r="C676" s="443"/>
      <c r="D676" s="443"/>
      <c r="E676" s="443"/>
      <c r="F676" s="443"/>
      <c r="G676" s="443"/>
      <c r="H676" s="443"/>
      <c r="I676" s="443"/>
      <c r="J676" s="443"/>
    </row>
    <row r="677" spans="1:12">
      <c r="A677" s="443"/>
      <c r="B677" s="443"/>
      <c r="C677" s="443"/>
      <c r="D677" s="443"/>
      <c r="E677" s="443"/>
      <c r="F677" s="443"/>
      <c r="G677" s="443"/>
      <c r="H677" s="443"/>
      <c r="I677" s="443"/>
      <c r="J677" s="443"/>
    </row>
    <row r="678" spans="1:12">
      <c r="A678" s="443"/>
      <c r="B678" s="443"/>
      <c r="C678" s="443"/>
      <c r="D678" s="443"/>
      <c r="E678" s="443"/>
      <c r="F678" s="443"/>
      <c r="G678" s="443"/>
      <c r="H678" s="443"/>
      <c r="I678" s="443"/>
      <c r="J678" s="443"/>
    </row>
    <row r="679" spans="1:12">
      <c r="A679" s="443"/>
      <c r="B679" s="443"/>
      <c r="C679" s="443"/>
      <c r="D679" s="443"/>
      <c r="E679" s="443"/>
      <c r="F679" s="443"/>
      <c r="G679" s="443"/>
      <c r="H679" s="443"/>
      <c r="I679" s="443"/>
      <c r="J679" s="443"/>
    </row>
    <row r="680" spans="1:12">
      <c r="A680" s="443"/>
      <c r="B680" s="443"/>
      <c r="C680" s="443"/>
      <c r="D680" s="443"/>
      <c r="E680" s="443"/>
      <c r="F680" s="443"/>
      <c r="G680" s="443"/>
      <c r="H680" s="443"/>
      <c r="I680" s="443"/>
      <c r="J680" s="443"/>
    </row>
    <row r="681" spans="1:12">
      <c r="A681" s="443"/>
      <c r="B681" s="443"/>
      <c r="C681" s="443"/>
      <c r="D681" s="443"/>
      <c r="E681" s="443"/>
      <c r="F681" s="443"/>
      <c r="G681" s="443"/>
      <c r="H681" s="443"/>
      <c r="I681" s="443"/>
      <c r="J681" s="443"/>
    </row>
    <row r="682" spans="1:12">
      <c r="A682" s="443"/>
      <c r="B682" s="443"/>
      <c r="C682" s="443"/>
      <c r="D682" s="443"/>
      <c r="E682" s="443"/>
      <c r="F682" s="443"/>
      <c r="G682" s="443"/>
      <c r="H682" s="443"/>
      <c r="I682" s="443"/>
      <c r="J682" s="443"/>
    </row>
    <row r="683" spans="1:12">
      <c r="A683" s="443"/>
      <c r="B683" s="443"/>
      <c r="C683" s="443"/>
      <c r="D683" s="443"/>
      <c r="E683" s="443"/>
      <c r="F683" s="443"/>
      <c r="G683" s="443"/>
      <c r="H683" s="443"/>
      <c r="I683" s="443"/>
      <c r="J683" s="443"/>
    </row>
    <row r="684" spans="1:12">
      <c r="A684" s="443"/>
      <c r="B684" s="443"/>
      <c r="C684" s="443"/>
      <c r="D684" s="443"/>
      <c r="E684" s="443"/>
      <c r="F684" s="443"/>
      <c r="G684" s="443"/>
      <c r="H684" s="443"/>
      <c r="I684" s="443"/>
      <c r="J684" s="443"/>
    </row>
    <row r="685" spans="1:12">
      <c r="A685" s="443"/>
      <c r="B685" s="443"/>
      <c r="C685" s="443"/>
      <c r="D685" s="443"/>
      <c r="E685" s="443"/>
      <c r="F685" s="443"/>
      <c r="G685" s="443"/>
      <c r="H685" s="443"/>
      <c r="I685" s="443"/>
      <c r="J685" s="443"/>
    </row>
    <row r="686" spans="1:12">
      <c r="A686" s="443"/>
      <c r="B686" s="443"/>
      <c r="C686" s="443"/>
      <c r="D686" s="443"/>
      <c r="E686" s="443"/>
      <c r="F686" s="443"/>
      <c r="G686" s="443"/>
      <c r="H686" s="443"/>
      <c r="I686" s="443"/>
      <c r="J686" s="443"/>
    </row>
    <row r="688" spans="1:12">
      <c r="A688" t="s">
        <v>1348</v>
      </c>
      <c r="B688"/>
      <c r="C688"/>
      <c r="D688">
        <v>110</v>
      </c>
      <c r="E688"/>
      <c r="F688"/>
      <c r="G688"/>
      <c r="H688" t="s">
        <v>276</v>
      </c>
      <c r="I688"/>
      <c r="J688"/>
      <c r="K688"/>
      <c r="L688"/>
    </row>
    <row r="689" spans="1:12">
      <c r="A689" t="s">
        <v>983</v>
      </c>
      <c r="B689"/>
      <c r="C689"/>
      <c r="D689">
        <v>105</v>
      </c>
      <c r="E689"/>
      <c r="F689"/>
      <c r="G689"/>
      <c r="H689">
        <v>95</v>
      </c>
      <c r="I689">
        <f>MIN(0,H689-$D$689)</f>
        <v>-10</v>
      </c>
      <c r="J689">
        <f>$D$694-H689</f>
        <v>20.424999999999997</v>
      </c>
      <c r="K689">
        <f>MAX($D$689,H689)</f>
        <v>105</v>
      </c>
      <c r="L689"/>
    </row>
    <row r="690" spans="1:12">
      <c r="A690" t="s">
        <v>521</v>
      </c>
      <c r="B690"/>
      <c r="C690"/>
      <c r="D690">
        <v>4</v>
      </c>
      <c r="E690"/>
      <c r="F690"/>
      <c r="G690"/>
      <c r="H690">
        <v>105</v>
      </c>
      <c r="I690">
        <f>MIN(0,H690-$D$689)</f>
        <v>0</v>
      </c>
      <c r="J690">
        <f>$D$694-H690</f>
        <v>10.424999999999997</v>
      </c>
      <c r="K690">
        <f>MAX($D$689,H690)</f>
        <v>105</v>
      </c>
      <c r="L690"/>
    </row>
    <row r="691" spans="1:12">
      <c r="A691" t="s">
        <v>1082</v>
      </c>
      <c r="B691"/>
      <c r="C691"/>
      <c r="D691" s="2">
        <v>0.05</v>
      </c>
      <c r="E691"/>
      <c r="F691"/>
      <c r="G691"/>
      <c r="H691">
        <v>115</v>
      </c>
      <c r="I691">
        <f>MIN(0,H691-$D$689)</f>
        <v>0</v>
      </c>
      <c r="J691">
        <f>$D$694-H691</f>
        <v>0.42499999999999716</v>
      </c>
      <c r="K691">
        <f>MAX($D$689,H691)</f>
        <v>115</v>
      </c>
      <c r="L691"/>
    </row>
    <row r="692" spans="1:12">
      <c r="A692" t="s">
        <v>939</v>
      </c>
      <c r="B692"/>
      <c r="C692"/>
      <c r="D692">
        <v>3</v>
      </c>
      <c r="E692"/>
      <c r="F692"/>
      <c r="G692"/>
      <c r="H692" t="s">
        <v>1406</v>
      </c>
      <c r="I692" t="s">
        <v>1407</v>
      </c>
      <c r="J692" t="s">
        <v>1408</v>
      </c>
      <c r="K692" t="s">
        <v>1409</v>
      </c>
      <c r="L692"/>
    </row>
    <row r="693" spans="1:12">
      <c r="A693" t="s">
        <v>1267</v>
      </c>
      <c r="B693"/>
      <c r="C693"/>
      <c r="D693">
        <v>115.43</v>
      </c>
      <c r="E693">
        <v>110</v>
      </c>
      <c r="F693">
        <v>105</v>
      </c>
      <c r="G693">
        <v>100</v>
      </c>
      <c r="H693">
        <v>0</v>
      </c>
      <c r="I693">
        <f>I689+$D$690</f>
        <v>-6</v>
      </c>
      <c r="J693">
        <f>J689-$D$690</f>
        <v>16.424999999999997</v>
      </c>
      <c r="K693">
        <f>$D$694-K689</f>
        <v>10.424999999999997</v>
      </c>
      <c r="L693"/>
    </row>
    <row r="694" spans="1:12">
      <c r="A694" t="s">
        <v>1410</v>
      </c>
      <c r="B694"/>
      <c r="C694"/>
      <c r="D694">
        <f>(D688+D690)*(1+D691*D692/12)</f>
        <v>115.425</v>
      </c>
      <c r="E694"/>
      <c r="F694"/>
      <c r="G694"/>
      <c r="H694">
        <f>D689</f>
        <v>105</v>
      </c>
      <c r="I694">
        <f>I690+$D$690</f>
        <v>4</v>
      </c>
      <c r="J694">
        <f>J690-$D$690</f>
        <v>6.4249999999999972</v>
      </c>
      <c r="K694">
        <f>$D$694-K690</f>
        <v>10.424999999999997</v>
      </c>
      <c r="L694"/>
    </row>
    <row r="695" spans="1:12">
      <c r="A695" t="s">
        <v>1411</v>
      </c>
      <c r="B695"/>
      <c r="C695"/>
      <c r="D695">
        <f>MAX(D693,$D689)</f>
        <v>115.43</v>
      </c>
      <c r="E695">
        <f>MAX(E693,$D689)</f>
        <v>110</v>
      </c>
      <c r="F695">
        <f>MAX(F693,$D689)</f>
        <v>105</v>
      </c>
      <c r="G695">
        <f>MAX(G693,$D689)</f>
        <v>105</v>
      </c>
      <c r="H695">
        <v>200</v>
      </c>
      <c r="I695">
        <f>I691+$D$690</f>
        <v>4</v>
      </c>
      <c r="J695">
        <f>J691-$D$690</f>
        <v>-3.5750000000000028</v>
      </c>
      <c r="K695">
        <f>$D$694-K691</f>
        <v>0.42499999999999716</v>
      </c>
      <c r="L695"/>
    </row>
    <row r="696" spans="1:12">
      <c r="A696" t="s">
        <v>1412</v>
      </c>
      <c r="B696"/>
      <c r="C696"/>
      <c r="D696" s="4">
        <f>$D694-D695</f>
        <v>-5.0000000000096634E-3</v>
      </c>
      <c r="E696" s="4">
        <f>$D694-E695</f>
        <v>5.4249999999999972</v>
      </c>
      <c r="F696" s="4">
        <f>$D694-F695</f>
        <v>10.424999999999997</v>
      </c>
      <c r="G696" s="4">
        <f>$D694-G695</f>
        <v>10.424999999999997</v>
      </c>
      <c r="H696"/>
      <c r="I696"/>
      <c r="J696"/>
      <c r="K696"/>
      <c r="L696"/>
    </row>
    <row r="715" spans="1:10" ht="15.6" customHeight="1">
      <c r="A715" s="443" t="s">
        <v>1413</v>
      </c>
      <c r="B715" s="443"/>
      <c r="C715" s="443"/>
      <c r="D715" s="443"/>
      <c r="E715" s="443"/>
      <c r="F715" s="443"/>
      <c r="G715" s="443"/>
      <c r="H715" s="443"/>
      <c r="I715" s="443"/>
      <c r="J715" s="443"/>
    </row>
    <row r="716" spans="1:10">
      <c r="A716" s="443"/>
      <c r="B716" s="443"/>
      <c r="C716" s="443"/>
      <c r="D716" s="443"/>
      <c r="E716" s="443"/>
      <c r="F716" s="443"/>
      <c r="G716" s="443"/>
      <c r="H716" s="443"/>
      <c r="I716" s="443"/>
      <c r="J716" s="443"/>
    </row>
    <row r="717" spans="1:10">
      <c r="A717" s="443"/>
      <c r="B717" s="443"/>
      <c r="C717" s="443"/>
      <c r="D717" s="443"/>
      <c r="E717" s="443"/>
      <c r="F717" s="443"/>
      <c r="G717" s="443"/>
      <c r="H717" s="443"/>
      <c r="I717" s="443"/>
      <c r="J717" s="443"/>
    </row>
    <row r="718" spans="1:10">
      <c r="A718" s="443"/>
      <c r="B718" s="443"/>
      <c r="C718" s="443"/>
      <c r="D718" s="443"/>
      <c r="E718" s="443"/>
      <c r="F718" s="443"/>
      <c r="G718" s="443"/>
      <c r="H718" s="443"/>
      <c r="I718" s="443"/>
      <c r="J718" s="443"/>
    </row>
    <row r="719" spans="1:10">
      <c r="A719" s="443"/>
      <c r="B719" s="443"/>
      <c r="C719" s="443"/>
      <c r="D719" s="443"/>
      <c r="E719" s="443"/>
      <c r="F719" s="443"/>
      <c r="G719" s="443"/>
      <c r="H719" s="443"/>
      <c r="I719" s="443"/>
      <c r="J719" s="443"/>
    </row>
    <row r="720" spans="1:10">
      <c r="A720" s="443"/>
      <c r="B720" s="443"/>
      <c r="C720" s="443"/>
      <c r="D720" s="443"/>
      <c r="E720" s="443"/>
      <c r="F720" s="443"/>
      <c r="G720" s="443"/>
      <c r="H720" s="443"/>
      <c r="I720" s="443"/>
      <c r="J720" s="443"/>
    </row>
    <row r="721" spans="1:14">
      <c r="A721" s="443"/>
      <c r="B721" s="443"/>
      <c r="C721" s="443"/>
      <c r="D721" s="443"/>
      <c r="E721" s="443"/>
      <c r="F721" s="443"/>
      <c r="G721" s="443"/>
      <c r="H721" s="443"/>
      <c r="I721" s="443"/>
      <c r="J721" s="443"/>
    </row>
    <row r="722" spans="1:14">
      <c r="A722" s="443"/>
      <c r="B722" s="443"/>
      <c r="C722" s="443"/>
      <c r="D722" s="443"/>
      <c r="E722" s="443"/>
      <c r="F722" s="443"/>
      <c r="G722" s="443"/>
      <c r="H722" s="443"/>
      <c r="I722" s="443"/>
      <c r="J722" s="443"/>
    </row>
    <row r="723" spans="1:14">
      <c r="A723" s="443"/>
      <c r="B723" s="443"/>
      <c r="C723" s="443"/>
      <c r="D723" s="443"/>
      <c r="E723" s="443"/>
      <c r="F723" s="443"/>
      <c r="G723" s="443"/>
      <c r="H723" s="443"/>
      <c r="I723" s="443"/>
      <c r="J723" s="443"/>
    </row>
    <row r="724" spans="1:14">
      <c r="A724" s="443"/>
      <c r="B724" s="443"/>
      <c r="C724" s="443"/>
      <c r="D724" s="443"/>
      <c r="E724" s="443"/>
      <c r="F724" s="443"/>
      <c r="G724" s="443"/>
      <c r="H724" s="443"/>
      <c r="I724" s="443"/>
      <c r="J724" s="443"/>
    </row>
    <row r="725" spans="1:14">
      <c r="A725" s="443"/>
      <c r="B725" s="443"/>
      <c r="C725" s="443"/>
      <c r="D725" s="443"/>
      <c r="E725" s="443"/>
      <c r="F725" s="443"/>
      <c r="G725" s="443"/>
      <c r="H725" s="443"/>
      <c r="I725" s="443"/>
      <c r="J725" s="443"/>
    </row>
    <row r="727" spans="1:14">
      <c r="A727"/>
      <c r="B727"/>
      <c r="C727"/>
      <c r="D727"/>
      <c r="E727"/>
      <c r="F727"/>
      <c r="G727"/>
      <c r="H727"/>
      <c r="I727"/>
      <c r="J727"/>
      <c r="K727"/>
      <c r="L727" t="s">
        <v>1414</v>
      </c>
      <c r="M727"/>
      <c r="N727"/>
    </row>
    <row r="728" spans="1:14">
      <c r="A728"/>
      <c r="B728"/>
      <c r="C728"/>
      <c r="D728"/>
      <c r="E728"/>
      <c r="F728"/>
      <c r="G728"/>
      <c r="H728"/>
      <c r="I728"/>
      <c r="J728"/>
      <c r="K728"/>
      <c r="L728"/>
      <c r="M728"/>
      <c r="N728"/>
    </row>
    <row r="729" spans="1:14">
      <c r="A729" t="s">
        <v>1348</v>
      </c>
      <c r="B729"/>
      <c r="C729"/>
      <c r="D729">
        <v>500</v>
      </c>
      <c r="E729"/>
      <c r="F729"/>
      <c r="G729"/>
      <c r="H729"/>
      <c r="I729"/>
      <c r="J729"/>
      <c r="K729"/>
      <c r="L729" t="s">
        <v>1415</v>
      </c>
      <c r="M729">
        <f>(D729)*(1+D732*D733/12)</f>
        <v>515</v>
      </c>
      <c r="N729"/>
    </row>
    <row r="730" spans="1:14">
      <c r="A730" t="s">
        <v>983</v>
      </c>
      <c r="B730"/>
      <c r="C730"/>
      <c r="D730">
        <v>600</v>
      </c>
      <c r="E730">
        <v>400</v>
      </c>
      <c r="F730"/>
      <c r="G730"/>
      <c r="H730"/>
      <c r="I730"/>
      <c r="J730"/>
      <c r="K730"/>
      <c r="L730" t="s">
        <v>1416</v>
      </c>
      <c r="M730" t="s">
        <v>1417</v>
      </c>
      <c r="N730" t="s">
        <v>1418</v>
      </c>
    </row>
    <row r="731" spans="1:14">
      <c r="A731" t="s">
        <v>521</v>
      </c>
      <c r="B731"/>
      <c r="C731"/>
      <c r="D731">
        <v>50</v>
      </c>
      <c r="E731"/>
      <c r="F731"/>
      <c r="G731"/>
      <c r="H731"/>
      <c r="I731"/>
      <c r="J731"/>
      <c r="K731"/>
      <c r="L731">
        <v>500</v>
      </c>
      <c r="M731">
        <f>L731-$M$729</f>
        <v>-15</v>
      </c>
      <c r="N731">
        <f>MAX(L731,$D$730)-$D$735</f>
        <v>33.5</v>
      </c>
    </row>
    <row r="732" spans="1:14">
      <c r="A732" t="s">
        <v>1082</v>
      </c>
      <c r="B732"/>
      <c r="C732"/>
      <c r="D732" s="2">
        <v>0.09</v>
      </c>
      <c r="E732"/>
      <c r="F732"/>
      <c r="G732"/>
      <c r="H732"/>
      <c r="I732"/>
      <c r="J732"/>
      <c r="K732"/>
      <c r="L732">
        <v>600</v>
      </c>
      <c r="M732">
        <f>L732-$M$729</f>
        <v>85</v>
      </c>
      <c r="N732">
        <f>MAX(L732,$D$730)-$D$735</f>
        <v>33.5</v>
      </c>
    </row>
    <row r="733" spans="1:14">
      <c r="A733" t="s">
        <v>939</v>
      </c>
      <c r="B733"/>
      <c r="C733"/>
      <c r="D733">
        <v>4</v>
      </c>
      <c r="E733"/>
      <c r="F733"/>
      <c r="G733"/>
      <c r="H733"/>
      <c r="I733"/>
      <c r="J733"/>
      <c r="K733"/>
      <c r="L733">
        <v>700</v>
      </c>
      <c r="M733">
        <f>L733-$M$729</f>
        <v>185</v>
      </c>
      <c r="N733">
        <f>MAX(L733,$D$730)-$D$735</f>
        <v>133.5</v>
      </c>
    </row>
    <row r="734" spans="1:14">
      <c r="A734" t="s">
        <v>1267</v>
      </c>
      <c r="B734"/>
      <c r="C734"/>
      <c r="D734">
        <v>440</v>
      </c>
      <c r="E734">
        <v>560</v>
      </c>
      <c r="F734">
        <v>700</v>
      </c>
      <c r="G734">
        <v>300</v>
      </c>
      <c r="H734">
        <v>650</v>
      </c>
      <c r="I734"/>
      <c r="J734"/>
      <c r="K734"/>
      <c r="L734"/>
      <c r="M734"/>
      <c r="N734"/>
    </row>
    <row r="735" spans="1:14">
      <c r="A735" t="s">
        <v>1410</v>
      </c>
      <c r="B735"/>
      <c r="C735"/>
      <c r="D735">
        <f>(D729+D731)*(1+D732*D733/12)</f>
        <v>566.5</v>
      </c>
      <c r="E735"/>
      <c r="F735"/>
      <c r="G735"/>
      <c r="H735"/>
      <c r="I735"/>
      <c r="J735"/>
      <c r="K735"/>
      <c r="L735"/>
      <c r="M735" t="s">
        <v>1419</v>
      </c>
      <c r="N735"/>
    </row>
    <row r="736" spans="1:14">
      <c r="A736" t="s">
        <v>1420</v>
      </c>
      <c r="B736"/>
      <c r="C736"/>
      <c r="D736">
        <f>MAX(D734,$D730)</f>
        <v>600</v>
      </c>
      <c r="E736">
        <f>MAX(E734,$D730)</f>
        <v>600</v>
      </c>
      <c r="F736">
        <f>MAX(F734,$D730)</f>
        <v>700</v>
      </c>
      <c r="G736">
        <f>MAX(G734,$D730)</f>
        <v>600</v>
      </c>
      <c r="H736">
        <f>MAX(H734,$D730)</f>
        <v>650</v>
      </c>
      <c r="I736"/>
      <c r="J736"/>
      <c r="K736"/>
      <c r="L736"/>
      <c r="M736"/>
      <c r="N736"/>
    </row>
    <row r="737" spans="1:14">
      <c r="A737" t="s">
        <v>1421</v>
      </c>
      <c r="B737"/>
      <c r="C737"/>
      <c r="D737" s="4">
        <f>D736-$D735</f>
        <v>33.5</v>
      </c>
      <c r="E737" s="4">
        <f>E736-$D735</f>
        <v>33.5</v>
      </c>
      <c r="F737" s="4">
        <f>F736-$D735</f>
        <v>133.5</v>
      </c>
      <c r="G737" s="4">
        <f>G736-$D735</f>
        <v>33.5</v>
      </c>
      <c r="H737" s="4">
        <f>H736-$D735</f>
        <v>83.5</v>
      </c>
      <c r="I737"/>
      <c r="J737" t="s">
        <v>1414</v>
      </c>
      <c r="K737"/>
      <c r="L737" t="s">
        <v>1416</v>
      </c>
      <c r="M737" t="s">
        <v>1417</v>
      </c>
      <c r="N737" t="s">
        <v>1418</v>
      </c>
    </row>
    <row r="738" spans="1:14">
      <c r="A738" t="s">
        <v>1420</v>
      </c>
      <c r="B738"/>
      <c r="C738"/>
      <c r="D738">
        <f>MAX(D734,$E730)</f>
        <v>440</v>
      </c>
      <c r="E738">
        <f>MAX(E734,$E730)</f>
        <v>560</v>
      </c>
      <c r="F738">
        <f>MAX(F734,$E730)</f>
        <v>700</v>
      </c>
      <c r="G738">
        <f>MAX(G734,$E730)</f>
        <v>400</v>
      </c>
      <c r="H738">
        <f>MAX(H734,$E730)</f>
        <v>650</v>
      </c>
      <c r="I738"/>
      <c r="J738"/>
      <c r="K738"/>
      <c r="L738">
        <v>560</v>
      </c>
      <c r="M738">
        <f>L738-$M$729</f>
        <v>45</v>
      </c>
      <c r="N738">
        <f>MAX(L738,$E$730)-$D$735</f>
        <v>-6.5</v>
      </c>
    </row>
    <row r="739" spans="1:14">
      <c r="A739" t="s">
        <v>1421</v>
      </c>
      <c r="B739"/>
      <c r="C739"/>
      <c r="D739" s="4">
        <f>D738-$D735</f>
        <v>-126.5</v>
      </c>
      <c r="E739" s="4">
        <f>E738-$D735</f>
        <v>-6.5</v>
      </c>
      <c r="F739" s="4">
        <f>F738-$D735</f>
        <v>133.5</v>
      </c>
      <c r="G739" s="4">
        <f>G738-$D735</f>
        <v>-166.5</v>
      </c>
      <c r="H739" s="4">
        <f>H738-$D735</f>
        <v>83.5</v>
      </c>
      <c r="I739"/>
      <c r="J739" t="s">
        <v>1419</v>
      </c>
      <c r="K739"/>
      <c r="L739">
        <v>566.5</v>
      </c>
      <c r="M739">
        <f>L739-$M$729</f>
        <v>51.5</v>
      </c>
      <c r="N739">
        <f>MAX(L739,$E$730)-$D$735</f>
        <v>0</v>
      </c>
    </row>
    <row r="740" spans="1:14">
      <c r="A740"/>
      <c r="B740"/>
      <c r="C740"/>
      <c r="D740"/>
      <c r="E740"/>
      <c r="F740"/>
      <c r="G740"/>
      <c r="H740"/>
      <c r="I740"/>
      <c r="J740"/>
      <c r="K740"/>
      <c r="L740">
        <v>573</v>
      </c>
      <c r="M740">
        <f>L740-$M$729</f>
        <v>58</v>
      </c>
      <c r="N740">
        <f>MAX(L740,$E$730)-$D$735</f>
        <v>6.5</v>
      </c>
    </row>
    <row r="743" spans="1:14" ht="15.6" customHeight="1">
      <c r="A743" s="443" t="s">
        <v>1422</v>
      </c>
      <c r="B743" s="443"/>
      <c r="C743" s="443"/>
      <c r="D743" s="443"/>
      <c r="E743" s="443"/>
      <c r="F743" s="443"/>
      <c r="G743" s="443"/>
      <c r="H743" s="443"/>
      <c r="I743" s="443"/>
      <c r="J743" s="443"/>
    </row>
    <row r="744" spans="1:14">
      <c r="A744" s="443"/>
      <c r="B744" s="443"/>
      <c r="C744" s="443"/>
      <c r="D744" s="443"/>
      <c r="E744" s="443"/>
      <c r="F744" s="443"/>
      <c r="G744" s="443"/>
      <c r="H744" s="443"/>
      <c r="I744" s="443"/>
      <c r="J744" s="443"/>
    </row>
    <row r="745" spans="1:14">
      <c r="A745" s="443"/>
      <c r="B745" s="443"/>
      <c r="C745" s="443"/>
      <c r="D745" s="443"/>
      <c r="E745" s="443"/>
      <c r="F745" s="443"/>
      <c r="G745" s="443"/>
      <c r="H745" s="443"/>
      <c r="I745" s="443"/>
      <c r="J745" s="443"/>
    </row>
    <row r="746" spans="1:14">
      <c r="A746" s="443"/>
      <c r="B746" s="443"/>
      <c r="C746" s="443"/>
      <c r="D746" s="443"/>
      <c r="E746" s="443"/>
      <c r="F746" s="443"/>
      <c r="G746" s="443"/>
      <c r="H746" s="443"/>
      <c r="I746" s="443"/>
      <c r="J746" s="443"/>
    </row>
    <row r="747" spans="1:14">
      <c r="A747" s="443"/>
      <c r="B747" s="443"/>
      <c r="C747" s="443"/>
      <c r="D747" s="443"/>
      <c r="E747" s="443"/>
      <c r="F747" s="443"/>
      <c r="G747" s="443"/>
      <c r="H747" s="443"/>
      <c r="I747" s="443"/>
      <c r="J747" s="443"/>
    </row>
    <row r="748" spans="1:14">
      <c r="A748" s="443"/>
      <c r="B748" s="443"/>
      <c r="C748" s="443"/>
      <c r="D748" s="443"/>
      <c r="E748" s="443"/>
      <c r="F748" s="443"/>
      <c r="G748" s="443"/>
      <c r="H748" s="443"/>
      <c r="I748" s="443"/>
      <c r="J748" s="443"/>
    </row>
    <row r="749" spans="1:14">
      <c r="A749" s="443"/>
      <c r="B749" s="443"/>
      <c r="C749" s="443"/>
      <c r="D749" s="443"/>
      <c r="E749" s="443"/>
      <c r="F749" s="443"/>
      <c r="G749" s="443"/>
      <c r="H749" s="443"/>
      <c r="I749" s="443"/>
      <c r="J749" s="443"/>
    </row>
    <row r="750" spans="1:14">
      <c r="A750" s="443"/>
      <c r="B750" s="443"/>
      <c r="C750" s="443"/>
      <c r="D750" s="443"/>
      <c r="E750" s="443"/>
      <c r="F750" s="443"/>
      <c r="G750" s="443"/>
      <c r="H750" s="443"/>
      <c r="I750" s="443"/>
      <c r="J750" s="443"/>
    </row>
    <row r="751" spans="1:14">
      <c r="A751" s="443"/>
      <c r="B751" s="443"/>
      <c r="C751" s="443"/>
      <c r="D751" s="443"/>
      <c r="E751" s="443"/>
      <c r="F751" s="443"/>
      <c r="G751" s="443"/>
      <c r="H751" s="443"/>
      <c r="I751" s="443"/>
      <c r="J751" s="443"/>
    </row>
    <row r="752" spans="1:14">
      <c r="A752" s="443"/>
      <c r="B752" s="443"/>
      <c r="C752" s="443"/>
      <c r="D752" s="443"/>
      <c r="E752" s="443"/>
      <c r="F752" s="443"/>
      <c r="G752" s="443"/>
      <c r="H752" s="443"/>
      <c r="I752" s="443"/>
      <c r="J752" s="443"/>
    </row>
    <row r="753" spans="1:10">
      <c r="A753" s="443"/>
      <c r="B753" s="443"/>
      <c r="C753" s="443"/>
      <c r="D753" s="443"/>
      <c r="E753" s="443"/>
      <c r="F753" s="443"/>
      <c r="G753" s="443"/>
      <c r="H753" s="443"/>
      <c r="I753" s="443"/>
      <c r="J753" s="443"/>
    </row>
    <row r="755" spans="1:10">
      <c r="A755" t="s">
        <v>1348</v>
      </c>
      <c r="B755"/>
      <c r="C755"/>
      <c r="D755">
        <v>150</v>
      </c>
    </row>
    <row r="756" spans="1:10">
      <c r="A756" t="s">
        <v>983</v>
      </c>
      <c r="B756"/>
      <c r="C756"/>
      <c r="D756">
        <v>167</v>
      </c>
    </row>
    <row r="757" spans="1:10">
      <c r="A757" t="s">
        <v>521</v>
      </c>
      <c r="B757"/>
      <c r="C757"/>
      <c r="D757">
        <v>14</v>
      </c>
    </row>
    <row r="758" spans="1:10">
      <c r="A758" t="s">
        <v>1082</v>
      </c>
      <c r="B758"/>
      <c r="C758"/>
      <c r="D758" s="2">
        <v>0.08</v>
      </c>
    </row>
    <row r="759" spans="1:10">
      <c r="A759" t="s">
        <v>939</v>
      </c>
      <c r="B759"/>
      <c r="C759"/>
      <c r="D759">
        <v>6</v>
      </c>
    </row>
    <row r="760" spans="1:10">
      <c r="A760" t="s">
        <v>1267</v>
      </c>
      <c r="B760"/>
      <c r="C760"/>
      <c r="D760">
        <v>160</v>
      </c>
    </row>
    <row r="761" spans="1:10">
      <c r="A761" t="s">
        <v>1410</v>
      </c>
      <c r="B761"/>
      <c r="C761"/>
      <c r="D761">
        <f>(D755+D757)*(1+D758*D759/12)</f>
        <v>170.56</v>
      </c>
    </row>
    <row r="762" spans="1:10">
      <c r="A762" t="s">
        <v>1420</v>
      </c>
      <c r="B762"/>
      <c r="C762"/>
      <c r="D762">
        <f>MAX(D760,$D756)</f>
        <v>167</v>
      </c>
    </row>
    <row r="763" spans="1:10">
      <c r="A763" t="s">
        <v>1423</v>
      </c>
      <c r="B763"/>
      <c r="C763"/>
      <c r="D763" s="4">
        <f>$D761-D762</f>
        <v>3.5600000000000023</v>
      </c>
    </row>
    <row r="765" spans="1:10" ht="15.6" customHeight="1">
      <c r="A765" s="443" t="s">
        <v>1424</v>
      </c>
      <c r="B765" s="443"/>
      <c r="C765" s="443"/>
      <c r="D765" s="443"/>
      <c r="E765" s="443"/>
      <c r="F765" s="443"/>
      <c r="G765" s="443"/>
      <c r="H765" s="443"/>
    </row>
    <row r="766" spans="1:10">
      <c r="A766" s="443"/>
      <c r="B766" s="443"/>
      <c r="C766" s="443"/>
      <c r="D766" s="443"/>
      <c r="E766" s="443"/>
      <c r="F766" s="443"/>
      <c r="G766" s="443"/>
      <c r="H766" s="443"/>
    </row>
    <row r="767" spans="1:10">
      <c r="A767" s="443"/>
      <c r="B767" s="443"/>
      <c r="C767" s="443"/>
      <c r="D767" s="443"/>
      <c r="E767" s="443"/>
      <c r="F767" s="443"/>
      <c r="G767" s="443"/>
      <c r="H767" s="443"/>
    </row>
    <row r="768" spans="1:10">
      <c r="A768" s="443"/>
      <c r="B768" s="443"/>
      <c r="C768" s="443"/>
      <c r="D768" s="443"/>
      <c r="E768" s="443"/>
      <c r="F768" s="443"/>
      <c r="G768" s="443"/>
      <c r="H768" s="443"/>
    </row>
    <row r="769" spans="1:8">
      <c r="A769" s="443"/>
      <c r="B769" s="443"/>
      <c r="C769" s="443"/>
      <c r="D769" s="443"/>
      <c r="E769" s="443"/>
      <c r="F769" s="443"/>
      <c r="G769" s="443"/>
      <c r="H769" s="443"/>
    </row>
    <row r="770" spans="1:8">
      <c r="A770" s="443"/>
      <c r="B770" s="443"/>
      <c r="C770" s="443"/>
      <c r="D770" s="443"/>
      <c r="E770" s="443"/>
      <c r="F770" s="443"/>
      <c r="G770" s="443"/>
      <c r="H770" s="443"/>
    </row>
    <row r="771" spans="1:8">
      <c r="A771" s="443"/>
      <c r="B771" s="443"/>
      <c r="C771" s="443"/>
      <c r="D771" s="443"/>
      <c r="E771" s="443"/>
      <c r="F771" s="443"/>
      <c r="G771" s="443"/>
      <c r="H771" s="443"/>
    </row>
    <row r="772" spans="1:8">
      <c r="A772" s="443"/>
      <c r="B772" s="443"/>
      <c r="C772" s="443"/>
      <c r="D772" s="443"/>
      <c r="E772" s="443"/>
      <c r="F772" s="443"/>
      <c r="G772" s="443"/>
      <c r="H772" s="443"/>
    </row>
    <row r="773" spans="1:8">
      <c r="A773" s="443"/>
      <c r="B773" s="443"/>
      <c r="C773" s="443"/>
      <c r="D773" s="443"/>
      <c r="E773" s="443"/>
      <c r="F773" s="443"/>
      <c r="G773" s="443"/>
      <c r="H773" s="443"/>
    </row>
    <row r="774" spans="1:8">
      <c r="A774" s="443"/>
      <c r="B774" s="443"/>
      <c r="C774" s="443"/>
      <c r="D774" s="443"/>
      <c r="E774" s="443"/>
      <c r="F774" s="443"/>
      <c r="G774" s="443"/>
      <c r="H774" s="443"/>
    </row>
    <row r="776" spans="1:8">
      <c r="A776" t="s">
        <v>983</v>
      </c>
      <c r="B776"/>
      <c r="C776">
        <v>820</v>
      </c>
    </row>
    <row r="777" spans="1:8">
      <c r="A777" t="s">
        <v>940</v>
      </c>
      <c r="B777"/>
      <c r="C777" s="2">
        <v>0.08</v>
      </c>
    </row>
    <row r="778" spans="1:8">
      <c r="A778" t="s">
        <v>290</v>
      </c>
      <c r="B778"/>
      <c r="C778">
        <v>1</v>
      </c>
    </row>
    <row r="779" spans="1:8">
      <c r="A779" t="s">
        <v>97</v>
      </c>
      <c r="B779"/>
      <c r="C779">
        <v>800</v>
      </c>
    </row>
    <row r="780" spans="1:8">
      <c r="A780" t="s">
        <v>1365</v>
      </c>
      <c r="B780"/>
      <c r="C780">
        <v>840</v>
      </c>
    </row>
    <row r="781" spans="1:8">
      <c r="A781" t="s">
        <v>1366</v>
      </c>
      <c r="B781"/>
      <c r="C781">
        <v>760</v>
      </c>
    </row>
    <row r="782" spans="1:8">
      <c r="A782"/>
      <c r="B782"/>
      <c r="C782"/>
    </row>
    <row r="783" spans="1:8">
      <c r="A783" t="s">
        <v>1367</v>
      </c>
      <c r="B783"/>
      <c r="C783">
        <f>C777/12</f>
        <v>6.6666666666666671E-3</v>
      </c>
    </row>
    <row r="784" spans="1:8">
      <c r="A784" t="s">
        <v>1368</v>
      </c>
      <c r="B784"/>
      <c r="C784">
        <f>C781/C779</f>
        <v>0.95</v>
      </c>
    </row>
    <row r="785" spans="1:7">
      <c r="A785" t="s">
        <v>1369</v>
      </c>
      <c r="B785"/>
      <c r="C785">
        <f>C780/C779</f>
        <v>1.05</v>
      </c>
    </row>
    <row r="786" spans="1:7">
      <c r="A786"/>
      <c r="B786"/>
      <c r="C786"/>
    </row>
    <row r="787" spans="1:7">
      <c r="A787" t="s">
        <v>1370</v>
      </c>
      <c r="B787"/>
      <c r="C787">
        <f>MAX(0,C780-C776)</f>
        <v>20</v>
      </c>
    </row>
    <row r="788" spans="1:7">
      <c r="A788" t="s">
        <v>1371</v>
      </c>
      <c r="B788"/>
      <c r="C788">
        <f>MAX(0,C781-C776)</f>
        <v>0</v>
      </c>
    </row>
    <row r="789" spans="1:7">
      <c r="A789"/>
      <c r="B789"/>
      <c r="C789"/>
    </row>
    <row r="790" spans="1:7">
      <c r="A790" t="s">
        <v>919</v>
      </c>
      <c r="B790"/>
      <c r="C790" s="10">
        <f>((1+C783-C784)*C787+(C785-1-C783)*C788)/((1+C783)*(C785-C784))</f>
        <v>11.25827814569535</v>
      </c>
    </row>
    <row r="792" spans="1:7" ht="15.6" customHeight="1">
      <c r="A792" s="443" t="s">
        <v>1425</v>
      </c>
      <c r="B792" s="443"/>
      <c r="C792" s="443"/>
      <c r="D792" s="443"/>
      <c r="E792" s="443"/>
      <c r="F792" s="443"/>
      <c r="G792" s="443"/>
    </row>
    <row r="793" spans="1:7">
      <c r="A793" s="443"/>
      <c r="B793" s="443"/>
      <c r="C793" s="443"/>
      <c r="D793" s="443"/>
      <c r="E793" s="443"/>
      <c r="F793" s="443"/>
      <c r="G793" s="443"/>
    </row>
    <row r="794" spans="1:7">
      <c r="A794" s="443"/>
      <c r="B794" s="443"/>
      <c r="C794" s="443"/>
      <c r="D794" s="443"/>
      <c r="E794" s="443"/>
      <c r="F794" s="443"/>
      <c r="G794" s="443"/>
    </row>
    <row r="795" spans="1:7">
      <c r="A795" s="443"/>
      <c r="B795" s="443"/>
      <c r="C795" s="443"/>
      <c r="D795" s="443"/>
      <c r="E795" s="443"/>
      <c r="F795" s="443"/>
      <c r="G795" s="443"/>
    </row>
    <row r="796" spans="1:7">
      <c r="A796" s="443"/>
      <c r="B796" s="443"/>
      <c r="C796" s="443"/>
      <c r="D796" s="443"/>
      <c r="E796" s="443"/>
      <c r="F796" s="443"/>
      <c r="G796" s="443"/>
    </row>
    <row r="797" spans="1:7">
      <c r="A797" s="443"/>
      <c r="B797" s="443"/>
      <c r="C797" s="443"/>
      <c r="D797" s="443"/>
      <c r="E797" s="443"/>
      <c r="F797" s="443"/>
      <c r="G797" s="443"/>
    </row>
    <row r="798" spans="1:7">
      <c r="A798" s="443"/>
      <c r="B798" s="443"/>
      <c r="C798" s="443"/>
      <c r="D798" s="443"/>
      <c r="E798" s="443"/>
      <c r="F798" s="443"/>
      <c r="G798" s="443"/>
    </row>
    <row r="799" spans="1:7">
      <c r="A799" s="443"/>
      <c r="B799" s="443"/>
      <c r="C799" s="443"/>
      <c r="D799" s="443"/>
      <c r="E799" s="443"/>
      <c r="F799" s="443"/>
      <c r="G799" s="443"/>
    </row>
    <row r="800" spans="1:7">
      <c r="A800" s="443"/>
      <c r="B800" s="443"/>
      <c r="C800" s="443"/>
      <c r="D800" s="443"/>
      <c r="E800" s="443"/>
      <c r="F800" s="443"/>
      <c r="G800" s="443"/>
    </row>
    <row r="801" spans="1:7">
      <c r="A801" s="443"/>
      <c r="B801" s="443"/>
      <c r="C801" s="443"/>
      <c r="D801" s="443"/>
      <c r="E801" s="443"/>
      <c r="F801" s="443"/>
      <c r="G801" s="443"/>
    </row>
    <row r="803" spans="1:7">
      <c r="A803" t="s">
        <v>983</v>
      </c>
      <c r="B803"/>
      <c r="C803">
        <v>5200</v>
      </c>
    </row>
    <row r="804" spans="1:7">
      <c r="A804" t="s">
        <v>940</v>
      </c>
      <c r="B804"/>
      <c r="C804" s="2">
        <v>0.1</v>
      </c>
    </row>
    <row r="805" spans="1:7">
      <c r="A805" t="s">
        <v>290</v>
      </c>
      <c r="B805"/>
      <c r="C805">
        <v>1</v>
      </c>
    </row>
    <row r="806" spans="1:7">
      <c r="A806" t="s">
        <v>97</v>
      </c>
      <c r="B806"/>
      <c r="C806">
        <v>5000</v>
      </c>
    </row>
    <row r="807" spans="1:7">
      <c r="A807" t="s">
        <v>1374</v>
      </c>
      <c r="B807"/>
      <c r="C807" s="255">
        <f>15%</f>
        <v>0.15</v>
      </c>
    </row>
    <row r="808" spans="1:7">
      <c r="A808" t="s">
        <v>1375</v>
      </c>
      <c r="B808"/>
      <c r="C808" s="255">
        <f>10%</f>
        <v>0.1</v>
      </c>
    </row>
    <row r="809" spans="1:7">
      <c r="A809" t="s">
        <v>1426</v>
      </c>
      <c r="B809"/>
      <c r="C809" s="234">
        <f>(1+C804)^(1/2)-1</f>
        <v>4.8808848170151631E-2</v>
      </c>
    </row>
    <row r="810" spans="1:7">
      <c r="A810" t="s">
        <v>1369</v>
      </c>
      <c r="B810"/>
      <c r="C810" s="234">
        <f>(1+C807)^(1/2)</f>
        <v>1.0723805294763609</v>
      </c>
    </row>
    <row r="811" spans="1:7">
      <c r="A811" t="s">
        <v>1368</v>
      </c>
      <c r="B811"/>
      <c r="C811" s="234">
        <f>(1-C808)^(1/2)</f>
        <v>0.94868329805051377</v>
      </c>
    </row>
    <row r="812" spans="1:7">
      <c r="A812"/>
      <c r="B812"/>
      <c r="C812"/>
    </row>
    <row r="813" spans="1:7">
      <c r="A813" t="s">
        <v>1365</v>
      </c>
      <c r="B813"/>
      <c r="C813">
        <f>C806*C811^2</f>
        <v>4500</v>
      </c>
    </row>
    <row r="814" spans="1:7">
      <c r="A814" t="s">
        <v>1366</v>
      </c>
      <c r="B814"/>
      <c r="C814">
        <f>C806*C810^2</f>
        <v>5750.0000000000009</v>
      </c>
    </row>
    <row r="815" spans="1:7">
      <c r="A815"/>
      <c r="B815"/>
      <c r="C815"/>
    </row>
    <row r="816" spans="1:7">
      <c r="A816" t="s">
        <v>1427</v>
      </c>
      <c r="B816"/>
      <c r="C816" s="255">
        <f>(1+C809-C810)/(C811-C810)</f>
        <v>0.19055948976788356</v>
      </c>
    </row>
    <row r="817" spans="1:6">
      <c r="A817" t="s">
        <v>1428</v>
      </c>
      <c r="B817"/>
      <c r="C817" s="256">
        <f>1-C816</f>
        <v>0.80944051023211649</v>
      </c>
    </row>
    <row r="818" spans="1:6">
      <c r="A818"/>
      <c r="B818"/>
      <c r="C818"/>
    </row>
    <row r="819" spans="1:6">
      <c r="A819" t="s">
        <v>1370</v>
      </c>
      <c r="B819"/>
      <c r="C819">
        <f>MAX(0,C813-C803)</f>
        <v>0</v>
      </c>
    </row>
    <row r="820" spans="1:6">
      <c r="A820" t="s">
        <v>1371</v>
      </c>
      <c r="B820"/>
      <c r="C820">
        <f>MAX(0,C814-C803)</f>
        <v>550.00000000000091</v>
      </c>
    </row>
    <row r="821" spans="1:6">
      <c r="A821"/>
      <c r="B821"/>
      <c r="C821"/>
    </row>
    <row r="822" spans="1:6">
      <c r="A822" t="s">
        <v>919</v>
      </c>
      <c r="B822"/>
      <c r="C822" s="4">
        <f>(C816*C819+C817*C820)/(1+C804)</f>
        <v>404.72025511605887</v>
      </c>
    </row>
    <row r="824" spans="1:6" ht="15.6" customHeight="1">
      <c r="A824" s="443" t="s">
        <v>1429</v>
      </c>
      <c r="B824" s="443"/>
      <c r="C824" s="443"/>
      <c r="D824" s="443"/>
      <c r="E824" s="443"/>
      <c r="F824" s="443"/>
    </row>
    <row r="825" spans="1:6">
      <c r="A825" s="443"/>
      <c r="B825" s="443"/>
      <c r="C825" s="443"/>
      <c r="D825" s="443"/>
      <c r="E825" s="443"/>
      <c r="F825" s="443"/>
    </row>
    <row r="826" spans="1:6">
      <c r="A826" s="443"/>
      <c r="B826" s="443"/>
      <c r="C826" s="443"/>
      <c r="D826" s="443"/>
      <c r="E826" s="443"/>
      <c r="F826" s="443"/>
    </row>
    <row r="827" spans="1:6">
      <c r="A827" s="443"/>
      <c r="B827" s="443"/>
      <c r="C827" s="443"/>
      <c r="D827" s="443"/>
      <c r="E827" s="443"/>
      <c r="F827" s="443"/>
    </row>
    <row r="828" spans="1:6">
      <c r="A828" s="443"/>
      <c r="B828" s="443"/>
      <c r="C828" s="443"/>
      <c r="D828" s="443"/>
      <c r="E828" s="443"/>
      <c r="F828" s="443"/>
    </row>
    <row r="829" spans="1:6">
      <c r="A829" s="443"/>
      <c r="B829" s="443"/>
      <c r="C829" s="443"/>
      <c r="D829" s="443"/>
      <c r="E829" s="443"/>
      <c r="F829" s="443"/>
    </row>
    <row r="830" spans="1:6">
      <c r="A830" s="443"/>
      <c r="B830" s="443"/>
      <c r="C830" s="443"/>
      <c r="D830" s="443"/>
      <c r="E830" s="443"/>
      <c r="F830" s="443"/>
    </row>
    <row r="831" spans="1:6">
      <c r="A831" s="443"/>
      <c r="B831" s="443"/>
      <c r="C831" s="443"/>
      <c r="D831" s="443"/>
      <c r="E831" s="443"/>
      <c r="F831" s="443"/>
    </row>
    <row r="833" spans="1:8">
      <c r="A833" t="s">
        <v>983</v>
      </c>
      <c r="B833"/>
      <c r="C833">
        <v>220</v>
      </c>
      <c r="D833"/>
      <c r="E833"/>
      <c r="F833"/>
      <c r="G833"/>
      <c r="H833"/>
    </row>
    <row r="834" spans="1:8">
      <c r="A834" t="s">
        <v>97</v>
      </c>
      <c r="B834"/>
      <c r="C834">
        <v>200</v>
      </c>
      <c r="D834"/>
      <c r="E834"/>
      <c r="F834"/>
      <c r="G834"/>
      <c r="H834"/>
    </row>
    <row r="835" spans="1:8">
      <c r="A835" t="s">
        <v>940</v>
      </c>
      <c r="B835"/>
      <c r="C835" s="2">
        <v>0.06</v>
      </c>
      <c r="D835"/>
      <c r="E835"/>
      <c r="F835"/>
      <c r="G835"/>
      <c r="H835"/>
    </row>
    <row r="836" spans="1:8">
      <c r="A836" t="s">
        <v>290</v>
      </c>
      <c r="B836"/>
      <c r="C836">
        <v>3</v>
      </c>
      <c r="D836"/>
      <c r="E836"/>
      <c r="F836"/>
      <c r="G836"/>
      <c r="H836"/>
    </row>
    <row r="837" spans="1:8">
      <c r="A837" t="s">
        <v>1374</v>
      </c>
      <c r="B837"/>
      <c r="C837" s="2">
        <v>0.12</v>
      </c>
      <c r="D837"/>
      <c r="E837"/>
      <c r="F837"/>
      <c r="G837"/>
      <c r="H837"/>
    </row>
    <row r="838" spans="1:8">
      <c r="A838" t="s">
        <v>1375</v>
      </c>
      <c r="B838"/>
      <c r="C838" s="2">
        <v>0.09</v>
      </c>
      <c r="D838"/>
      <c r="E838"/>
      <c r="F838"/>
      <c r="G838"/>
      <c r="H838"/>
    </row>
    <row r="839" spans="1:8">
      <c r="A839" t="s">
        <v>303</v>
      </c>
      <c r="B839"/>
      <c r="C839" s="2">
        <f>1-C838</f>
        <v>0.91</v>
      </c>
      <c r="D839"/>
      <c r="E839"/>
      <c r="F839"/>
      <c r="G839"/>
      <c r="H839"/>
    </row>
    <row r="840" spans="1:8">
      <c r="A840" t="s">
        <v>1430</v>
      </c>
      <c r="B840"/>
      <c r="C840" s="2">
        <f>1+C837</f>
        <v>1.1200000000000001</v>
      </c>
      <c r="D840"/>
      <c r="E840"/>
      <c r="F840"/>
      <c r="G840"/>
      <c r="H840"/>
    </row>
    <row r="841" spans="1:8">
      <c r="A841" t="s">
        <v>1427</v>
      </c>
      <c r="B841"/>
      <c r="C841" s="2">
        <f>(1+C835-C839)/(C840-C839)</f>
        <v>0.71428571428571408</v>
      </c>
      <c r="D841"/>
      <c r="E841"/>
      <c r="F841"/>
      <c r="G841"/>
      <c r="H841"/>
    </row>
    <row r="842" spans="1:8">
      <c r="A842" t="s">
        <v>1428</v>
      </c>
      <c r="B842"/>
      <c r="C842" s="2">
        <f>(C840-(1+C835))/(C840-C839)</f>
        <v>0.28571428571428586</v>
      </c>
      <c r="D842"/>
      <c r="E842"/>
      <c r="F842"/>
      <c r="G842"/>
      <c r="H842"/>
    </row>
    <row r="843" spans="1:8">
      <c r="A843"/>
      <c r="B843"/>
      <c r="C843"/>
      <c r="D843"/>
      <c r="E843"/>
      <c r="F843"/>
      <c r="G843"/>
      <c r="H843"/>
    </row>
    <row r="844" spans="1:8">
      <c r="A844" t="s">
        <v>82</v>
      </c>
      <c r="B844" t="s">
        <v>1431</v>
      </c>
      <c r="C844" t="s">
        <v>1432</v>
      </c>
      <c r="D844" t="s">
        <v>1433</v>
      </c>
      <c r="E844" t="s">
        <v>1434</v>
      </c>
      <c r="F844"/>
      <c r="G844"/>
      <c r="H844" t="s">
        <v>1435</v>
      </c>
    </row>
    <row r="845" spans="1:8">
      <c r="A845">
        <v>0</v>
      </c>
      <c r="B845">
        <f>COMBIN($C$836,A845)</f>
        <v>1</v>
      </c>
      <c r="C845">
        <f>$C$841^A845</f>
        <v>1</v>
      </c>
      <c r="D845">
        <f>$C$842^($C$836-A845)</f>
        <v>2.3323615160349892E-2</v>
      </c>
      <c r="E845">
        <f>MAX($C$840^A845*$C$839^($C$836-A845)*$C$834-$C$833,0)</f>
        <v>0</v>
      </c>
      <c r="F845"/>
      <c r="G845"/>
      <c r="H845">
        <f>PRODUCT(B845:E845)</f>
        <v>0</v>
      </c>
    </row>
    <row r="846" spans="1:8">
      <c r="A846">
        <v>1</v>
      </c>
      <c r="B846">
        <f>COMBIN($C$836,A846)</f>
        <v>3</v>
      </c>
      <c r="C846">
        <f>$C$841^A846</f>
        <v>0.71428571428571408</v>
      </c>
      <c r="D846">
        <f>$C$842^($C$836-A846)</f>
        <v>8.163265306122458E-2</v>
      </c>
      <c r="E846">
        <f>MAX($C$840^A846*$C$839^($C$836-A846)*$C$834-$C$833,0)</f>
        <v>0</v>
      </c>
      <c r="F846"/>
      <c r="G846"/>
      <c r="H846">
        <f>PRODUCT(B846:E846)</f>
        <v>0</v>
      </c>
    </row>
    <row r="847" spans="1:8">
      <c r="A847">
        <v>2</v>
      </c>
      <c r="B847">
        <f>COMBIN($C$836,A847)</f>
        <v>3</v>
      </c>
      <c r="C847">
        <f>$C$841^A847</f>
        <v>0.51020408163265274</v>
      </c>
      <c r="D847">
        <f>$C$842^($C$836-A847)</f>
        <v>0.28571428571428586</v>
      </c>
      <c r="E847">
        <f>MAX($C$840^A847*$C$839^($C$836-A847)*$C$834-$C$833,0)</f>
        <v>8.3008000000000663</v>
      </c>
      <c r="F847"/>
      <c r="G847"/>
      <c r="H847">
        <f>PRODUCT(B847:E847)</f>
        <v>3.6300874635568796</v>
      </c>
    </row>
    <row r="848" spans="1:8">
      <c r="A848">
        <v>3</v>
      </c>
      <c r="B848">
        <f>COMBIN($C$836,A848)</f>
        <v>1</v>
      </c>
      <c r="C848">
        <f>$C$841^A848</f>
        <v>0.36443148688046612</v>
      </c>
      <c r="D848">
        <f>$C$842^($C$836-A848)</f>
        <v>1</v>
      </c>
      <c r="E848">
        <f>MAX($C$840^A848*$C$839^($C$836-A848)*$C$834-$C$833,0)</f>
        <v>60.98560000000009</v>
      </c>
      <c r="F848"/>
      <c r="G848"/>
      <c r="H848">
        <f>PRODUCT(B848:E848)</f>
        <v>22.225072886297387</v>
      </c>
    </row>
    <row r="849" spans="1:8">
      <c r="A849"/>
      <c r="B849"/>
      <c r="C849"/>
      <c r="D849"/>
      <c r="E849"/>
      <c r="F849"/>
      <c r="G849" t="s">
        <v>1436</v>
      </c>
      <c r="H849">
        <f>SUM(H845:H848)</f>
        <v>25.855160349854266</v>
      </c>
    </row>
    <row r="850" spans="1:8">
      <c r="A850"/>
      <c r="B850" t="s">
        <v>919</v>
      </c>
      <c r="C850" s="10">
        <f>1/(1+C835)^C836*H849</f>
        <v>21.708491195629833</v>
      </c>
      <c r="D850"/>
      <c r="E850"/>
      <c r="F850"/>
      <c r="G850"/>
      <c r="H850"/>
    </row>
    <row r="852" spans="1:8" ht="15.6" customHeight="1">
      <c r="A852" s="443" t="s">
        <v>1437</v>
      </c>
      <c r="B852" s="443"/>
      <c r="C852" s="443"/>
      <c r="D852" s="443"/>
      <c r="E852" s="443"/>
      <c r="F852" s="443"/>
      <c r="G852" s="443"/>
    </row>
    <row r="853" spans="1:8">
      <c r="A853" s="443"/>
      <c r="B853" s="443"/>
      <c r="C853" s="443"/>
      <c r="D853" s="443"/>
      <c r="E853" s="443"/>
      <c r="F853" s="443"/>
      <c r="G853" s="443"/>
    </row>
    <row r="854" spans="1:8">
      <c r="A854" s="443"/>
      <c r="B854" s="443"/>
      <c r="C854" s="443"/>
      <c r="D854" s="443"/>
      <c r="E854" s="443"/>
      <c r="F854" s="443"/>
      <c r="G854" s="443"/>
    </row>
    <row r="855" spans="1:8">
      <c r="A855" s="443"/>
      <c r="B855" s="443"/>
      <c r="C855" s="443"/>
      <c r="D855" s="443"/>
      <c r="E855" s="443"/>
      <c r="F855" s="443"/>
      <c r="G855" s="443"/>
    </row>
    <row r="856" spans="1:8">
      <c r="A856" s="443"/>
      <c r="B856" s="443"/>
      <c r="C856" s="443"/>
      <c r="D856" s="443"/>
      <c r="E856" s="443"/>
      <c r="F856" s="443"/>
      <c r="G856" s="443"/>
    </row>
    <row r="857" spans="1:8">
      <c r="A857" s="443"/>
      <c r="B857" s="443"/>
      <c r="C857" s="443"/>
      <c r="D857" s="443"/>
      <c r="E857" s="443"/>
      <c r="F857" s="443"/>
      <c r="G857" s="443"/>
    </row>
    <row r="858" spans="1:8">
      <c r="A858" s="443"/>
      <c r="B858" s="443"/>
      <c r="C858" s="443"/>
      <c r="D858" s="443"/>
      <c r="E858" s="443"/>
      <c r="F858" s="443"/>
      <c r="G858" s="443"/>
    </row>
    <row r="860" spans="1:8">
      <c r="A860" t="s">
        <v>97</v>
      </c>
      <c r="B860">
        <v>1000</v>
      </c>
    </row>
    <row r="861" spans="1:8">
      <c r="A861" t="s">
        <v>730</v>
      </c>
      <c r="B861">
        <v>0.4</v>
      </c>
    </row>
    <row r="862" spans="1:8">
      <c r="A862" t="s">
        <v>983</v>
      </c>
      <c r="B862">
        <v>900</v>
      </c>
    </row>
    <row r="863" spans="1:8">
      <c r="A863" t="s">
        <v>939</v>
      </c>
      <c r="B863">
        <f>6/12</f>
        <v>0.5</v>
      </c>
    </row>
    <row r="864" spans="1:8">
      <c r="A864" t="s">
        <v>940</v>
      </c>
      <c r="B864">
        <f>0.08</f>
        <v>0.08</v>
      </c>
    </row>
    <row r="865" spans="1:6">
      <c r="A865"/>
      <c r="B865"/>
    </row>
    <row r="866" spans="1:6">
      <c r="A866" t="s">
        <v>323</v>
      </c>
      <c r="B866">
        <f>(LN(B860/B862)+(B864+B861^2/2)*B863)/(B861*SQRT(B863))</f>
        <v>0.65534838792942107</v>
      </c>
    </row>
    <row r="867" spans="1:6">
      <c r="A867" t="s">
        <v>324</v>
      </c>
      <c r="B867">
        <f>B866-B861*SQRT(B863)</f>
        <v>0.37250567545480201</v>
      </c>
    </row>
    <row r="868" spans="1:6">
      <c r="A868"/>
      <c r="B868"/>
    </row>
    <row r="869" spans="1:6">
      <c r="A869" t="s">
        <v>1393</v>
      </c>
      <c r="B869">
        <f>_xlfn.NORM.S.DIST(B866,1)</f>
        <v>0.7438782633471368</v>
      </c>
    </row>
    <row r="870" spans="1:6">
      <c r="A870" t="s">
        <v>1393</v>
      </c>
      <c r="B870">
        <f>_xlfn.NORM.S.DIST(B867,1)</f>
        <v>0.64524180642062023</v>
      </c>
    </row>
    <row r="871" spans="1:6">
      <c r="A871"/>
      <c r="B871"/>
    </row>
    <row r="872" spans="1:6">
      <c r="A872" t="s">
        <v>1438</v>
      </c>
      <c r="B872" s="4">
        <f>B860*B869-B862*EXP(-B864*B863)*B870</f>
        <v>185.93090136948717</v>
      </c>
    </row>
    <row r="874" spans="1:6" ht="15.6" customHeight="1">
      <c r="A874" s="443" t="s">
        <v>1439</v>
      </c>
      <c r="B874" s="443"/>
      <c r="C874" s="443"/>
      <c r="D874" s="443"/>
      <c r="E874" s="443"/>
      <c r="F874" s="443"/>
    </row>
    <row r="875" spans="1:6">
      <c r="A875" s="443"/>
      <c r="B875" s="443"/>
      <c r="C875" s="443"/>
      <c r="D875" s="443"/>
      <c r="E875" s="443"/>
      <c r="F875" s="443"/>
    </row>
    <row r="876" spans="1:6">
      <c r="A876" s="443"/>
      <c r="B876" s="443"/>
      <c r="C876" s="443"/>
      <c r="D876" s="443"/>
      <c r="E876" s="443"/>
      <c r="F876" s="443"/>
    </row>
    <row r="877" spans="1:6">
      <c r="A877" s="443"/>
      <c r="B877" s="443"/>
      <c r="C877" s="443"/>
      <c r="D877" s="443"/>
      <c r="E877" s="443"/>
      <c r="F877" s="443"/>
    </row>
    <row r="878" spans="1:6">
      <c r="A878" s="443"/>
      <c r="B878" s="443"/>
      <c r="C878" s="443"/>
      <c r="D878" s="443"/>
      <c r="E878" s="443"/>
      <c r="F878" s="443"/>
    </row>
    <row r="879" spans="1:6">
      <c r="A879" t="s">
        <v>97</v>
      </c>
      <c r="B879">
        <v>1000</v>
      </c>
    </row>
    <row r="880" spans="1:6">
      <c r="A880" t="s">
        <v>730</v>
      </c>
      <c r="B880">
        <v>0.4</v>
      </c>
    </row>
    <row r="881" spans="1:7">
      <c r="A881" t="s">
        <v>983</v>
      </c>
      <c r="B881">
        <v>900</v>
      </c>
    </row>
    <row r="882" spans="1:7">
      <c r="A882" t="s">
        <v>939</v>
      </c>
      <c r="B882">
        <f>6/12</f>
        <v>0.5</v>
      </c>
    </row>
    <row r="883" spans="1:7">
      <c r="A883" t="s">
        <v>940</v>
      </c>
      <c r="B883">
        <f>0.08</f>
        <v>0.08</v>
      </c>
    </row>
    <row r="884" spans="1:7">
      <c r="A884"/>
      <c r="B884"/>
    </row>
    <row r="885" spans="1:7">
      <c r="A885" t="s">
        <v>323</v>
      </c>
      <c r="B885">
        <f>(LN(B879/B881)+(B883+B880^2/2)*B882)/(B880*SQRT(B882))</f>
        <v>0.65534838792942107</v>
      </c>
    </row>
    <row r="886" spans="1:7">
      <c r="A886" t="s">
        <v>324</v>
      </c>
      <c r="B886">
        <f>B885-B880*SQRT(B882)</f>
        <v>0.37250567545480201</v>
      </c>
    </row>
    <row r="887" spans="1:7">
      <c r="A887"/>
      <c r="B887"/>
    </row>
    <row r="888" spans="1:7">
      <c r="A888" t="s">
        <v>1393</v>
      </c>
      <c r="B888">
        <f>_xlfn.NORM.S.DIST(B885,1)</f>
        <v>0.7438782633471368</v>
      </c>
    </row>
    <row r="889" spans="1:7">
      <c r="A889" t="s">
        <v>1394</v>
      </c>
      <c r="B889">
        <f>_xlfn.NORM.S.DIST(B886,1)</f>
        <v>0.64524180642062023</v>
      </c>
    </row>
    <row r="890" spans="1:7">
      <c r="A890"/>
      <c r="B890"/>
    </row>
    <row r="891" spans="1:7">
      <c r="A891" t="s">
        <v>521</v>
      </c>
      <c r="B891" s="4">
        <f>B881*EXP(-B883*B882)*(1-B889)-B879*(1-B888)</f>
        <v>50.641396606578041</v>
      </c>
    </row>
    <row r="894" spans="1:7" ht="15.6" customHeight="1">
      <c r="A894" s="443" t="s">
        <v>1440</v>
      </c>
      <c r="B894" s="443"/>
      <c r="C894" s="443"/>
      <c r="D894" s="443"/>
      <c r="E894" s="443"/>
      <c r="F894" s="443"/>
      <c r="G894" s="443"/>
    </row>
    <row r="895" spans="1:7">
      <c r="A895" s="443"/>
      <c r="B895" s="443"/>
      <c r="C895" s="443"/>
      <c r="D895" s="443"/>
      <c r="E895" s="443"/>
      <c r="F895" s="443"/>
      <c r="G895" s="443"/>
    </row>
    <row r="896" spans="1:7">
      <c r="A896" s="443"/>
      <c r="B896" s="443"/>
      <c r="C896" s="443"/>
      <c r="D896" s="443"/>
      <c r="E896" s="443"/>
      <c r="F896" s="443"/>
      <c r="G896" s="443"/>
    </row>
    <row r="897" spans="1:7">
      <c r="A897" s="443"/>
      <c r="B897" s="443"/>
      <c r="C897" s="443"/>
      <c r="D897" s="443"/>
      <c r="E897" s="443"/>
      <c r="F897" s="443"/>
      <c r="G897" s="443"/>
    </row>
    <row r="898" spans="1:7">
      <c r="A898" s="443"/>
      <c r="B898" s="443"/>
      <c r="C898" s="443"/>
      <c r="D898" s="443"/>
      <c r="E898" s="443"/>
      <c r="F898" s="443"/>
      <c r="G898" s="443"/>
    </row>
    <row r="899" spans="1:7">
      <c r="A899" s="443"/>
      <c r="B899" s="443"/>
      <c r="C899" s="443"/>
      <c r="D899" s="443"/>
      <c r="E899" s="443"/>
      <c r="F899" s="443"/>
      <c r="G899" s="443"/>
    </row>
    <row r="900" spans="1:7">
      <c r="A900" s="443"/>
      <c r="B900" s="443"/>
      <c r="C900" s="443"/>
      <c r="D900" s="443"/>
      <c r="E900" s="443"/>
      <c r="F900" s="443"/>
      <c r="G900" s="443"/>
    </row>
    <row r="901" spans="1:7">
      <c r="A901" s="443"/>
      <c r="B901" s="443"/>
      <c r="C901" s="443"/>
      <c r="D901" s="443"/>
      <c r="E901" s="443"/>
      <c r="F901" s="443"/>
      <c r="G901" s="443"/>
    </row>
    <row r="902" spans="1:7">
      <c r="A902" s="443"/>
      <c r="B902" s="443"/>
      <c r="C902" s="443"/>
      <c r="D902" s="443"/>
      <c r="E902" s="443"/>
      <c r="F902" s="443"/>
      <c r="G902" s="443"/>
    </row>
    <row r="904" spans="1:7">
      <c r="A904" t="s">
        <v>97</v>
      </c>
      <c r="B904">
        <v>6000</v>
      </c>
      <c r="C904"/>
    </row>
    <row r="905" spans="1:7">
      <c r="A905" t="s">
        <v>983</v>
      </c>
      <c r="B905">
        <v>5900</v>
      </c>
      <c r="C905"/>
    </row>
    <row r="906" spans="1:7">
      <c r="A906" t="s">
        <v>1047</v>
      </c>
      <c r="B906" s="2">
        <f>8%</f>
        <v>0.08</v>
      </c>
      <c r="C906"/>
    </row>
    <row r="907" spans="1:7">
      <c r="A907" t="s">
        <v>290</v>
      </c>
      <c r="B907">
        <v>1</v>
      </c>
      <c r="C907"/>
    </row>
    <row r="908" spans="1:7">
      <c r="A908" t="s">
        <v>730</v>
      </c>
      <c r="B908" s="2">
        <f>25%</f>
        <v>0.25</v>
      </c>
      <c r="C908">
        <f>B908/4</f>
        <v>6.25E-2</v>
      </c>
    </row>
    <row r="909" spans="1:7">
      <c r="A909"/>
      <c r="B909"/>
      <c r="C909"/>
    </row>
    <row r="910" spans="1:7">
      <c r="A910" t="s">
        <v>1430</v>
      </c>
      <c r="B910">
        <f>EXP(C908*SQRT(B907))</f>
        <v>1.0644944589178593</v>
      </c>
      <c r="C910"/>
    </row>
    <row r="911" spans="1:7">
      <c r="A911" t="s">
        <v>303</v>
      </c>
      <c r="B911">
        <f>EXP(-C908*SQRT(B907))</f>
        <v>0.93941306281347581</v>
      </c>
      <c r="C911"/>
    </row>
    <row r="912" spans="1:7">
      <c r="A912" t="s">
        <v>1441</v>
      </c>
      <c r="B912" s="257">
        <f>EXP(B906)^B908-1</f>
        <v>2.0201340026755776E-2</v>
      </c>
      <c r="C912"/>
    </row>
    <row r="913" spans="1:5">
      <c r="A913"/>
      <c r="B913"/>
      <c r="C913"/>
    </row>
    <row r="914" spans="1:5">
      <c r="A914" t="s">
        <v>1365</v>
      </c>
      <c r="B914">
        <f>B904*B910</f>
        <v>6386.9667535071558</v>
      </c>
      <c r="C914"/>
    </row>
    <row r="915" spans="1:5">
      <c r="A915" t="s">
        <v>1366</v>
      </c>
      <c r="B915">
        <f>B904*B911</f>
        <v>5636.4783768808547</v>
      </c>
      <c r="C915"/>
    </row>
    <row r="916" spans="1:5">
      <c r="A916"/>
      <c r="B916"/>
      <c r="C916"/>
    </row>
    <row r="917" spans="1:5">
      <c r="A917" t="s">
        <v>1442</v>
      </c>
      <c r="B917"/>
      <c r="C917">
        <f>MAX(0,-B914+B905)</f>
        <v>0</v>
      </c>
    </row>
    <row r="918" spans="1:5">
      <c r="A918" t="s">
        <v>1443</v>
      </c>
      <c r="B918"/>
      <c r="C918">
        <f>MAX(0,-B915+B905)</f>
        <v>263.52162311914526</v>
      </c>
    </row>
    <row r="919" spans="1:5">
      <c r="A919"/>
      <c r="B919"/>
      <c r="C919"/>
    </row>
    <row r="920" spans="1:5">
      <c r="A920" t="s">
        <v>1438</v>
      </c>
      <c r="B920" s="4">
        <f>(B910-(1+B912))*C918/(1+B912)/(B910-B911)</f>
        <v>91.46899540101154</v>
      </c>
      <c r="C920"/>
    </row>
    <row r="922" spans="1:5" ht="15.6" customHeight="1">
      <c r="A922" s="443" t="s">
        <v>1444</v>
      </c>
      <c r="B922" s="443"/>
      <c r="C922" s="443"/>
      <c r="D922" s="443"/>
      <c r="E922" s="443"/>
    </row>
    <row r="923" spans="1:5">
      <c r="A923" s="443"/>
      <c r="B923" s="443"/>
      <c r="C923" s="443"/>
      <c r="D923" s="443"/>
      <c r="E923" s="443"/>
    </row>
    <row r="924" spans="1:5">
      <c r="A924" s="443"/>
      <c r="B924" s="443"/>
      <c r="C924" s="443"/>
      <c r="D924" s="443"/>
      <c r="E924" s="443"/>
    </row>
    <row r="925" spans="1:5">
      <c r="A925" s="443"/>
      <c r="B925" s="443"/>
      <c r="C925" s="443"/>
      <c r="D925" s="443"/>
      <c r="E925" s="443"/>
    </row>
    <row r="926" spans="1:5">
      <c r="A926" s="443"/>
      <c r="B926" s="443"/>
      <c r="C926" s="443"/>
      <c r="D926" s="443"/>
      <c r="E926" s="443"/>
    </row>
    <row r="927" spans="1:5">
      <c r="A927" s="443"/>
      <c r="B927" s="443"/>
      <c r="C927" s="443"/>
      <c r="D927" s="443"/>
      <c r="E927" s="443"/>
    </row>
    <row r="929" spans="1:7" ht="15.6" customHeight="1">
      <c r="A929" s="443" t="s">
        <v>1445</v>
      </c>
      <c r="B929" s="443"/>
      <c r="C929" s="443"/>
      <c r="D929" s="443"/>
      <c r="E929" s="443"/>
      <c r="F929" s="443"/>
    </row>
    <row r="930" spans="1:7">
      <c r="A930" s="443"/>
      <c r="B930" s="443"/>
      <c r="C930" s="443"/>
      <c r="D930" s="443"/>
      <c r="E930" s="443"/>
      <c r="F930" s="443"/>
    </row>
    <row r="931" spans="1:7">
      <c r="A931" s="443"/>
      <c r="B931" s="443"/>
      <c r="C931" s="443"/>
      <c r="D931" s="443"/>
      <c r="E931" s="443"/>
      <c r="F931" s="443"/>
    </row>
    <row r="932" spans="1:7">
      <c r="A932" s="443"/>
      <c r="B932" s="443"/>
      <c r="C932" s="443"/>
      <c r="D932" s="443"/>
      <c r="E932" s="443"/>
      <c r="F932" s="443"/>
    </row>
    <row r="933" spans="1:7">
      <c r="A933" s="443"/>
      <c r="B933" s="443"/>
      <c r="C933" s="443"/>
      <c r="D933" s="443"/>
      <c r="E933" s="443"/>
      <c r="F933" s="443"/>
    </row>
    <row r="934" spans="1:7">
      <c r="A934" s="443"/>
      <c r="B934" s="443"/>
      <c r="C934" s="443"/>
      <c r="D934" s="443"/>
      <c r="E934" s="443"/>
      <c r="F934" s="443"/>
    </row>
    <row r="936" spans="1:7" ht="15.6" customHeight="1">
      <c r="A936" s="443" t="s">
        <v>1446</v>
      </c>
      <c r="B936" s="443"/>
      <c r="C936" s="443"/>
      <c r="D936" s="443"/>
      <c r="E936" s="443"/>
      <c r="F936" s="443"/>
    </row>
    <row r="937" spans="1:7">
      <c r="A937" s="443"/>
      <c r="B937" s="443"/>
      <c r="C937" s="443"/>
      <c r="D937" s="443"/>
      <c r="E937" s="443"/>
      <c r="F937" s="443"/>
    </row>
    <row r="938" spans="1:7">
      <c r="A938" s="443"/>
      <c r="B938" s="443"/>
      <c r="C938" s="443"/>
      <c r="D938" s="443"/>
      <c r="E938" s="443"/>
      <c r="F938" s="443"/>
    </row>
    <row r="939" spans="1:7">
      <c r="A939" s="443"/>
      <c r="B939" s="443"/>
      <c r="C939" s="443"/>
      <c r="D939" s="443"/>
      <c r="E939" s="443"/>
      <c r="F939" s="443"/>
    </row>
    <row r="940" spans="1:7">
      <c r="A940" s="443"/>
      <c r="B940" s="443"/>
      <c r="C940" s="443"/>
      <c r="D940" s="443"/>
      <c r="E940" s="443"/>
      <c r="F940" s="443"/>
    </row>
    <row r="941" spans="1:7">
      <c r="A941" s="443"/>
      <c r="B941" s="443"/>
      <c r="C941" s="443"/>
      <c r="D941" s="443"/>
      <c r="E941" s="443"/>
      <c r="F941" s="443"/>
    </row>
    <row r="942" spans="1:7">
      <c r="A942" s="443"/>
      <c r="B942" s="443"/>
      <c r="C942" s="443"/>
      <c r="D942" s="443"/>
      <c r="E942" s="443"/>
      <c r="F942" s="443"/>
    </row>
    <row r="944" spans="1:7" ht="15.6" customHeight="1">
      <c r="A944" s="443" t="s">
        <v>1447</v>
      </c>
      <c r="B944" s="443"/>
      <c r="C944" s="443"/>
      <c r="D944" s="443"/>
      <c r="E944" s="443"/>
      <c r="F944" s="443"/>
      <c r="G944" s="443"/>
    </row>
    <row r="945" spans="1:8">
      <c r="A945" s="443"/>
      <c r="B945" s="443"/>
      <c r="C945" s="443"/>
      <c r="D945" s="443"/>
      <c r="E945" s="443"/>
      <c r="F945" s="443"/>
      <c r="G945" s="443"/>
    </row>
    <row r="946" spans="1:8">
      <c r="A946" s="443"/>
      <c r="B946" s="443"/>
      <c r="C946" s="443"/>
      <c r="D946" s="443"/>
      <c r="E946" s="443"/>
      <c r="F946" s="443"/>
      <c r="G946" s="443"/>
    </row>
    <row r="947" spans="1:8">
      <c r="A947" s="443"/>
      <c r="B947" s="443"/>
      <c r="C947" s="443"/>
      <c r="D947" s="443"/>
      <c r="E947" s="443"/>
      <c r="F947" s="443"/>
      <c r="G947" s="443"/>
    </row>
    <row r="948" spans="1:8">
      <c r="A948" s="443"/>
      <c r="B948" s="443"/>
      <c r="C948" s="443"/>
      <c r="D948" s="443"/>
      <c r="E948" s="443"/>
      <c r="F948" s="443"/>
      <c r="G948" s="443"/>
    </row>
    <row r="949" spans="1:8">
      <c r="A949" s="443"/>
      <c r="B949" s="443"/>
      <c r="C949" s="443"/>
      <c r="D949" s="443"/>
      <c r="E949" s="443"/>
      <c r="F949" s="443"/>
      <c r="G949" s="443"/>
    </row>
    <row r="950" spans="1:8">
      <c r="A950" s="443"/>
      <c r="B950" s="443"/>
      <c r="C950" s="443"/>
      <c r="D950" s="443"/>
      <c r="E950" s="443"/>
      <c r="F950" s="443"/>
      <c r="G950" s="443"/>
    </row>
    <row r="951" spans="1:8">
      <c r="A951" s="443"/>
      <c r="B951" s="443"/>
      <c r="C951" s="443"/>
      <c r="D951" s="443"/>
      <c r="E951" s="443"/>
      <c r="F951" s="443"/>
      <c r="G951" s="443"/>
    </row>
    <row r="952" spans="1:8">
      <c r="A952" s="443"/>
      <c r="B952" s="443"/>
      <c r="C952" s="443"/>
      <c r="D952" s="443"/>
      <c r="E952" s="443"/>
      <c r="F952" s="443"/>
      <c r="G952" s="443"/>
    </row>
    <row r="953" spans="1:8">
      <c r="A953" s="443"/>
      <c r="B953" s="443"/>
      <c r="C953" s="443"/>
      <c r="D953" s="443"/>
      <c r="E953" s="443"/>
      <c r="F953" s="443"/>
      <c r="G953" s="443"/>
    </row>
    <row r="955" spans="1:8" ht="15.6" customHeight="1">
      <c r="A955" s="443" t="s">
        <v>1448</v>
      </c>
      <c r="B955" s="443"/>
      <c r="C955" s="443"/>
      <c r="D955" s="443"/>
      <c r="E955" s="443"/>
      <c r="F955" s="443"/>
      <c r="G955" s="443"/>
      <c r="H955" s="443"/>
    </row>
    <row r="956" spans="1:8">
      <c r="A956" s="443"/>
      <c r="B956" s="443"/>
      <c r="C956" s="443"/>
      <c r="D956" s="443"/>
      <c r="E956" s="443"/>
      <c r="F956" s="443"/>
      <c r="G956" s="443"/>
      <c r="H956" s="443"/>
    </row>
    <row r="957" spans="1:8">
      <c r="A957" s="443"/>
      <c r="B957" s="443"/>
      <c r="C957" s="443"/>
      <c r="D957" s="443"/>
      <c r="E957" s="443"/>
      <c r="F957" s="443"/>
      <c r="G957" s="443"/>
      <c r="H957" s="443"/>
    </row>
    <row r="958" spans="1:8">
      <c r="A958" s="443"/>
      <c r="B958" s="443"/>
      <c r="C958" s="443"/>
      <c r="D958" s="443"/>
      <c r="E958" s="443"/>
      <c r="F958" s="443"/>
      <c r="G958" s="443"/>
      <c r="H958" s="443"/>
    </row>
    <row r="959" spans="1:8">
      <c r="A959" s="443"/>
      <c r="B959" s="443"/>
      <c r="C959" s="443"/>
      <c r="D959" s="443"/>
      <c r="E959" s="443"/>
      <c r="F959" s="443"/>
      <c r="G959" s="443"/>
      <c r="H959" s="443"/>
    </row>
    <row r="960" spans="1:8">
      <c r="A960" s="443"/>
      <c r="B960" s="443"/>
      <c r="C960" s="443"/>
      <c r="D960" s="443"/>
      <c r="E960" s="443"/>
      <c r="F960" s="443"/>
      <c r="G960" s="443"/>
      <c r="H960" s="443"/>
    </row>
    <row r="961" spans="1:8">
      <c r="A961" s="443"/>
      <c r="B961" s="443"/>
      <c r="C961" s="443"/>
      <c r="D961" s="443"/>
      <c r="E961" s="443"/>
      <c r="F961" s="443"/>
      <c r="G961" s="443"/>
      <c r="H961" s="443"/>
    </row>
    <row r="962" spans="1:8">
      <c r="A962" s="443"/>
      <c r="B962" s="443"/>
      <c r="C962" s="443"/>
      <c r="D962" s="443"/>
      <c r="E962" s="443"/>
      <c r="F962" s="443"/>
      <c r="G962" s="443"/>
      <c r="H962" s="443"/>
    </row>
    <row r="963" spans="1:8">
      <c r="A963" s="443"/>
      <c r="B963" s="443"/>
      <c r="C963" s="443"/>
      <c r="D963" s="443"/>
      <c r="E963" s="443"/>
      <c r="F963" s="443"/>
      <c r="G963" s="443"/>
      <c r="H963" s="443"/>
    </row>
  </sheetData>
  <mergeCells count="64">
    <mergeCell ref="E269:L274"/>
    <mergeCell ref="G182:L187"/>
    <mergeCell ref="A222:L225"/>
    <mergeCell ref="H233:P237"/>
    <mergeCell ref="H240:P244"/>
    <mergeCell ref="A396:P399"/>
    <mergeCell ref="A400:I405"/>
    <mergeCell ref="A406:N408"/>
    <mergeCell ref="A299:H308"/>
    <mergeCell ref="A320:M323"/>
    <mergeCell ref="A342:I350"/>
    <mergeCell ref="A364:I371"/>
    <mergeCell ref="A384:O387"/>
    <mergeCell ref="A389:I394"/>
    <mergeCell ref="A409:I413"/>
    <mergeCell ref="A414:I419"/>
    <mergeCell ref="A437:F445"/>
    <mergeCell ref="A447:F455"/>
    <mergeCell ref="A481:F486"/>
    <mergeCell ref="A637:G645"/>
    <mergeCell ref="A488:I497"/>
    <mergeCell ref="A517:H524"/>
    <mergeCell ref="A541:F547"/>
    <mergeCell ref="A549:G556"/>
    <mergeCell ref="A558:G563"/>
    <mergeCell ref="A565:G568"/>
    <mergeCell ref="A577:G581"/>
    <mergeCell ref="A590:G595"/>
    <mergeCell ref="A604:G610"/>
    <mergeCell ref="A619:G626"/>
    <mergeCell ref="A656:H665"/>
    <mergeCell ref="A675:J686"/>
    <mergeCell ref="A715:J725"/>
    <mergeCell ref="A743:J753"/>
    <mergeCell ref="A765:H774"/>
    <mergeCell ref="A929:F934"/>
    <mergeCell ref="A936:F942"/>
    <mergeCell ref="A944:G953"/>
    <mergeCell ref="A955:H963"/>
    <mergeCell ref="A792:G801"/>
    <mergeCell ref="A824:F831"/>
    <mergeCell ref="A852:G858"/>
    <mergeCell ref="A874:F878"/>
    <mergeCell ref="A894:G902"/>
    <mergeCell ref="A922:E927"/>
    <mergeCell ref="C144:J148"/>
    <mergeCell ref="A67:E73"/>
    <mergeCell ref="A81:E86"/>
    <mergeCell ref="A94:E100"/>
    <mergeCell ref="A1:H5"/>
    <mergeCell ref="A12:H16"/>
    <mergeCell ref="A23:F27"/>
    <mergeCell ref="A34:F38"/>
    <mergeCell ref="E28:H30"/>
    <mergeCell ref="E39:I41"/>
    <mergeCell ref="E61:I64"/>
    <mergeCell ref="E127:I130"/>
    <mergeCell ref="E138:I140"/>
    <mergeCell ref="P89:V94"/>
    <mergeCell ref="A108:F113"/>
    <mergeCell ref="A121:F126"/>
    <mergeCell ref="A133:F137"/>
    <mergeCell ref="A45:F49"/>
    <mergeCell ref="A56:F60"/>
  </mergeCells>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5031731d-264e-464f-8658-dc13b55f78d8"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Документ" ma:contentTypeID="0x0101001B3361574D1AE041BC04ED31BE3A1C44" ma:contentTypeVersion="14" ma:contentTypeDescription="Создание документа." ma:contentTypeScope="" ma:versionID="843f3401e778dfe4c801380a9de29a5a">
  <xsd:schema xmlns:xsd="http://www.w3.org/2001/XMLSchema" xmlns:xs="http://www.w3.org/2001/XMLSchema" xmlns:p="http://schemas.microsoft.com/office/2006/metadata/properties" xmlns:ns3="5031731d-264e-464f-8658-dc13b55f78d8" xmlns:ns4="f6135517-a359-4566-b77a-97acec47cec0" targetNamespace="http://schemas.microsoft.com/office/2006/metadata/properties" ma:root="true" ma:fieldsID="9d9895f45bb1c122146cf2e9ec8fb2ec" ns3:_="" ns4:_="">
    <xsd:import namespace="5031731d-264e-464f-8658-dc13b55f78d8"/>
    <xsd:import namespace="f6135517-a359-4566-b77a-97acec47cec0"/>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31731d-264e-464f-8658-dc13b55f78d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6135517-a359-4566-b77a-97acec47cec0" elementFormDefault="qualified">
    <xsd:import namespace="http://schemas.microsoft.com/office/2006/documentManagement/types"/>
    <xsd:import namespace="http://schemas.microsoft.com/office/infopath/2007/PartnerControls"/>
    <xsd:element name="SharedWithUsers" ma:index="12" nillable="true" ma:displayName="Общий доступ с использованием"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Совместно с подробностями" ma:internalName="SharedWithDetails" ma:readOnly="true">
      <xsd:simpleType>
        <xsd:restriction base="dms:Note">
          <xsd:maxLength value="255"/>
        </xsd:restriction>
      </xsd:simpleType>
    </xsd:element>
    <xsd:element name="SharingHintHash" ma:index="14" nillable="true" ma:displayName="Хэш подсказки о совместном доступе"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Тип контента"/>
        <xsd:element ref="dc:title" minOccurs="0" maxOccurs="1" ma:index="4" ma:displayName="Название"/>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A005241-668C-4CF9-8E20-0787FD9F1B39}">
  <ds:schemaRefs>
    <ds:schemaRef ds:uri="5031731d-264e-464f-8658-dc13b55f78d8"/>
    <ds:schemaRef ds:uri="http://purl.org/dc/elements/1.1/"/>
    <ds:schemaRef ds:uri="http://purl.org/dc/terms/"/>
    <ds:schemaRef ds:uri="http://schemas.microsoft.com/office/infopath/2007/PartnerControls"/>
    <ds:schemaRef ds:uri="http://purl.org/dc/dcmitype/"/>
    <ds:schemaRef ds:uri="http://schemas.microsoft.com/office/2006/metadata/properties"/>
    <ds:schemaRef ds:uri="f6135517-a359-4566-b77a-97acec47cec0"/>
    <ds:schemaRef ds:uri="http://schemas.microsoft.com/office/2006/documentManagement/type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4A08EA35-2C6A-40A8-A281-45E5C11AF076}">
  <ds:schemaRefs>
    <ds:schemaRef ds:uri="http://schemas.microsoft.com/sharepoint/v3/contenttype/forms"/>
  </ds:schemaRefs>
</ds:datastoreItem>
</file>

<file path=customXml/itemProps3.xml><?xml version="1.0" encoding="utf-8"?>
<ds:datastoreItem xmlns:ds="http://schemas.openxmlformats.org/officeDocument/2006/customXml" ds:itemID="{4547C897-6636-4A64-B2BD-4A464B218F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31731d-264e-464f-8658-dc13b55f78d8"/>
    <ds:schemaRef ds:uri="f6135517-a359-4566-b77a-97acec47cec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Простые и сложные проценты. (1)</vt:lpstr>
      <vt:lpstr>Дисконтирование. Учетная ста(2)</vt:lpstr>
      <vt:lpstr>Основные характеристики пот.(3)</vt:lpstr>
      <vt:lpstr>Кратные ренты(4)</vt:lpstr>
      <vt:lpstr>Портфельный анализ (5)</vt:lpstr>
      <vt:lpstr>Облигации(6)</vt:lpstr>
      <vt:lpstr>Портфель Марковица (7)</vt:lpstr>
      <vt:lpstr>Производные фининструменты(8)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Шамраева Виктория Викторовна</dc:creator>
  <cp:keywords/>
  <dc:description/>
  <cp:lastModifiedBy>Nikita</cp:lastModifiedBy>
  <cp:revision/>
  <dcterms:created xsi:type="dcterms:W3CDTF">2022-12-16T14:19:51Z</dcterms:created>
  <dcterms:modified xsi:type="dcterms:W3CDTF">2023-01-14T07:03:20Z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0x0101001B3361574D1AE041BC04ED31BE3A1C44</vt:lpwstr>
  </property>
</Properties>
</file>