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266A5A50-A4E5-4C73-9BA4-D8E1ED5E398D}" xr6:coauthVersionLast="40" xr6:coauthVersionMax="40" xr10:uidLastSave="{00000000-0000-0000-0000-000000000000}"/>
  <bookViews>
    <workbookView xWindow="0" yWindow="0" windowWidth="21570" windowHeight="7980" xr2:uid="{FCF2A958-E2C4-4343-9B21-28B30D08C765}"/>
  </bookViews>
  <sheets>
    <sheet name="Раз раз раз это HardBAS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9" i="1" l="1"/>
  <c r="BD97" i="1"/>
  <c r="AY99" i="1"/>
  <c r="BE101" i="1"/>
  <c r="AT84" i="1"/>
  <c r="AU80" i="1"/>
  <c r="AT83" i="1"/>
  <c r="AD84" i="1"/>
  <c r="AD85" i="1" s="1"/>
  <c r="AW63" i="1"/>
  <c r="AS63" i="1"/>
  <c r="AT49" i="1"/>
  <c r="AU36" i="1"/>
  <c r="AU35" i="1"/>
  <c r="AU26" i="1"/>
  <c r="AU25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AT23" i="1"/>
  <c r="BI8" i="1"/>
  <c r="BH8" i="1"/>
  <c r="BG8" i="1"/>
  <c r="BG7" i="1"/>
  <c r="BI5" i="1"/>
  <c r="BH5" i="1"/>
  <c r="BG5" i="1"/>
  <c r="AJ24" i="1"/>
  <c r="AE24" i="1"/>
  <c r="AP6" i="1"/>
  <c r="AQ6" i="1"/>
  <c r="AO6" i="1"/>
  <c r="AO101" i="1"/>
  <c r="AO99" i="1"/>
  <c r="AN97" i="1"/>
  <c r="AH103" i="1"/>
  <c r="AH102" i="1"/>
  <c r="AH101" i="1"/>
  <c r="AI100" i="1"/>
  <c r="AJ100" i="1"/>
  <c r="AH100" i="1"/>
  <c r="AJ99" i="1"/>
  <c r="AD99" i="1"/>
  <c r="AD98" i="1"/>
  <c r="AE81" i="1"/>
  <c r="AH63" i="1"/>
  <c r="AD63" i="1"/>
  <c r="AG51" i="1"/>
  <c r="AG39" i="1"/>
  <c r="AG37" i="1"/>
  <c r="AF26" i="1"/>
  <c r="AJ23" i="1"/>
  <c r="AE23" i="1"/>
  <c r="AQ5" i="1"/>
  <c r="AP5" i="1"/>
  <c r="AO5" i="1"/>
  <c r="Y12" i="1"/>
  <c r="P105" i="1"/>
  <c r="O103" i="1"/>
  <c r="S100" i="1"/>
  <c r="S99" i="1"/>
  <c r="N100" i="1"/>
  <c r="N99" i="1"/>
  <c r="N84" i="1"/>
  <c r="N83" i="1"/>
  <c r="O80" i="1"/>
  <c r="N65" i="1"/>
  <c r="M53" i="1"/>
  <c r="O51" i="1"/>
  <c r="N38" i="1"/>
  <c r="N37" i="1"/>
  <c r="N27" i="1"/>
  <c r="N26" i="1"/>
  <c r="O25" i="1"/>
  <c r="P25" i="1"/>
  <c r="N25" i="1"/>
  <c r="N24" i="1"/>
  <c r="Y11" i="1"/>
  <c r="Z10" i="1"/>
  <c r="AA10" i="1"/>
  <c r="Y10" i="1"/>
  <c r="Y9" i="1"/>
  <c r="Z8" i="1"/>
  <c r="AA8" i="1"/>
  <c r="Y8" i="1"/>
  <c r="Z7" i="1"/>
  <c r="AA7" i="1"/>
  <c r="Y7" i="1"/>
  <c r="J8" i="1"/>
  <c r="J9" i="1" s="1"/>
  <c r="B55" i="1"/>
  <c r="C54" i="1"/>
  <c r="C43" i="1"/>
  <c r="C39" i="1"/>
  <c r="C26" i="1"/>
  <c r="C25" i="1"/>
  <c r="K7" i="1"/>
  <c r="L7" i="1"/>
  <c r="J7" i="1"/>
  <c r="AF27" i="1" l="1"/>
  <c r="AO7" i="1"/>
  <c r="AQ8" i="1" s="1"/>
  <c r="K9" i="1"/>
  <c r="L9" i="1"/>
  <c r="AP8" i="1" l="1"/>
  <c r="AO10" i="1" s="1"/>
  <c r="AO9" i="1"/>
  <c r="AO8" i="1"/>
</calcChain>
</file>

<file path=xl/sharedStrings.xml><?xml version="1.0" encoding="utf-8"?>
<sst xmlns="http://schemas.openxmlformats.org/spreadsheetml/2006/main" count="155" uniqueCount="100">
  <si>
    <t>Аналитики страховой компании по степени ущерба различают три типа страховых случаев (1, 2, 3). Их доли равны соответственно 0.3, 0.3 и 0.4. Вероятности того, что клиенту будет отказано в выплате страховой премии равны 0.2 – по типу 1, 0.5 – по типу 2 и 0.05 – по типу 3. Найдите вероятность P того, что при наступлении страхового случая страховая премия будет клиенту выплачена. Указать, какой при этом тип страхового случая (1,2,3) произошел скорее всего.</t>
  </si>
  <si>
    <t>P(Hi/A)</t>
  </si>
  <si>
    <t>P(A/Hi)</t>
  </si>
  <si>
    <t>P(Hi)</t>
  </si>
  <si>
    <t>P(A)</t>
  </si>
  <si>
    <t>X</t>
  </si>
  <si>
    <t>P</t>
  </si>
  <si>
    <t>Процент ежемесячной инфляции представлен случайной дискретной величиной X c распределением</t>
  </si>
  <si>
    <t xml:space="preserve">E(X) = </t>
  </si>
  <si>
    <t xml:space="preserve">P(x&gt;2) = </t>
  </si>
  <si>
    <t>C(13^4/4 - 0^4/4) = 1</t>
  </si>
  <si>
    <t xml:space="preserve">C = </t>
  </si>
  <si>
    <t>EX =</t>
  </si>
  <si>
    <t>EX = C(13^5/5 - 0^5/5)</t>
  </si>
  <si>
    <t>Банк совершил 5000 транзакций по кредитным картам. Вероятность P того, что транзакция будет ошибочной, равна 0.00038. Найдите вероятность того, что банк совершит не более 3 ошибочных транзакций. В поле ответа введите значение полученной вероятности P.</t>
  </si>
  <si>
    <t>n=</t>
  </si>
  <si>
    <t>p=</t>
  </si>
  <si>
    <t>q=</t>
  </si>
  <si>
    <t xml:space="preserve">Иванов, Петров и Сидоров претендуют на должность ди⁠ректора энергетической компании с шансами 6:9:7. По заявленным программам претендентов при избрании на должность Иванова компания через год увеличит долю своей капитализации на 1.4 млрд. рублей, при избрании Петрова - на  1.8 млрд. рублей, а при избрании Сидорова - на 2.2 млрд. рублей. Найдите вероятность P1 того, что доля капитализации компании через год после выборов ди⁠ректора увеличилась не менее, чем на 1.6 млрд. руб. Какова при этом вероятность P2, что ди⁠ректором компании был выбран Петров? </t>
  </si>
  <si>
    <t>шанс</t>
  </si>
  <si>
    <t>на млрд</t>
  </si>
  <si>
    <t>не менее чем на 1,6 млрд = 2+3</t>
  </si>
  <si>
    <t>P1=</t>
  </si>
  <si>
    <t>p2 =</t>
  </si>
  <si>
    <t>Иванов</t>
  </si>
  <si>
    <t>Петров</t>
  </si>
  <si>
    <t>Сидоров</t>
  </si>
  <si>
    <t>Величина ежемесячной инфляции представлена дискретной случайной величиной X c распределением</t>
  </si>
  <si>
    <t>EX=</t>
  </si>
  <si>
    <t>EX2=</t>
  </si>
  <si>
    <t>DX=</t>
  </si>
  <si>
    <t>c=</t>
  </si>
  <si>
    <t>P(x&lt;1)=</t>
  </si>
  <si>
    <t>Вероятность выпуска бракованного изделия равна 0.14. Найдите вероятность P того, что среди 900 выпущенных изделий более 769 изделий окажется без брака. В поле ответа введите значение полученной вероятности P.</t>
  </si>
  <si>
    <t>n=900</t>
  </si>
  <si>
    <t>k=</t>
  </si>
  <si>
    <t>Время X (в днях) реализации некоторого типового контракта распределено по показательному закону с параметром λ=0.02. Найдите вероятность P того, что случайно выбранный типовой контракт будет реализован за время от 2 до 10 дней включительно.  В поле ответа введите значение полученной вероятности P.</t>
  </si>
  <si>
    <t>1-exp(-Лx)</t>
  </si>
  <si>
    <t>Л=</t>
  </si>
  <si>
    <t>(2;10)</t>
  </si>
  <si>
    <t>p(X,Y) = 0,47</t>
  </si>
  <si>
    <t>E(X-Y) =EX-EY</t>
  </si>
  <si>
    <t>EX=m</t>
  </si>
  <si>
    <t>DX=сигма в квадрате</t>
  </si>
  <si>
    <t>EX</t>
  </si>
  <si>
    <t>EY</t>
  </si>
  <si>
    <t>DX</t>
  </si>
  <si>
    <t>DY</t>
  </si>
  <si>
    <t>D(X-Y)= DX+DY-2*cov(X,Y)</t>
  </si>
  <si>
    <t>xov(X,Y)= p(X,Y)*aqrt(DX*DXY)</t>
  </si>
  <si>
    <t xml:space="preserve">cov = </t>
  </si>
  <si>
    <t>D(X-Y) =</t>
  </si>
  <si>
    <t>Ежедневное количество покупателей магазина, совершивших покупку, описывается случайной величиной X, распределенной по биномиальному закону с параметрами n = 750 и p = 0.84. А сумма чека (в рублях) каждого из покупателей описывается случайной величиной Y, распределенной по нормальному закону с параметрами m = 5000 и σ = 150. Оцените методом Монте-Карло ежедневную среднюю выручку магазина и ее дисперсию.
В поля ответов введите полученные значения для среднего (E) и дисперсии (Var) ежедневной выручки.</t>
  </si>
  <si>
    <t>EX=np</t>
  </si>
  <si>
    <t>DX=npq</t>
  </si>
  <si>
    <t>EY=m</t>
  </si>
  <si>
    <t>DY=сигма в квадрате</t>
  </si>
  <si>
    <t>EZ=EX*EY</t>
  </si>
  <si>
    <t>DZ=EX*DY+(EY)^2*DX</t>
  </si>
  <si>
    <t>В ящике содержатся  8 деталей, изготовленных на первом заводе,  8 деталей –  на втором заводе и  7 деталей – на третьем заводе. Вероятности изготовления брака на заводах с номерами 1, 2 и 3 соответственно равны 0.05, 0.06 и 0.06.
Найдите вероятность P1 того, что извлеченная наудачу деталь окажется качественной.
Чему равна вероятность P2 того, что ее изготовил второй завод.</t>
  </si>
  <si>
    <t>p1=</t>
  </si>
  <si>
    <t>p2=</t>
  </si>
  <si>
    <t>Независимые дискретные случайные величины X и Y (доходы по двум контрактам в млн. рублей) могут принимать только значения 2 и 6. При этом P(X=2) = 0.4, P(Y=2) = 0.8. Найдите средний доход по двум контрактам E(X+Y) и дисперсию разности доходов Var(X-Y).
Введите ответы:</t>
  </si>
  <si>
    <t>P(X)</t>
  </si>
  <si>
    <t>Y</t>
  </si>
  <si>
    <t>P(Y)</t>
  </si>
  <si>
    <t>EY=</t>
  </si>
  <si>
    <t>DY=</t>
  </si>
  <si>
    <t>E(X+Y)=EX+EY</t>
  </si>
  <si>
    <t>D(X-Y)=DX+DY</t>
  </si>
  <si>
    <t>Cx=1</t>
  </si>
  <si>
    <t>x[0;3]</t>
  </si>
  <si>
    <t>cx^6/6</t>
  </si>
  <si>
    <t>EX^5=</t>
  </si>
  <si>
    <t>Банк совершил 7000 транзакций по кредитным картам. Вероятность P того, что транзакция будет ошибочной, равна 0.00061. Найдите вероятность того, что банк совершит не более 5 ошибочных транзакций. В поле ответа введите значение полученной вероятности P.</t>
  </si>
  <si>
    <t>Время t (в минутах) ожидания в электронной очереди в некотором отделении сбербанка распределено по показательному закону с параметром λ=0.28. Найдите вероятность P того, что ожидание случайно выбранного клиента продлится более 6 минут.  В поле ответа введите значение полученной вероятности P.</t>
  </si>
  <si>
    <t>л=</t>
  </si>
  <si>
    <t>обратное = менее 6 минут</t>
  </si>
  <si>
    <t>более 6 минут = 1- обратное</t>
  </si>
  <si>
    <t xml:space="preserve">В некотором агентстве общая выручка X (в млн. руб.) от продаж годовых контрактов страхования имеет нормальное распределение с параметрами m=83.3 и σ2 =7.2, а суммарные страховые выплаты за год описываются величиной Y, где Y - случайная величина, распределенная нормальному закону с параметрами m=24 и σ2 =3.2. При этом коэффициент корреляции между выручкой и страховыми выплатами составляет ρ(X,Y)=0.34.  Найдите математическое ожидание и дисперсию годовой прибыли страхового агентства.  </t>
  </si>
  <si>
    <t>Ежедневное количество нарушений правил дорожного движения в некоторой местности описывается случайной величиной X, распределенной по биномиальному закону с параметрами n = 450 и p = 0.44. А сумма штрафа (в рублях) каждого нарушения описывается случайной величиной Y, которая принимает значение 500 рублей с вероятностью 0.63, 1000 рублей с вероятностью 0.18 и 3000 рублей в остальных случаях.
Оцените методом Монте-Карло ежедневную среднюю сумму выписанных штрафов и ее среднеквадратическое отклонение.
В поля ответов введите полученные значения для среднего (E) и среднеквадратического отклонения (σ) ежедневной суммы выписанных штрафов.</t>
  </si>
  <si>
    <t>Y^2</t>
  </si>
  <si>
    <t>EY^2=</t>
  </si>
  <si>
    <t>сигма = sqrt(DZ)</t>
  </si>
  <si>
    <t>Клиент может обратиться за получением кредита в один из трёх банков (1, 2, 3). Вероятности обращения в каждый банк зависят от их удаленности и равны соответственно 0.3, 0.4 и 0.3. Вероятности того, что данному клиенту будет отказано в выдаче кредита равны 0.35 – в банке "1", 0.35 – в банке "2" и 0.05 – в банке "3". Найдите вероятность P того, что при первом же обращении кредит клиентом получен. Указать, в каком из банков (1,2,3) с наибольшей вероятностью он был получен.
Введите ответы:</t>
  </si>
  <si>
    <t>Дискретная случайная величина X, описывающая прибыль фирмы в млн. рублей, принимает все целые значения в диапазоне: -5, -4, …, 0, …, 8, 9. Найдите математическое ожидание прибыли фирмы E(X), если известно, что возможные значения X равновероятны. Определите, с какой вероятностью прибыль фирмы окажется отрицательной, т.е. фактически фирма будет терпеть убыток.</t>
  </si>
  <si>
    <t>ЕХ=</t>
  </si>
  <si>
    <t>с=</t>
  </si>
  <si>
    <t>Вероятность обнаружения дефекта при каждой проверке
бракованного изделия равна 0.063. Найдите вероятность P того, что после проверки  из 900 бракованных изделий  будет выявлено 60 дефектов. В поле ответа введите значение полученной вероятности P.</t>
  </si>
  <si>
    <t>При государственном регулировании курс некоторой национальной валюты X оказался равномерно распределен в коридоре [14.5; 39.6]  (в евро). Найдите вероятность P того, что текущий курс данной валюты превысит 24.6 евро.  В поле ответа введите значение полученной вероятности P.</t>
  </si>
  <si>
    <t>превысит 24.6 = 1- обратное</t>
  </si>
  <si>
    <t>обратное = не превысит 24.6</t>
  </si>
  <si>
    <t>Акции двух компаний A и B имеют цены X и Y, распределенные по нормальному закону с параметрами соответственно mA=6, Var(X)=0.74 и mB=14, Var(Y)=0.23. При этом коэффициент корреляции между ценами ρ(X,Y)=−0.34. Найдите математическое ожидание и дисперсию цены портфеля, состоящего из 5 акций компании A и 8 акций компании B.
Введите ответы:</t>
  </si>
  <si>
    <t>E(5X+8Y) =5EX+8EY</t>
  </si>
  <si>
    <t>D(5X+8Y) =</t>
  </si>
  <si>
    <t>D(5X+8Y)= 25DX+64DY+2*5*8*cov(X,Y)</t>
  </si>
  <si>
    <t>Количество опоздавших на самолет пассажиров для каждого рейса описывается случайной величиной X, распределенной по закону Пуассона с параметром λ = 3. При этом стоимость билета, который не подлежит возврату, описывается нормально распределенной случайной величиной Y с параметрами m = 6500 и σ = 164.3.
Оцените методом Монте-Карло среднюю сумму стоимости пропавших билетов и ее среднеквадратическое отклонение, приходящиеся на каждый рейс.
В поля ответов введите полученные значения для среднего (E) и среднеквадратического отклонения (σ) суммы стоимости пропавших билетов на рейс.</t>
  </si>
  <si>
    <t>EX=Л</t>
  </si>
  <si>
    <t>DX=Л</t>
  </si>
  <si>
    <t>DY=сигма квадрат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</si>
</sst>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2354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quotePrefix="1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8</xdr:col>
      <xdr:colOff>191199</xdr:colOff>
      <xdr:row>33</xdr:row>
      <xdr:rowOff>219272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D43923-E6C4-44AC-9852-75EAD754C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34000"/>
          <a:ext cx="5010849" cy="140989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572231</xdr:colOff>
      <xdr:row>34</xdr:row>
      <xdr:rowOff>171673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D490DC-3AE6-4418-AA81-CA3933597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6619875"/>
          <a:ext cx="5239481" cy="160042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26</xdr:col>
      <xdr:colOff>86984</xdr:colOff>
      <xdr:row>76</xdr:row>
      <xdr:rowOff>47864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45D07A3-7A71-4511-9C36-81B5DC7F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16383000"/>
          <a:ext cx="9021434" cy="171473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28</xdr:row>
      <xdr:rowOff>0</xdr:rowOff>
    </xdr:from>
    <xdr:to>
      <xdr:col>38</xdr:col>
      <xdr:colOff>362766</xdr:colOff>
      <xdr:row>35</xdr:row>
      <xdr:rowOff>19285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80B9493-8305-44E7-8887-033DDCED3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30900" y="6619875"/>
          <a:ext cx="5849166" cy="168616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69</xdr:row>
      <xdr:rowOff>95250</xdr:rowOff>
    </xdr:from>
    <xdr:to>
      <xdr:col>42</xdr:col>
      <xdr:colOff>420354</xdr:colOff>
      <xdr:row>76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D03A2CA-C539-4BB3-A38F-E865E63CD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7025" y="16478250"/>
          <a:ext cx="8983329" cy="172426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28</xdr:row>
      <xdr:rowOff>0</xdr:rowOff>
    </xdr:from>
    <xdr:to>
      <xdr:col>53</xdr:col>
      <xdr:colOff>95944</xdr:colOff>
      <xdr:row>33</xdr:row>
      <xdr:rowOff>104956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9B31027-46FE-431B-8E3F-73AB3819E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498800" y="6619875"/>
          <a:ext cx="4972744" cy="1295581"/>
        </a:xfrm>
        <a:prstGeom prst="rect">
          <a:avLst/>
        </a:prstGeom>
      </xdr:spPr>
    </xdr:pic>
    <xdr:clientData/>
  </xdr:twoCellAnchor>
  <xdr:twoCellAnchor editAs="oneCell">
    <xdr:from>
      <xdr:col>43</xdr:col>
      <xdr:colOff>190500</xdr:colOff>
      <xdr:row>70</xdr:row>
      <xdr:rowOff>133350</xdr:rowOff>
    </xdr:from>
    <xdr:to>
      <xdr:col>57</xdr:col>
      <xdr:colOff>601369</xdr:colOff>
      <xdr:row>75</xdr:row>
      <xdr:rowOff>114464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2270090-C104-434A-878B-9566BE45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70100" y="16754475"/>
          <a:ext cx="9269119" cy="1171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C0F0-FEB6-46FB-8B9C-B06406F4C0FE}">
  <dimension ref="A2:BI107"/>
  <sheetViews>
    <sheetView tabSelected="1" topLeftCell="AG79" workbookViewId="0">
      <selection activeCell="BF79" sqref="BF78:BF79"/>
    </sheetView>
  </sheetViews>
  <sheetFormatPr defaultRowHeight="18.75" x14ac:dyDescent="0.25"/>
  <cols>
    <col min="1" max="1" width="9.140625" style="5"/>
    <col min="3" max="3" width="17.42578125" customWidth="1"/>
    <col min="15" max="15" width="10.5703125" bestFit="1" customWidth="1"/>
    <col min="16" max="16" width="13.7109375" bestFit="1" customWidth="1"/>
    <col min="41" max="41" width="10.85546875" bestFit="1" customWidth="1"/>
    <col min="57" max="57" width="14" customWidth="1"/>
  </cols>
  <sheetData>
    <row r="2" spans="1:61" ht="15" customHeight="1" x14ac:dyDescent="0.25">
      <c r="A2" s="5">
        <v>1</v>
      </c>
      <c r="B2" s="1" t="s">
        <v>0</v>
      </c>
      <c r="C2" s="1"/>
      <c r="D2" s="1"/>
      <c r="E2" s="1"/>
      <c r="F2" s="1"/>
      <c r="G2" s="1"/>
      <c r="H2" s="1"/>
      <c r="N2" s="1" t="s">
        <v>18</v>
      </c>
      <c r="O2" s="1"/>
      <c r="P2" s="1"/>
      <c r="Q2" s="1"/>
      <c r="R2" s="1"/>
      <c r="S2" s="1"/>
      <c r="T2" s="1"/>
      <c r="U2" s="1"/>
      <c r="V2" s="1"/>
      <c r="W2" s="1"/>
    </row>
    <row r="3" spans="1:61" x14ac:dyDescent="0.25">
      <c r="B3" s="1"/>
      <c r="C3" s="1"/>
      <c r="D3" s="1"/>
      <c r="E3" s="1"/>
      <c r="F3" s="1"/>
      <c r="G3" s="1"/>
      <c r="H3" s="1"/>
      <c r="N3" s="1"/>
      <c r="O3" s="1"/>
      <c r="P3" s="1"/>
      <c r="Q3" s="1"/>
      <c r="R3" s="1"/>
      <c r="S3" s="1"/>
      <c r="T3" s="1"/>
      <c r="U3" s="1"/>
      <c r="V3" s="1"/>
      <c r="W3" s="1"/>
      <c r="Y3" t="s">
        <v>24</v>
      </c>
      <c r="Z3" t="s">
        <v>25</v>
      </c>
      <c r="AA3" t="s">
        <v>26</v>
      </c>
      <c r="AD3" s="1" t="s">
        <v>59</v>
      </c>
      <c r="AE3" s="1"/>
      <c r="AF3" s="1"/>
      <c r="AG3" s="1"/>
      <c r="AH3" s="1"/>
      <c r="AI3" s="1"/>
      <c r="AJ3" s="1"/>
      <c r="AK3" s="1"/>
      <c r="AL3" s="1"/>
      <c r="AM3" s="1"/>
      <c r="AO3">
        <v>1</v>
      </c>
      <c r="AP3">
        <v>2</v>
      </c>
      <c r="AQ3">
        <v>3</v>
      </c>
      <c r="AT3" s="1" t="s">
        <v>84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G3">
        <v>1</v>
      </c>
      <c r="BH3">
        <v>2</v>
      </c>
      <c r="BI3">
        <v>3</v>
      </c>
    </row>
    <row r="4" spans="1:61" x14ac:dyDescent="0.25">
      <c r="B4" s="1"/>
      <c r="C4" s="1"/>
      <c r="D4" s="1"/>
      <c r="E4" s="1"/>
      <c r="F4" s="1"/>
      <c r="G4" s="1"/>
      <c r="H4" s="1"/>
      <c r="J4">
        <v>1</v>
      </c>
      <c r="K4">
        <v>2</v>
      </c>
      <c r="L4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t="s">
        <v>19</v>
      </c>
      <c r="Y4">
        <v>6</v>
      </c>
      <c r="Z4">
        <v>9</v>
      </c>
      <c r="AA4">
        <v>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O4">
        <v>8</v>
      </c>
      <c r="AP4">
        <v>8</v>
      </c>
      <c r="AQ4">
        <v>7</v>
      </c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G4">
        <v>8</v>
      </c>
      <c r="BH4">
        <v>8</v>
      </c>
      <c r="BI4">
        <v>7</v>
      </c>
    </row>
    <row r="5" spans="1:61" x14ac:dyDescent="0.25">
      <c r="B5" s="1"/>
      <c r="C5" s="1"/>
      <c r="D5" s="1"/>
      <c r="E5" s="1"/>
      <c r="F5" s="1"/>
      <c r="G5" s="1"/>
      <c r="H5" s="1"/>
      <c r="I5" t="s">
        <v>3</v>
      </c>
      <c r="J5">
        <v>0.3</v>
      </c>
      <c r="K5">
        <v>0.3</v>
      </c>
      <c r="L5">
        <v>0.4</v>
      </c>
      <c r="N5" s="1"/>
      <c r="O5" s="1"/>
      <c r="P5" s="1"/>
      <c r="Q5" s="1"/>
      <c r="R5" s="1"/>
      <c r="S5" s="1"/>
      <c r="T5" s="1"/>
      <c r="U5" s="1"/>
      <c r="V5" s="1"/>
      <c r="W5" s="1"/>
      <c r="X5" t="s">
        <v>20</v>
      </c>
      <c r="Y5">
        <v>1.4</v>
      </c>
      <c r="Z5">
        <v>1.8</v>
      </c>
      <c r="AA5">
        <v>2.2000000000000002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t="s">
        <v>2</v>
      </c>
      <c r="AO5">
        <f>1-0.05</f>
        <v>0.95</v>
      </c>
      <c r="AP5">
        <f>1-0.06</f>
        <v>0.94</v>
      </c>
      <c r="AQ5">
        <f>1-0.06</f>
        <v>0.94</v>
      </c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t="s">
        <v>2</v>
      </c>
      <c r="BG5">
        <f>1-0.35</f>
        <v>0.65</v>
      </c>
      <c r="BH5">
        <f>1-0.35</f>
        <v>0.65</v>
      </c>
      <c r="BI5">
        <f>1-0.05</f>
        <v>0.95</v>
      </c>
    </row>
    <row r="6" spans="1:61" x14ac:dyDescent="0.25">
      <c r="B6" s="1"/>
      <c r="C6" s="1"/>
      <c r="D6" s="1"/>
      <c r="E6" s="1"/>
      <c r="F6" s="1"/>
      <c r="G6" s="1"/>
      <c r="H6" s="1"/>
      <c r="J6">
        <v>0.2</v>
      </c>
      <c r="K6">
        <v>0.5</v>
      </c>
      <c r="L6">
        <v>0.05</v>
      </c>
      <c r="N6" s="1"/>
      <c r="O6" s="1"/>
      <c r="P6" s="1"/>
      <c r="Q6" s="1"/>
      <c r="R6" s="1"/>
      <c r="S6" s="1"/>
      <c r="T6" s="1"/>
      <c r="U6" s="1"/>
      <c r="V6" s="1"/>
      <c r="W6" s="1"/>
      <c r="X6" t="s">
        <v>21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t="s">
        <v>3</v>
      </c>
      <c r="AO6">
        <f>AO4/SUM($AO$4:$AQ$4)</f>
        <v>0.34782608695652173</v>
      </c>
      <c r="AP6">
        <f t="shared" ref="AP6:AQ6" si="0">AP4/SUM($AO$4:$AQ$4)</f>
        <v>0.34782608695652173</v>
      </c>
      <c r="AQ6">
        <f t="shared" si="0"/>
        <v>0.30434782608695654</v>
      </c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t="s">
        <v>3</v>
      </c>
      <c r="BG6">
        <v>0.3</v>
      </c>
      <c r="BH6">
        <v>0.4</v>
      </c>
      <c r="BI6">
        <v>0.3</v>
      </c>
    </row>
    <row r="7" spans="1:61" x14ac:dyDescent="0.25">
      <c r="B7" s="1"/>
      <c r="C7" s="1"/>
      <c r="D7" s="1"/>
      <c r="E7" s="1"/>
      <c r="F7" s="1"/>
      <c r="G7" s="1"/>
      <c r="H7" s="1"/>
      <c r="I7" t="s">
        <v>2</v>
      </c>
      <c r="J7">
        <f>1-J6</f>
        <v>0.8</v>
      </c>
      <c r="K7">
        <f t="shared" ref="K7:L7" si="1">1-K6</f>
        <v>0.5</v>
      </c>
      <c r="L7">
        <f t="shared" si="1"/>
        <v>0.95</v>
      </c>
      <c r="N7" s="1"/>
      <c r="O7" s="1"/>
      <c r="P7" s="1"/>
      <c r="Q7" s="1"/>
      <c r="R7" s="1"/>
      <c r="S7" s="1"/>
      <c r="T7" s="1"/>
      <c r="U7" s="1"/>
      <c r="V7" s="1"/>
      <c r="W7" s="1"/>
      <c r="X7" t="s">
        <v>2</v>
      </c>
      <c r="Y7">
        <f>Y4/SUM($Y$4:$AA$4)</f>
        <v>0.27272727272727271</v>
      </c>
      <c r="Z7">
        <f t="shared" ref="Z7:AA7" si="2">Z4/SUM($Y$4:$AA$4)</f>
        <v>0.40909090909090912</v>
      </c>
      <c r="AA7">
        <f t="shared" si="2"/>
        <v>0.31818181818181818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t="s">
        <v>4</v>
      </c>
      <c r="AO7" s="3">
        <f>SUMPRODUCT(AO5:AQ5,AO6:AQ6)</f>
        <v>0.94347826086956532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t="s">
        <v>4</v>
      </c>
      <c r="BG7" s="3">
        <f>SUMPRODUCT(BG5:BI5,BG6:BI6)</f>
        <v>0.74</v>
      </c>
    </row>
    <row r="8" spans="1:61" x14ac:dyDescent="0.25">
      <c r="B8" s="1"/>
      <c r="C8" s="1"/>
      <c r="D8" s="1"/>
      <c r="E8" s="1"/>
      <c r="F8" s="1"/>
      <c r="G8" s="1"/>
      <c r="H8" s="1"/>
      <c r="I8" t="s">
        <v>4</v>
      </c>
      <c r="J8" s="2">
        <f>SUMPRODUCT(J5:L5,J7:L7)</f>
        <v>0.77</v>
      </c>
      <c r="N8" s="1"/>
      <c r="O8" s="1"/>
      <c r="P8" s="1"/>
      <c r="Q8" s="1"/>
      <c r="R8" s="1"/>
      <c r="S8" s="1"/>
      <c r="T8" s="1"/>
      <c r="U8" s="1"/>
      <c r="V8" s="1"/>
      <c r="W8" s="1"/>
      <c r="X8" t="s">
        <v>3</v>
      </c>
      <c r="Y8">
        <f>1/3</f>
        <v>0.33333333333333331</v>
      </c>
      <c r="Z8">
        <f t="shared" ref="Z8:AA8" si="3">1/3</f>
        <v>0.33333333333333331</v>
      </c>
      <c r="AA8">
        <f t="shared" si="3"/>
        <v>0.33333333333333331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t="s">
        <v>1</v>
      </c>
      <c r="AO8">
        <f>AO5*AO6/$AO$7</f>
        <v>0.35023041474654371</v>
      </c>
      <c r="AP8" s="3">
        <f t="shared" ref="AP8:AQ8" si="4">AP5*AP6/$AO$7</f>
        <v>0.34654377880184328</v>
      </c>
      <c r="AQ8">
        <f t="shared" si="4"/>
        <v>0.3032258064516129</v>
      </c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t="s">
        <v>1</v>
      </c>
      <c r="BG8">
        <f>BG5*BG6/$BG$7</f>
        <v>0.26351351351351354</v>
      </c>
      <c r="BH8">
        <f>BH5*BH6/$BG$7</f>
        <v>0.35135135135135137</v>
      </c>
      <c r="BI8" s="3">
        <f>BI5*BI6/$BG$7</f>
        <v>0.38513513513513509</v>
      </c>
    </row>
    <row r="9" spans="1:61" x14ac:dyDescent="0.25">
      <c r="B9" s="1"/>
      <c r="C9" s="1"/>
      <c r="D9" s="1"/>
      <c r="E9" s="1"/>
      <c r="F9" s="1"/>
      <c r="G9" s="1"/>
      <c r="H9" s="1"/>
      <c r="I9" t="s">
        <v>1</v>
      </c>
      <c r="J9" s="6">
        <f>J5*J7/$J8</f>
        <v>0.31168831168831168</v>
      </c>
      <c r="K9">
        <f t="shared" ref="K9:L9" si="5">K5*K7/$J8</f>
        <v>0.19480519480519479</v>
      </c>
      <c r="L9" s="3">
        <f t="shared" si="5"/>
        <v>0.4935064935064935</v>
      </c>
      <c r="N9" s="1"/>
      <c r="O9" s="1"/>
      <c r="P9" s="1"/>
      <c r="Q9" s="1"/>
      <c r="R9" s="1"/>
      <c r="S9" s="1"/>
      <c r="T9" s="1"/>
      <c r="U9" s="1"/>
      <c r="V9" s="1"/>
      <c r="W9" s="1"/>
      <c r="X9" t="s">
        <v>4</v>
      </c>
      <c r="Y9">
        <f>SUMPRODUCT(Y7:AA7,Y8:AA8)</f>
        <v>0.33333333333333326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t="s">
        <v>60</v>
      </c>
      <c r="AO9">
        <f>AO7</f>
        <v>0.94347826086956532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61" x14ac:dyDescent="0.25">
      <c r="B10" s="1"/>
      <c r="C10" s="1"/>
      <c r="D10" s="1"/>
      <c r="E10" s="1"/>
      <c r="F10" s="1"/>
      <c r="G10" s="1"/>
      <c r="H10" s="1"/>
      <c r="N10" s="1"/>
      <c r="O10" s="1"/>
      <c r="P10" s="1"/>
      <c r="Q10" s="1"/>
      <c r="R10" s="1"/>
      <c r="S10" s="1"/>
      <c r="T10" s="1"/>
      <c r="U10" s="1"/>
      <c r="V10" s="1"/>
      <c r="W10" s="1"/>
      <c r="X10" t="s">
        <v>1</v>
      </c>
      <c r="Y10">
        <f>Y7*Y8/$Y$9</f>
        <v>0.27272727272727276</v>
      </c>
      <c r="Z10">
        <f t="shared" ref="Z10:AA10" si="6">Z7*Z8/$Y$9</f>
        <v>0.40909090909090917</v>
      </c>
      <c r="AA10">
        <f t="shared" si="6"/>
        <v>0.31818181818181823</v>
      </c>
      <c r="AN10" t="s">
        <v>61</v>
      </c>
      <c r="AO10">
        <f>AP8</f>
        <v>0.34654377880184328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61" x14ac:dyDescent="0.25">
      <c r="B11" s="1"/>
      <c r="C11" s="1"/>
      <c r="D11" s="1"/>
      <c r="E11" s="1"/>
      <c r="F11" s="1"/>
      <c r="G11" s="1"/>
      <c r="H11" s="1"/>
      <c r="N11" s="1"/>
      <c r="O11" s="1"/>
      <c r="P11" s="1"/>
      <c r="Q11" s="1"/>
      <c r="R11" s="1"/>
      <c r="S11" s="1"/>
      <c r="T11" s="1"/>
      <c r="U11" s="1"/>
      <c r="V11" s="1"/>
      <c r="W11" s="1"/>
      <c r="X11" t="s">
        <v>22</v>
      </c>
      <c r="Y11">
        <f>Z10+AA10</f>
        <v>0.7272727272727274</v>
      </c>
    </row>
    <row r="12" spans="1:61" x14ac:dyDescent="0.25">
      <c r="B12" s="1"/>
      <c r="C12" s="1"/>
      <c r="D12" s="1"/>
      <c r="E12" s="1"/>
      <c r="F12" s="1"/>
      <c r="G12" s="1"/>
      <c r="H12" s="1"/>
      <c r="N12" s="1"/>
      <c r="O12" s="1"/>
      <c r="P12" s="1"/>
      <c r="Q12" s="1"/>
      <c r="R12" s="1"/>
      <c r="S12" s="1"/>
      <c r="T12" s="1"/>
      <c r="U12" s="1"/>
      <c r="V12" s="1"/>
      <c r="W12" s="1"/>
      <c r="X12" t="s">
        <v>23</v>
      </c>
      <c r="Y12">
        <f>Y11/2</f>
        <v>0.3636363636363637</v>
      </c>
    </row>
    <row r="15" spans="1:61" x14ac:dyDescent="0.25">
      <c r="AT15" s="1" t="s">
        <v>85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61" x14ac:dyDescent="0.25">
      <c r="B16" s="1" t="s">
        <v>7</v>
      </c>
      <c r="C16" s="1"/>
      <c r="D16" s="1"/>
      <c r="E16" s="1"/>
      <c r="F16" s="1"/>
      <c r="G16" s="1"/>
      <c r="H16" s="1"/>
      <c r="I16" s="1"/>
      <c r="M16" s="1" t="s">
        <v>27</v>
      </c>
      <c r="N16" s="1"/>
      <c r="O16" s="1"/>
      <c r="P16" s="1"/>
      <c r="Q16" s="1"/>
      <c r="R16" s="1"/>
      <c r="S16" s="1"/>
      <c r="T16" s="1"/>
      <c r="U16" s="1"/>
      <c r="V16" s="1"/>
      <c r="W16" s="1"/>
      <c r="AD16" s="1" t="s">
        <v>62</v>
      </c>
      <c r="AE16" s="1"/>
      <c r="AF16" s="1"/>
      <c r="AG16" s="1"/>
      <c r="AH16" s="1"/>
      <c r="AI16" s="1"/>
      <c r="AJ16" s="1"/>
      <c r="AK16" s="1"/>
      <c r="AL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60" x14ac:dyDescent="0.25">
      <c r="A17" s="5">
        <v>2</v>
      </c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D17" s="1"/>
      <c r="AE17" s="1"/>
      <c r="AF17" s="1"/>
      <c r="AG17" s="1"/>
      <c r="AH17" s="1"/>
      <c r="AI17" s="1"/>
      <c r="AJ17" s="1"/>
      <c r="AK17" s="1"/>
      <c r="AL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60" x14ac:dyDescent="0.25"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AD18" s="1"/>
      <c r="AE18" s="1"/>
      <c r="AF18" s="1"/>
      <c r="AG18" s="1"/>
      <c r="AH18" s="1"/>
      <c r="AI18" s="1"/>
      <c r="AJ18" s="1"/>
      <c r="AK18" s="1"/>
      <c r="AL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60" x14ac:dyDescent="0.25">
      <c r="AD19" s="1"/>
      <c r="AE19" s="1"/>
      <c r="AF19" s="1"/>
      <c r="AG19" s="1"/>
      <c r="AH19" s="1"/>
      <c r="AI19" s="1"/>
      <c r="AJ19" s="1"/>
      <c r="AK19" s="1"/>
      <c r="AL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1" spans="1:60" x14ac:dyDescent="0.25">
      <c r="B21" s="4" t="s">
        <v>5</v>
      </c>
      <c r="C21" s="4">
        <v>0</v>
      </c>
      <c r="D21" s="4">
        <v>0.1</v>
      </c>
      <c r="E21" s="4">
        <v>0.2</v>
      </c>
      <c r="F21" s="4">
        <v>0.3</v>
      </c>
      <c r="G21" s="4">
        <v>0.5</v>
      </c>
      <c r="M21" s="4" t="s">
        <v>5</v>
      </c>
      <c r="N21" s="4">
        <v>0.3</v>
      </c>
      <c r="O21" s="4">
        <v>0.4</v>
      </c>
      <c r="P21" s="4">
        <v>0.6</v>
      </c>
      <c r="AD21" t="s">
        <v>5</v>
      </c>
      <c r="AE21">
        <v>2</v>
      </c>
      <c r="AF21">
        <v>6</v>
      </c>
      <c r="AI21" t="s">
        <v>64</v>
      </c>
      <c r="AJ21">
        <v>2</v>
      </c>
      <c r="AK21">
        <v>6</v>
      </c>
    </row>
    <row r="22" spans="1:60" x14ac:dyDescent="0.25">
      <c r="B22" s="4" t="s">
        <v>6</v>
      </c>
      <c r="C22" s="4">
        <v>0.3</v>
      </c>
      <c r="D22" s="4">
        <v>0.4</v>
      </c>
      <c r="E22" s="4">
        <v>0.1</v>
      </c>
      <c r="F22" s="4">
        <v>0.1</v>
      </c>
      <c r="G22" s="4">
        <v>0.1</v>
      </c>
      <c r="M22" s="4" t="s">
        <v>6</v>
      </c>
      <c r="N22" s="4">
        <v>0.2</v>
      </c>
      <c r="O22" s="4">
        <v>0.1</v>
      </c>
      <c r="P22" s="4">
        <v>0.7</v>
      </c>
      <c r="AD22" t="s">
        <v>63</v>
      </c>
      <c r="AE22">
        <v>0.4</v>
      </c>
      <c r="AF22">
        <v>0.6</v>
      </c>
      <c r="AI22" t="s">
        <v>65</v>
      </c>
      <c r="AJ22">
        <v>0.8</v>
      </c>
      <c r="AK22">
        <v>0.2</v>
      </c>
      <c r="AT22">
        <v>-5</v>
      </c>
      <c r="AU22">
        <v>-4</v>
      </c>
      <c r="AV22">
        <v>-3</v>
      </c>
      <c r="AW22">
        <v>-2</v>
      </c>
      <c r="AX22">
        <v>-1</v>
      </c>
      <c r="AY22">
        <v>0</v>
      </c>
      <c r="AZ22">
        <v>1</v>
      </c>
      <c r="BA22">
        <v>2</v>
      </c>
      <c r="BB22">
        <v>3</v>
      </c>
      <c r="BC22">
        <v>4</v>
      </c>
      <c r="BD22">
        <v>5</v>
      </c>
      <c r="BE22">
        <v>6</v>
      </c>
      <c r="BF22">
        <v>7</v>
      </c>
      <c r="BG22">
        <v>8</v>
      </c>
      <c r="BH22">
        <v>9</v>
      </c>
    </row>
    <row r="23" spans="1:60" x14ac:dyDescent="0.25">
      <c r="AD23" t="s">
        <v>28</v>
      </c>
      <c r="AE23">
        <f>AE21*AE22+AF21*AF22</f>
        <v>4.3999999999999995</v>
      </c>
      <c r="AI23" t="s">
        <v>66</v>
      </c>
      <c r="AJ23">
        <f>AJ21*AJ22+AK21*AK22</f>
        <v>2.8000000000000003</v>
      </c>
      <c r="AT23">
        <f>1/COUNT($AT$22:$BH$22)</f>
        <v>6.6666666666666666E-2</v>
      </c>
      <c r="AU23">
        <f t="shared" ref="AU23:BH23" si="7">1/COUNT($AT$22:$BH$22)</f>
        <v>6.6666666666666666E-2</v>
      </c>
      <c r="AV23">
        <f t="shared" si="7"/>
        <v>6.6666666666666666E-2</v>
      </c>
      <c r="AW23">
        <f t="shared" si="7"/>
        <v>6.6666666666666666E-2</v>
      </c>
      <c r="AX23">
        <f t="shared" si="7"/>
        <v>6.6666666666666666E-2</v>
      </c>
      <c r="AY23">
        <f t="shared" si="7"/>
        <v>6.6666666666666666E-2</v>
      </c>
      <c r="AZ23">
        <f t="shared" si="7"/>
        <v>6.6666666666666666E-2</v>
      </c>
      <c r="BA23">
        <f t="shared" si="7"/>
        <v>6.6666666666666666E-2</v>
      </c>
      <c r="BB23">
        <f t="shared" si="7"/>
        <v>6.6666666666666666E-2</v>
      </c>
      <c r="BC23">
        <f t="shared" si="7"/>
        <v>6.6666666666666666E-2</v>
      </c>
      <c r="BD23">
        <f t="shared" si="7"/>
        <v>6.6666666666666666E-2</v>
      </c>
      <c r="BE23">
        <f t="shared" si="7"/>
        <v>6.6666666666666666E-2</v>
      </c>
      <c r="BF23">
        <f t="shared" si="7"/>
        <v>6.6666666666666666E-2</v>
      </c>
      <c r="BG23">
        <f t="shared" si="7"/>
        <v>6.6666666666666666E-2</v>
      </c>
      <c r="BH23">
        <f t="shared" si="7"/>
        <v>6.6666666666666666E-2</v>
      </c>
    </row>
    <row r="24" spans="1:60" x14ac:dyDescent="0.25">
      <c r="M24" t="s">
        <v>28</v>
      </c>
      <c r="N24">
        <f>SUMPRODUCT(N21:P21,N22:P22)</f>
        <v>0.52</v>
      </c>
      <c r="AD24" t="s">
        <v>30</v>
      </c>
      <c r="AE24">
        <f>AE21^2*AE22+AF21^2*AF22-AE23^2</f>
        <v>3.8400000000000034</v>
      </c>
      <c r="AI24" t="s">
        <v>67</v>
      </c>
      <c r="AJ24">
        <f>AJ21^2*AJ22+AK21^2*AK22-AJ23^2</f>
        <v>2.5599999999999987</v>
      </c>
    </row>
    <row r="25" spans="1:60" x14ac:dyDescent="0.25">
      <c r="B25" t="s">
        <v>8</v>
      </c>
      <c r="C25">
        <f>SUMPRODUCT(C21:G21,C22:G22)</f>
        <v>0.14000000000000001</v>
      </c>
      <c r="N25">
        <f>N21^2</f>
        <v>0.09</v>
      </c>
      <c r="O25">
        <f t="shared" ref="O25:P25" si="8">O21^2</f>
        <v>0.16000000000000003</v>
      </c>
      <c r="P25">
        <f t="shared" si="8"/>
        <v>0.36</v>
      </c>
      <c r="AT25" t="s">
        <v>86</v>
      </c>
      <c r="AU25">
        <f>SUMPRODUCT(AT22:BH22,AT23:BH23)</f>
        <v>2</v>
      </c>
    </row>
    <row r="26" spans="1:60" x14ac:dyDescent="0.25">
      <c r="B26" t="s">
        <v>9</v>
      </c>
      <c r="C26">
        <f>SUM(F22:G22)</f>
        <v>0.2</v>
      </c>
      <c r="M26" t="s">
        <v>29</v>
      </c>
      <c r="N26">
        <f>SUMPRODUCT(N25:P25,N22:P22)</f>
        <v>0.28600000000000003</v>
      </c>
      <c r="AD26" t="s">
        <v>68</v>
      </c>
      <c r="AF26">
        <f>AE23+AJ23</f>
        <v>7.1999999999999993</v>
      </c>
      <c r="AU26">
        <f>SUM(AT23:AX23)</f>
        <v>0.33333333333333331</v>
      </c>
    </row>
    <row r="27" spans="1:60" x14ac:dyDescent="0.25">
      <c r="M27" t="s">
        <v>30</v>
      </c>
      <c r="N27">
        <f>N26-N24^2</f>
        <v>1.5600000000000003E-2</v>
      </c>
      <c r="AD27" t="s">
        <v>69</v>
      </c>
      <c r="AF27">
        <f>AE24+AJ24</f>
        <v>6.4000000000000021</v>
      </c>
    </row>
    <row r="29" spans="1:60" x14ac:dyDescent="0.25">
      <c r="A29" s="5">
        <v>3</v>
      </c>
    </row>
    <row r="35" spans="1:56" x14ac:dyDescent="0.25">
      <c r="AT35" t="s">
        <v>87</v>
      </c>
      <c r="AU35">
        <f>1/14</f>
        <v>7.1428571428571425E-2</v>
      </c>
    </row>
    <row r="36" spans="1:56" x14ac:dyDescent="0.25">
      <c r="AU36" s="8">
        <f>12/14</f>
        <v>0.8571428571428571</v>
      </c>
    </row>
    <row r="37" spans="1:56" x14ac:dyDescent="0.25">
      <c r="M37" t="s">
        <v>31</v>
      </c>
      <c r="N37">
        <f>1/(2^5/5-(-2)^5/5)</f>
        <v>7.8125E-2</v>
      </c>
      <c r="AD37" t="s">
        <v>70</v>
      </c>
      <c r="AE37" t="s">
        <v>71</v>
      </c>
      <c r="AF37" t="s">
        <v>31</v>
      </c>
      <c r="AG37">
        <f>1/3-0/3</f>
        <v>0.33333333333333331</v>
      </c>
    </row>
    <row r="38" spans="1:56" x14ac:dyDescent="0.25">
      <c r="B38" t="s">
        <v>10</v>
      </c>
      <c r="M38" t="s">
        <v>32</v>
      </c>
      <c r="N38">
        <f>N37*(1^5/5 - (-2)^5/5)</f>
        <v>0.515625</v>
      </c>
    </row>
    <row r="39" spans="1:56" x14ac:dyDescent="0.25">
      <c r="B39" t="s">
        <v>11</v>
      </c>
      <c r="C39">
        <f>4/(13^4)</f>
        <v>1.4005111865831029E-4</v>
      </c>
      <c r="AE39" t="s">
        <v>73</v>
      </c>
      <c r="AF39" t="s">
        <v>72</v>
      </c>
      <c r="AG39">
        <f>AG37*3^6/6</f>
        <v>40.5</v>
      </c>
    </row>
    <row r="41" spans="1:56" x14ac:dyDescent="0.25">
      <c r="B41" t="s">
        <v>13</v>
      </c>
    </row>
    <row r="43" spans="1:56" x14ac:dyDescent="0.25">
      <c r="B43" t="s">
        <v>12</v>
      </c>
      <c r="C43">
        <f>C39*(13^5/5)</f>
        <v>10.4</v>
      </c>
    </row>
    <row r="44" spans="1:56" x14ac:dyDescent="0.25">
      <c r="M44" s="1" t="s">
        <v>33</v>
      </c>
      <c r="N44" s="1"/>
      <c r="O44" s="1"/>
      <c r="P44" s="1"/>
      <c r="Q44" s="1"/>
      <c r="R44" s="1"/>
      <c r="S44" s="1"/>
      <c r="T44" s="1"/>
      <c r="U44" s="1"/>
      <c r="V44" s="1"/>
      <c r="AD44" s="1" t="s">
        <v>74</v>
      </c>
      <c r="AE44" s="1"/>
      <c r="AF44" s="1"/>
      <c r="AG44" s="1"/>
      <c r="AH44" s="1"/>
      <c r="AI44" s="1"/>
      <c r="AJ44" s="1"/>
      <c r="AK44" s="1"/>
      <c r="AL44" s="1"/>
      <c r="AM44" s="1"/>
      <c r="AT44" s="1" t="s">
        <v>88</v>
      </c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5">
        <v>4</v>
      </c>
      <c r="B45" s="1" t="s">
        <v>14</v>
      </c>
      <c r="C45" s="1"/>
      <c r="D45" s="1"/>
      <c r="E45" s="1"/>
      <c r="F45" s="1"/>
      <c r="G45" s="1"/>
      <c r="H45" s="1"/>
      <c r="M45" s="1"/>
      <c r="N45" s="1"/>
      <c r="O45" s="1"/>
      <c r="P45" s="1"/>
      <c r="Q45" s="1"/>
      <c r="R45" s="1"/>
      <c r="S45" s="1"/>
      <c r="T45" s="1"/>
      <c r="U45" s="1"/>
      <c r="V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B46" s="1"/>
      <c r="C46" s="1"/>
      <c r="D46" s="1"/>
      <c r="E46" s="1"/>
      <c r="F46" s="1"/>
      <c r="G46" s="1"/>
      <c r="H46" s="1"/>
      <c r="M46" s="1"/>
      <c r="N46" s="1"/>
      <c r="O46" s="1"/>
      <c r="P46" s="1"/>
      <c r="Q46" s="1"/>
      <c r="R46" s="1"/>
      <c r="S46" s="1"/>
      <c r="T46" s="1"/>
      <c r="U46" s="1"/>
      <c r="V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B47" s="1"/>
      <c r="C47" s="1"/>
      <c r="D47" s="1"/>
      <c r="E47" s="1"/>
      <c r="F47" s="1"/>
      <c r="G47" s="1"/>
      <c r="H47" s="1"/>
      <c r="M47" s="1"/>
      <c r="N47" s="1"/>
      <c r="O47" s="1"/>
      <c r="P47" s="1"/>
      <c r="Q47" s="1"/>
      <c r="R47" s="1"/>
      <c r="S47" s="1"/>
      <c r="T47" s="1"/>
      <c r="U47" s="1"/>
      <c r="V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B48" s="1"/>
      <c r="C48" s="1"/>
      <c r="D48" s="1"/>
      <c r="E48" s="1"/>
      <c r="F48" s="1"/>
      <c r="G48" s="1"/>
      <c r="H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57" x14ac:dyDescent="0.25">
      <c r="B49" s="1"/>
      <c r="C49" s="1"/>
      <c r="D49" s="1"/>
      <c r="E49" s="1"/>
      <c r="F49" s="1"/>
      <c r="G49" s="1"/>
      <c r="H49" s="1"/>
      <c r="M49" s="1"/>
      <c r="N49" s="1"/>
      <c r="O49" s="1"/>
      <c r="P49" s="1"/>
      <c r="Q49" s="1"/>
      <c r="R49" s="1"/>
      <c r="S49" s="1"/>
      <c r="T49" s="1"/>
      <c r="U49" s="1"/>
      <c r="V49" s="1"/>
      <c r="AD49" t="s">
        <v>15</v>
      </c>
      <c r="AE49">
        <v>7000</v>
      </c>
      <c r="AF49" t="s">
        <v>35</v>
      </c>
      <c r="AG49">
        <v>5</v>
      </c>
      <c r="AT49">
        <f>_xlfn.BINOM.DIST(60,900,0.063,0)</f>
        <v>4.8137384782953346E-2</v>
      </c>
    </row>
    <row r="50" spans="1:57" x14ac:dyDescent="0.25">
      <c r="B50" s="1"/>
      <c r="C50" s="1"/>
      <c r="D50" s="1"/>
      <c r="E50" s="1"/>
      <c r="F50" s="1"/>
      <c r="G50" s="1"/>
      <c r="H50" s="1"/>
      <c r="AD50" t="s">
        <v>16</v>
      </c>
      <c r="AE50">
        <v>6.0999999999999997E-4</v>
      </c>
    </row>
    <row r="51" spans="1:57" x14ac:dyDescent="0.25">
      <c r="M51" t="s">
        <v>34</v>
      </c>
      <c r="N51" t="s">
        <v>35</v>
      </c>
      <c r="O51">
        <f>900-770</f>
        <v>130</v>
      </c>
      <c r="AG51">
        <f>_xlfn.BINOM.DIST(AG49,AE49,AE50,1)</f>
        <v>0.74167372194104286</v>
      </c>
    </row>
    <row r="52" spans="1:57" x14ac:dyDescent="0.25">
      <c r="B52" t="s">
        <v>15</v>
      </c>
      <c r="C52">
        <v>5000</v>
      </c>
      <c r="M52" t="s">
        <v>16</v>
      </c>
      <c r="N52">
        <v>0.14000000000000001</v>
      </c>
    </row>
    <row r="53" spans="1:57" x14ac:dyDescent="0.25">
      <c r="B53" t="s">
        <v>16</v>
      </c>
      <c r="C53">
        <v>3.8000000000000002E-4</v>
      </c>
      <c r="M53" s="3">
        <f>_xlfn.BINOM.DIST(O51,900,N52,1)</f>
        <v>0.67061629840663106</v>
      </c>
    </row>
    <row r="54" spans="1:57" x14ac:dyDescent="0.25">
      <c r="B54" t="s">
        <v>17</v>
      </c>
      <c r="C54">
        <f>1-C53</f>
        <v>0.99961999999999995</v>
      </c>
    </row>
    <row r="55" spans="1:57" x14ac:dyDescent="0.25">
      <c r="B55" s="3">
        <f>_xlfn.BINOM.DIST(3,5000,C53,1)</f>
        <v>0.87473796045579666</v>
      </c>
    </row>
    <row r="56" spans="1:57" x14ac:dyDescent="0.25">
      <c r="AD56" s="1" t="s">
        <v>75</v>
      </c>
      <c r="AE56" s="1"/>
      <c r="AF56" s="1"/>
      <c r="AG56" s="1"/>
      <c r="AH56" s="1"/>
      <c r="AI56" s="1"/>
      <c r="AJ56" s="1"/>
      <c r="AK56" s="1"/>
      <c r="AL56" s="1"/>
      <c r="AM56" s="1"/>
      <c r="AS56" s="1" t="s">
        <v>89</v>
      </c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5">
        <v>5</v>
      </c>
      <c r="B57" s="1"/>
      <c r="C57" s="1"/>
      <c r="D57" s="1"/>
      <c r="E57" s="1"/>
      <c r="F57" s="1"/>
      <c r="G57" s="1"/>
      <c r="H57" s="1"/>
      <c r="M57" s="1" t="s">
        <v>36</v>
      </c>
      <c r="N57" s="1"/>
      <c r="O57" s="1"/>
      <c r="P57" s="1"/>
      <c r="Q57" s="1"/>
      <c r="R57" s="1"/>
      <c r="S57" s="1"/>
      <c r="T57" s="1"/>
      <c r="U57" s="1"/>
      <c r="V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B58" s="1"/>
      <c r="C58" s="1"/>
      <c r="D58" s="1"/>
      <c r="E58" s="1"/>
      <c r="F58" s="1"/>
      <c r="G58" s="1"/>
      <c r="H58" s="1"/>
      <c r="M58" s="1"/>
      <c r="N58" s="1"/>
      <c r="O58" s="1"/>
      <c r="P58" s="1"/>
      <c r="Q58" s="1"/>
      <c r="R58" s="1"/>
      <c r="S58" s="1"/>
      <c r="T58" s="1"/>
      <c r="U58" s="1"/>
      <c r="V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B59" s="1"/>
      <c r="C59" s="1"/>
      <c r="D59" s="1"/>
      <c r="E59" s="1"/>
      <c r="F59" s="1"/>
      <c r="G59" s="1"/>
      <c r="H59" s="1"/>
      <c r="M59" s="1"/>
      <c r="N59" s="1"/>
      <c r="O59" s="1"/>
      <c r="P59" s="1"/>
      <c r="Q59" s="1"/>
      <c r="R59" s="1"/>
      <c r="S59" s="1"/>
      <c r="T59" s="1"/>
      <c r="U59" s="1"/>
      <c r="V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B60" s="1"/>
      <c r="C60" s="1"/>
      <c r="D60" s="1"/>
      <c r="E60" s="1"/>
      <c r="F60" s="1"/>
      <c r="G60" s="1"/>
      <c r="H60" s="1"/>
      <c r="M60" s="1"/>
      <c r="N60" s="1"/>
      <c r="O60" s="1"/>
      <c r="P60" s="1"/>
      <c r="Q60" s="1"/>
      <c r="R60" s="1"/>
      <c r="S60" s="1"/>
      <c r="T60" s="1"/>
      <c r="U60" s="1"/>
      <c r="V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B61" s="1"/>
      <c r="C61" s="1"/>
      <c r="D61" s="1"/>
      <c r="E61" s="1"/>
      <c r="F61" s="1"/>
      <c r="G61" s="1"/>
      <c r="H61" s="1"/>
      <c r="M61" s="1"/>
      <c r="N61" s="1"/>
      <c r="O61" s="1"/>
      <c r="P61" s="1"/>
      <c r="Q61" s="1"/>
      <c r="R61" s="1"/>
      <c r="S61" s="1"/>
      <c r="T61" s="1"/>
      <c r="U61" s="1"/>
      <c r="V61" s="1"/>
      <c r="AD61" t="s">
        <v>76</v>
      </c>
      <c r="AE61">
        <v>0.28000000000000003</v>
      </c>
    </row>
    <row r="62" spans="1:57" x14ac:dyDescent="0.25">
      <c r="B62" s="1"/>
      <c r="C62" s="1"/>
      <c r="D62" s="1"/>
      <c r="E62" s="1"/>
      <c r="F62" s="1"/>
      <c r="G62" s="1"/>
      <c r="H62" s="1"/>
      <c r="M62" s="1"/>
      <c r="N62" s="1"/>
      <c r="O62" s="1"/>
      <c r="P62" s="1"/>
      <c r="Q62" s="1"/>
      <c r="R62" s="1"/>
      <c r="S62" s="1"/>
      <c r="T62" s="1"/>
      <c r="U62" s="1"/>
      <c r="V62" s="1"/>
      <c r="AD62" t="s">
        <v>77</v>
      </c>
      <c r="AH62" t="s">
        <v>78</v>
      </c>
      <c r="AS62" t="s">
        <v>91</v>
      </c>
      <c r="AW62" t="s">
        <v>90</v>
      </c>
    </row>
    <row r="63" spans="1:57" x14ac:dyDescent="0.25">
      <c r="B63" s="1"/>
      <c r="C63" s="1"/>
      <c r="D63" s="1"/>
      <c r="E63" s="1"/>
      <c r="F63" s="1"/>
      <c r="G63" s="1"/>
      <c r="H63" s="1"/>
      <c r="M63" s="1"/>
      <c r="N63" s="1"/>
      <c r="O63" s="1"/>
      <c r="P63" s="1"/>
      <c r="Q63" s="1"/>
      <c r="R63" s="1"/>
      <c r="S63" s="1"/>
      <c r="T63" s="1"/>
      <c r="U63" s="1"/>
      <c r="V63" s="1"/>
      <c r="AD63">
        <f>1-EXP(-AE61*6)</f>
        <v>0.81362602396059003</v>
      </c>
      <c r="AH63" s="3">
        <f>1-AD63</f>
        <v>0.18637397603940997</v>
      </c>
      <c r="AS63">
        <f>(24.6-14.5)/(39.6-14.5)</f>
        <v>0.40239043824701198</v>
      </c>
      <c r="AW63" s="3">
        <f>1-AS63</f>
        <v>0.59760956175298796</v>
      </c>
    </row>
    <row r="64" spans="1:57" x14ac:dyDescent="0.25">
      <c r="M64" t="s">
        <v>37</v>
      </c>
      <c r="O64" t="s">
        <v>38</v>
      </c>
      <c r="P64">
        <v>0.02</v>
      </c>
    </row>
    <row r="65" spans="1:56" x14ac:dyDescent="0.25">
      <c r="M65" s="7" t="s">
        <v>39</v>
      </c>
      <c r="N65" s="3">
        <f>1-EXP(-P64*10) - (1-EXP((-P64*2)))</f>
        <v>0.14205868607434136</v>
      </c>
    </row>
    <row r="70" spans="1:56" x14ac:dyDescent="0.25">
      <c r="A70" s="5">
        <v>6</v>
      </c>
      <c r="AD70" s="1" t="s">
        <v>79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S70" s="1" t="s">
        <v>92</v>
      </c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56" x14ac:dyDescent="0.25"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8" spans="1:56" x14ac:dyDescent="0.25">
      <c r="O78" t="s">
        <v>42</v>
      </c>
      <c r="P78" t="s">
        <v>43</v>
      </c>
      <c r="S78" t="s">
        <v>44</v>
      </c>
      <c r="T78" t="s">
        <v>45</v>
      </c>
      <c r="U78" t="s">
        <v>46</v>
      </c>
      <c r="V78" t="s">
        <v>47</v>
      </c>
      <c r="AU78" t="s">
        <v>42</v>
      </c>
      <c r="AV78" t="s">
        <v>43</v>
      </c>
      <c r="AY78" t="s">
        <v>44</v>
      </c>
      <c r="AZ78" t="s">
        <v>45</v>
      </c>
      <c r="BA78" t="s">
        <v>46</v>
      </c>
      <c r="BB78" t="s">
        <v>47</v>
      </c>
    </row>
    <row r="79" spans="1:56" x14ac:dyDescent="0.25">
      <c r="M79" t="s">
        <v>40</v>
      </c>
      <c r="S79">
        <v>92.9</v>
      </c>
      <c r="T79">
        <v>21</v>
      </c>
      <c r="U79">
        <v>7.7</v>
      </c>
      <c r="V79">
        <v>4.4000000000000004</v>
      </c>
      <c r="AE79" t="s">
        <v>42</v>
      </c>
      <c r="AF79" t="s">
        <v>43</v>
      </c>
      <c r="AI79" t="s">
        <v>44</v>
      </c>
      <c r="AJ79" t="s">
        <v>45</v>
      </c>
      <c r="AK79" t="s">
        <v>46</v>
      </c>
      <c r="AL79" t="s">
        <v>47</v>
      </c>
      <c r="AS79" t="s">
        <v>40</v>
      </c>
      <c r="AY79">
        <v>6</v>
      </c>
      <c r="AZ79">
        <v>14</v>
      </c>
      <c r="BA79">
        <v>0.74</v>
      </c>
      <c r="BB79">
        <v>0.23</v>
      </c>
    </row>
    <row r="80" spans="1:56" x14ac:dyDescent="0.25">
      <c r="M80" t="s">
        <v>41</v>
      </c>
      <c r="O80" s="3">
        <f>S79-T79</f>
        <v>71.900000000000006</v>
      </c>
      <c r="AC80" t="s">
        <v>40</v>
      </c>
      <c r="AI80">
        <v>83.3</v>
      </c>
      <c r="AJ80">
        <v>24</v>
      </c>
      <c r="AK80">
        <v>7.2</v>
      </c>
      <c r="AL80">
        <v>3.2</v>
      </c>
      <c r="AS80" t="s">
        <v>93</v>
      </c>
      <c r="AU80" s="3">
        <f>5*AY79+8*AZ79</f>
        <v>142</v>
      </c>
    </row>
    <row r="81" spans="1:57" x14ac:dyDescent="0.25">
      <c r="M81" t="s">
        <v>48</v>
      </c>
      <c r="AC81" t="s">
        <v>41</v>
      </c>
      <c r="AE81" s="3">
        <f>AI80-AJ80</f>
        <v>59.3</v>
      </c>
      <c r="AS81" t="s">
        <v>95</v>
      </c>
    </row>
    <row r="82" spans="1:57" x14ac:dyDescent="0.25">
      <c r="M82" t="s">
        <v>49</v>
      </c>
      <c r="AC82" t="s">
        <v>48</v>
      </c>
      <c r="AS82" t="s">
        <v>49</v>
      </c>
    </row>
    <row r="83" spans="1:57" x14ac:dyDescent="0.25">
      <c r="M83" t="s">
        <v>50</v>
      </c>
      <c r="N83">
        <f>0.47*SQRT(U79*V79)</f>
        <v>2.7357068556407866</v>
      </c>
      <c r="AC83" t="s">
        <v>49</v>
      </c>
      <c r="AS83" t="s">
        <v>50</v>
      </c>
      <c r="AT83">
        <f>-0.34*SQRT(BA79*BB79)</f>
        <v>-0.14026802914420664</v>
      </c>
    </row>
    <row r="84" spans="1:57" x14ac:dyDescent="0.25">
      <c r="M84" t="s">
        <v>51</v>
      </c>
      <c r="N84" s="3">
        <f>U79+V79-2*N83</f>
        <v>6.6285862887184281</v>
      </c>
      <c r="AC84" t="s">
        <v>50</v>
      </c>
      <c r="AD84">
        <f>0.34*SQRT(AK80*AL80)</f>
        <v>1.6320000000000003</v>
      </c>
      <c r="AS84" t="s">
        <v>94</v>
      </c>
      <c r="AT84" s="3">
        <f>25*BA79+64*BB79+2*5*8*AT83</f>
        <v>21.998557668463469</v>
      </c>
    </row>
    <row r="85" spans="1:57" x14ac:dyDescent="0.25">
      <c r="AC85" t="s">
        <v>51</v>
      </c>
      <c r="AD85" s="3">
        <f>AK80+AL80-2*AD84</f>
        <v>7.1359999999999992</v>
      </c>
    </row>
    <row r="89" spans="1:57" ht="18.75" customHeight="1" x14ac:dyDescent="0.25">
      <c r="AC89" s="1" t="s">
        <v>80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S89" s="1" t="s">
        <v>96</v>
      </c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M90" s="1" t="s">
        <v>52</v>
      </c>
      <c r="N90" s="1"/>
      <c r="O90" s="1"/>
      <c r="P90" s="1"/>
      <c r="Q90" s="1"/>
      <c r="R90" s="1"/>
      <c r="S90" s="1"/>
      <c r="T90" s="1"/>
      <c r="U90" s="1"/>
      <c r="V90" s="1"/>
      <c r="W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5">
        <v>7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7" spans="13:57" x14ac:dyDescent="0.25">
      <c r="AL97" t="s">
        <v>57</v>
      </c>
      <c r="AN97" s="9">
        <f>AD98*AH101</f>
        <v>210870</v>
      </c>
      <c r="BB97" t="s">
        <v>57</v>
      </c>
      <c r="BD97" s="9">
        <f>AT98*AX98</f>
        <v>19500</v>
      </c>
    </row>
    <row r="98" spans="13:57" x14ac:dyDescent="0.25">
      <c r="M98">
        <v>1</v>
      </c>
      <c r="Q98">
        <v>2</v>
      </c>
      <c r="AC98" t="s">
        <v>53</v>
      </c>
      <c r="AD98" s="3">
        <f>450*0.44</f>
        <v>198</v>
      </c>
      <c r="AG98" t="s">
        <v>64</v>
      </c>
      <c r="AH98">
        <v>500</v>
      </c>
      <c r="AI98">
        <v>1000</v>
      </c>
      <c r="AJ98">
        <v>3000</v>
      </c>
      <c r="AS98" t="s">
        <v>97</v>
      </c>
      <c r="AT98" s="6">
        <v>3</v>
      </c>
      <c r="AW98" t="s">
        <v>55</v>
      </c>
      <c r="AX98">
        <v>6500</v>
      </c>
    </row>
    <row r="99" spans="13:57" x14ac:dyDescent="0.25">
      <c r="M99" t="s">
        <v>53</v>
      </c>
      <c r="N99">
        <f>750*0.84</f>
        <v>630</v>
      </c>
      <c r="Q99" t="s">
        <v>55</v>
      </c>
      <c r="S99">
        <f>5000</f>
        <v>5000</v>
      </c>
      <c r="AC99" t="s">
        <v>54</v>
      </c>
      <c r="AD99" s="3">
        <f>450*0.44*(1-0.44)</f>
        <v>110.88000000000001</v>
      </c>
      <c r="AG99" t="s">
        <v>65</v>
      </c>
      <c r="AH99">
        <v>0.63</v>
      </c>
      <c r="AI99">
        <v>0.18</v>
      </c>
      <c r="AJ99">
        <f>1-AH99-AI99</f>
        <v>0.19</v>
      </c>
      <c r="AL99" t="s">
        <v>58</v>
      </c>
      <c r="AO99" s="9">
        <f>AD98*AH103+AH101^2*AD99</f>
        <v>306591318</v>
      </c>
      <c r="AS99" t="s">
        <v>98</v>
      </c>
      <c r="AT99" s="6">
        <v>3</v>
      </c>
      <c r="AW99" t="s">
        <v>99</v>
      </c>
      <c r="AY99">
        <f>164.3^2</f>
        <v>26994.490000000005</v>
      </c>
      <c r="BB99" t="s">
        <v>58</v>
      </c>
      <c r="BE99" s="9">
        <f>AT98*AY99+AX98^2*AT99</f>
        <v>126830983.47</v>
      </c>
    </row>
    <row r="100" spans="13:57" x14ac:dyDescent="0.25">
      <c r="M100" t="s">
        <v>54</v>
      </c>
      <c r="N100">
        <f>750*0.84*(1-0.84)</f>
        <v>100.80000000000003</v>
      </c>
      <c r="Q100" t="s">
        <v>56</v>
      </c>
      <c r="S100">
        <f>150^2</f>
        <v>22500</v>
      </c>
      <c r="AG100" t="s">
        <v>81</v>
      </c>
      <c r="AH100">
        <f>AH98^2</f>
        <v>250000</v>
      </c>
      <c r="AI100">
        <f t="shared" ref="AI100:AJ100" si="9">AI98^2</f>
        <v>1000000</v>
      </c>
      <c r="AJ100">
        <f t="shared" si="9"/>
        <v>9000000</v>
      </c>
      <c r="AS100" s="6"/>
      <c r="AT100" s="6"/>
      <c r="AU100" s="6"/>
      <c r="AV100" s="6"/>
      <c r="AW100" s="6"/>
      <c r="AX100" s="6"/>
      <c r="AY100" s="6"/>
    </row>
    <row r="101" spans="13:57" x14ac:dyDescent="0.25">
      <c r="AG101" t="s">
        <v>66</v>
      </c>
      <c r="AH101" s="3">
        <f>SUMPRODUCT(AH98:AJ98,AH99:AJ99)</f>
        <v>1065</v>
      </c>
      <c r="AL101" t="s">
        <v>83</v>
      </c>
      <c r="AO101">
        <f>SQRT(AO99)</f>
        <v>17509.749227216249</v>
      </c>
      <c r="AS101" s="6"/>
      <c r="AT101" s="6"/>
      <c r="AU101" s="6"/>
      <c r="AV101" s="6"/>
      <c r="AW101" s="6"/>
      <c r="AX101" s="6"/>
      <c r="AY101" s="6"/>
      <c r="BB101" t="s">
        <v>83</v>
      </c>
      <c r="BE101">
        <f>SQRT(BE99)</f>
        <v>11261.926277062907</v>
      </c>
    </row>
    <row r="102" spans="13:57" x14ac:dyDescent="0.25">
      <c r="AG102" t="s">
        <v>82</v>
      </c>
      <c r="AH102">
        <f>SUMPRODUCT(AH100:AJ100,AH99:AJ99)</f>
        <v>2047500</v>
      </c>
      <c r="AS102" s="6"/>
      <c r="AT102" s="6"/>
      <c r="AU102" s="6"/>
      <c r="AV102" s="6"/>
      <c r="AW102" s="6"/>
      <c r="AX102" s="6"/>
      <c r="AY102" s="6"/>
    </row>
    <row r="103" spans="13:57" x14ac:dyDescent="0.25">
      <c r="M103" t="s">
        <v>57</v>
      </c>
      <c r="O103" s="9">
        <f>N99*S99</f>
        <v>3150000</v>
      </c>
      <c r="AG103" t="s">
        <v>67</v>
      </c>
      <c r="AH103" s="3">
        <f>AH102-AH101^2</f>
        <v>913275</v>
      </c>
      <c r="AS103" s="6"/>
      <c r="AT103" s="6"/>
      <c r="AU103" s="6"/>
      <c r="AV103" s="6"/>
      <c r="AW103" s="6"/>
      <c r="AX103" s="6"/>
      <c r="AY103" s="6"/>
    </row>
    <row r="104" spans="13:57" x14ac:dyDescent="0.25">
      <c r="AS104" s="6"/>
      <c r="AT104" s="6"/>
      <c r="AU104" s="6"/>
      <c r="AV104" s="6"/>
      <c r="AW104" s="6"/>
      <c r="AX104" s="6"/>
      <c r="AY104" s="6"/>
    </row>
    <row r="105" spans="13:57" x14ac:dyDescent="0.25">
      <c r="M105" t="s">
        <v>58</v>
      </c>
      <c r="P105" s="9">
        <f>N99*S100+S99^2*N100</f>
        <v>2534175000.0000005</v>
      </c>
      <c r="AS105" s="6"/>
      <c r="AT105" s="6"/>
      <c r="AU105" s="6"/>
      <c r="AV105" s="6"/>
      <c r="AW105" s="6"/>
      <c r="AX105" s="6"/>
      <c r="AY105" s="6"/>
    </row>
    <row r="106" spans="13:57" x14ac:dyDescent="0.25">
      <c r="AS106" s="6"/>
      <c r="AT106" s="6"/>
      <c r="AU106" s="6"/>
      <c r="AV106" s="6"/>
      <c r="AW106" s="6"/>
      <c r="AX106" s="6"/>
      <c r="AY106" s="6"/>
    </row>
    <row r="107" spans="13:57" x14ac:dyDescent="0.25">
      <c r="AS107" s="6"/>
      <c r="AT107" s="6"/>
      <c r="AU107" s="6"/>
      <c r="AV107" s="6"/>
      <c r="AW107" s="6"/>
      <c r="AX107" s="6"/>
      <c r="AY107" s="6"/>
    </row>
  </sheetData>
  <mergeCells count="21">
    <mergeCell ref="AT3:BE10"/>
    <mergeCell ref="AT15:BE19"/>
    <mergeCell ref="AT44:BD47"/>
    <mergeCell ref="AS56:BE60"/>
    <mergeCell ref="AS70:BD74"/>
    <mergeCell ref="AS89:BE95"/>
    <mergeCell ref="M90:W95"/>
    <mergeCell ref="AD3:AM9"/>
    <mergeCell ref="AD16:AL19"/>
    <mergeCell ref="AD44:AM47"/>
    <mergeCell ref="AD56:AM60"/>
    <mergeCell ref="AD70:AO76"/>
    <mergeCell ref="AC89:AO95"/>
    <mergeCell ref="B2:H12"/>
    <mergeCell ref="B16:I18"/>
    <mergeCell ref="B45:H50"/>
    <mergeCell ref="B57:H63"/>
    <mergeCell ref="N2:W12"/>
    <mergeCell ref="M16:W18"/>
    <mergeCell ref="M44:V49"/>
    <mergeCell ref="M57:V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Раз раз раз это HardBASS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2021-12-08T12:01:34Z</dcterms:created>
  <dcterms:modified xsi:type="dcterms:W3CDTF">2021-12-08T15:16:32Z</dcterms:modified>
</cp:coreProperties>
</file>