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Экономика ИС\"/>
    </mc:Choice>
  </mc:AlternateContent>
  <xr:revisionPtr revIDLastSave="0" documentId="13_ncr:1_{E70B9160-F807-4EF6-A557-C3EC3DACA345}" xr6:coauthVersionLast="40" xr6:coauthVersionMax="40" xr10:uidLastSave="{00000000-0000-0000-0000-000000000000}"/>
  <bookViews>
    <workbookView xWindow="0" yWindow="0" windowWidth="28800" windowHeight="12225" xr2:uid="{F0762DF5-A2E8-4A5C-BC32-3E1B7BCA3D4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C14" i="1" l="1"/>
  <c r="D214" i="1" l="1"/>
  <c r="E214" i="1"/>
  <c r="C214" i="1"/>
  <c r="B186" i="1"/>
  <c r="E183" i="1" s="1"/>
  <c r="C182" i="1"/>
  <c r="D183" i="1"/>
  <c r="D185" i="1"/>
  <c r="E185" i="1"/>
  <c r="B214" i="1"/>
  <c r="E213" i="1" s="1"/>
  <c r="B200" i="1"/>
  <c r="J183" i="1" s="1"/>
  <c r="J180" i="1"/>
  <c r="N131" i="1"/>
  <c r="N128" i="1"/>
  <c r="N125" i="1"/>
  <c r="M131" i="1"/>
  <c r="M128" i="1"/>
  <c r="M125" i="1"/>
  <c r="L131" i="1"/>
  <c r="I131" i="1" s="1"/>
  <c r="L128" i="1"/>
  <c r="L125" i="1"/>
  <c r="O125" i="1" s="1"/>
  <c r="J131" i="1"/>
  <c r="J128" i="1"/>
  <c r="J76" i="1"/>
  <c r="J125" i="1"/>
  <c r="K128" i="1"/>
  <c r="C155" i="1"/>
  <c r="C159" i="1" s="1"/>
  <c r="D155" i="1"/>
  <c r="E155" i="1"/>
  <c r="C156" i="1"/>
  <c r="D156" i="1"/>
  <c r="D159" i="1" s="1"/>
  <c r="E156" i="1"/>
  <c r="E159" i="1" s="1"/>
  <c r="C157" i="1"/>
  <c r="D157" i="1"/>
  <c r="E157" i="1"/>
  <c r="C158" i="1"/>
  <c r="D158" i="1"/>
  <c r="E158" i="1"/>
  <c r="E154" i="1"/>
  <c r="D154" i="1"/>
  <c r="C154" i="1"/>
  <c r="B159" i="1"/>
  <c r="E145" i="1"/>
  <c r="D145" i="1"/>
  <c r="C145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E140" i="1"/>
  <c r="D140" i="1"/>
  <c r="C140" i="1"/>
  <c r="B145" i="1"/>
  <c r="E131" i="1"/>
  <c r="D131" i="1"/>
  <c r="C131" i="1"/>
  <c r="B131" i="1"/>
  <c r="D127" i="1" s="1"/>
  <c r="B80" i="1"/>
  <c r="E77" i="1" s="1"/>
  <c r="B104" i="1"/>
  <c r="C103" i="1" s="1"/>
  <c r="B92" i="1"/>
  <c r="E91" i="1" s="1"/>
  <c r="D212" i="1" l="1"/>
  <c r="E210" i="1"/>
  <c r="C209" i="1"/>
  <c r="J186" i="1"/>
  <c r="D213" i="1"/>
  <c r="D210" i="1"/>
  <c r="C213" i="1"/>
  <c r="C210" i="1"/>
  <c r="C212" i="1"/>
  <c r="E211" i="1"/>
  <c r="D209" i="1"/>
  <c r="D211" i="1"/>
  <c r="E212" i="1"/>
  <c r="E209" i="1"/>
  <c r="C211" i="1"/>
  <c r="E199" i="1"/>
  <c r="D199" i="1"/>
  <c r="C199" i="1"/>
  <c r="E197" i="1"/>
  <c r="D197" i="1"/>
  <c r="D195" i="1"/>
  <c r="D198" i="1"/>
  <c r="D196" i="1"/>
  <c r="E195" i="1"/>
  <c r="C198" i="1"/>
  <c r="C196" i="1"/>
  <c r="C197" i="1"/>
  <c r="C195" i="1"/>
  <c r="E198" i="1"/>
  <c r="E196" i="1"/>
  <c r="C185" i="1"/>
  <c r="C183" i="1"/>
  <c r="C181" i="1"/>
  <c r="E184" i="1"/>
  <c r="E182" i="1"/>
  <c r="D181" i="1"/>
  <c r="D184" i="1"/>
  <c r="D182" i="1"/>
  <c r="E181" i="1"/>
  <c r="C184" i="1"/>
  <c r="K125" i="1"/>
  <c r="I125" i="1"/>
  <c r="O131" i="1"/>
  <c r="O128" i="1"/>
  <c r="K131" i="1"/>
  <c r="I128" i="1"/>
  <c r="C160" i="1"/>
  <c r="D161" i="1" s="1"/>
  <c r="C146" i="1"/>
  <c r="D147" i="1" s="1"/>
  <c r="E149" i="1"/>
  <c r="D148" i="1"/>
  <c r="E126" i="1"/>
  <c r="C129" i="1"/>
  <c r="C127" i="1"/>
  <c r="E130" i="1"/>
  <c r="E128" i="1"/>
  <c r="D130" i="1"/>
  <c r="D128" i="1"/>
  <c r="E127" i="1"/>
  <c r="C130" i="1"/>
  <c r="C128" i="1"/>
  <c r="C126" i="1"/>
  <c r="E129" i="1"/>
  <c r="D126" i="1"/>
  <c r="D129" i="1"/>
  <c r="C132" i="1"/>
  <c r="D133" i="1" s="1"/>
  <c r="C89" i="1"/>
  <c r="D91" i="1"/>
  <c r="C90" i="1"/>
  <c r="C91" i="1"/>
  <c r="E90" i="1"/>
  <c r="D90" i="1"/>
  <c r="D89" i="1"/>
  <c r="E89" i="1"/>
  <c r="J79" i="1"/>
  <c r="J82" i="1"/>
  <c r="C101" i="1"/>
  <c r="E102" i="1"/>
  <c r="D101" i="1"/>
  <c r="D102" i="1"/>
  <c r="E101" i="1"/>
  <c r="C102" i="1"/>
  <c r="E103" i="1"/>
  <c r="D103" i="1"/>
  <c r="C79" i="1"/>
  <c r="C78" i="1"/>
  <c r="E79" i="1"/>
  <c r="C77" i="1"/>
  <c r="C80" i="1" s="1"/>
  <c r="D79" i="1"/>
  <c r="E78" i="1"/>
  <c r="D78" i="1"/>
  <c r="D77" i="1"/>
  <c r="C215" i="1" l="1"/>
  <c r="L186" i="1" s="1"/>
  <c r="I186" i="1" s="1"/>
  <c r="D217" i="1"/>
  <c r="M186" i="1" s="1"/>
  <c r="C200" i="1"/>
  <c r="C201" i="1" s="1"/>
  <c r="D202" i="1" s="1"/>
  <c r="D200" i="1"/>
  <c r="E200" i="1"/>
  <c r="C186" i="1"/>
  <c r="C187" i="1" s="1"/>
  <c r="D186" i="1"/>
  <c r="E186" i="1"/>
  <c r="E190" i="1" s="1"/>
  <c r="N180" i="1" s="1"/>
  <c r="L180" i="1"/>
  <c r="O180" i="1" s="1"/>
  <c r="D188" i="1"/>
  <c r="F187" i="1"/>
  <c r="O186" i="1"/>
  <c r="I180" i="1"/>
  <c r="E163" i="1"/>
  <c r="D162" i="1"/>
  <c r="F160" i="1"/>
  <c r="F146" i="1"/>
  <c r="E135" i="1"/>
  <c r="D134" i="1"/>
  <c r="C92" i="1"/>
  <c r="C93" i="1" s="1"/>
  <c r="D94" i="1" s="1"/>
  <c r="F132" i="1"/>
  <c r="E80" i="1"/>
  <c r="C104" i="1"/>
  <c r="C105" i="1" s="1"/>
  <c r="L82" i="1" s="1"/>
  <c r="O82" i="1" s="1"/>
  <c r="F93" i="1"/>
  <c r="D104" i="1"/>
  <c r="D80" i="1"/>
  <c r="E92" i="1"/>
  <c r="E104" i="1"/>
  <c r="E108" i="1" s="1"/>
  <c r="N82" i="1" s="1"/>
  <c r="D92" i="1"/>
  <c r="D95" i="1" s="1"/>
  <c r="C81" i="1"/>
  <c r="K186" i="1" l="1"/>
  <c r="D216" i="1"/>
  <c r="F215" i="1"/>
  <c r="E218" i="1"/>
  <c r="N186" i="1" s="1"/>
  <c r="E204" i="1"/>
  <c r="N183" i="1" s="1"/>
  <c r="D203" i="1"/>
  <c r="M183" i="1" s="1"/>
  <c r="F201" i="1"/>
  <c r="L183" i="1"/>
  <c r="K183" i="1" s="1"/>
  <c r="D189" i="1"/>
  <c r="M180" i="1" s="1"/>
  <c r="K180" i="1"/>
  <c r="D106" i="1"/>
  <c r="I82" i="1"/>
  <c r="D107" i="1"/>
  <c r="K82" i="1"/>
  <c r="L79" i="1"/>
  <c r="O79" i="1" s="1"/>
  <c r="I79" i="1"/>
  <c r="F105" i="1"/>
  <c r="E96" i="1"/>
  <c r="N79" i="1" s="1"/>
  <c r="F81" i="1"/>
  <c r="L76" i="1"/>
  <c r="M79" i="1"/>
  <c r="D83" i="1"/>
  <c r="M76" i="1" s="1"/>
  <c r="D82" i="1"/>
  <c r="E84" i="1"/>
  <c r="N76" i="1" s="1"/>
  <c r="O183" i="1" l="1"/>
  <c r="I183" i="1"/>
  <c r="K79" i="1"/>
  <c r="O76" i="1"/>
  <c r="K76" i="1"/>
  <c r="I76" i="1"/>
  <c r="F73" i="1" l="1"/>
  <c r="F72" i="1"/>
  <c r="F71" i="1"/>
  <c r="D73" i="1"/>
  <c r="D72" i="1"/>
  <c r="D71" i="1"/>
  <c r="B47" i="1"/>
  <c r="F59" i="1"/>
  <c r="F60" i="1"/>
  <c r="E60" i="1"/>
  <c r="E59" i="1"/>
  <c r="E61" i="1" s="1"/>
  <c r="C49" i="1"/>
  <c r="B49" i="1"/>
  <c r="C48" i="1"/>
  <c r="B48" i="1"/>
  <c r="C47" i="1"/>
  <c r="C46" i="1"/>
  <c r="B46" i="1"/>
  <c r="I31" i="1"/>
  <c r="B32" i="1"/>
  <c r="I30" i="1"/>
  <c r="I29" i="1"/>
  <c r="B30" i="1"/>
  <c r="I28" i="1"/>
  <c r="B29" i="1"/>
  <c r="K24" i="1"/>
  <c r="K25" i="1"/>
  <c r="K26" i="1"/>
  <c r="K27" i="1"/>
  <c r="D32" i="1"/>
  <c r="C32" i="1"/>
  <c r="C31" i="1"/>
  <c r="D31" i="1"/>
  <c r="B31" i="1"/>
  <c r="C30" i="1"/>
  <c r="D30" i="1"/>
  <c r="N14" i="1"/>
  <c r="M14" i="1"/>
  <c r="D13" i="1"/>
  <c r="C13" i="1"/>
  <c r="F61" i="1" l="1"/>
  <c r="K28" i="1"/>
  <c r="K30" i="1"/>
  <c r="K29" i="1"/>
  <c r="K31" i="1"/>
  <c r="C29" i="1"/>
  <c r="D29" i="1"/>
  <c r="C12" i="1"/>
  <c r="N11" i="1"/>
  <c r="O11" i="1"/>
  <c r="P11" i="1"/>
  <c r="Q11" i="1"/>
  <c r="R11" i="1"/>
  <c r="S11" i="1"/>
  <c r="M11" i="1"/>
  <c r="M10" i="1"/>
  <c r="N10" i="1"/>
  <c r="O10" i="1"/>
  <c r="P10" i="1"/>
  <c r="Q10" i="1"/>
  <c r="R10" i="1"/>
  <c r="S10" i="1"/>
  <c r="N15" i="1"/>
  <c r="M15" i="1"/>
  <c r="M13" i="1"/>
  <c r="N13" i="1"/>
  <c r="H10" i="1"/>
  <c r="D10" i="1"/>
  <c r="E10" i="1"/>
  <c r="F10" i="1"/>
  <c r="G10" i="1"/>
  <c r="I10" i="1"/>
  <c r="C10" i="1"/>
  <c r="D12" i="1"/>
  <c r="D14" i="1"/>
</calcChain>
</file>

<file path=xl/sharedStrings.xml><?xml version="1.0" encoding="utf-8"?>
<sst xmlns="http://schemas.openxmlformats.org/spreadsheetml/2006/main" count="336" uniqueCount="92">
  <si>
    <t>NPV</t>
  </si>
  <si>
    <t>PI</t>
  </si>
  <si>
    <t>IRR</t>
  </si>
  <si>
    <t>Срок окупаемости</t>
  </si>
  <si>
    <t>Норма дисконта</t>
  </si>
  <si>
    <t>срок окупаемости</t>
  </si>
  <si>
    <t>6 лет</t>
  </si>
  <si>
    <t>не окупится</t>
  </si>
  <si>
    <t>БОРИСОВ НА ПИ20-5 ВАРИАНТ 7</t>
  </si>
  <si>
    <t>1.	Реализация проекта, предусматривающего затраты в размере 60000 ден. ед., должна дать чистый поток наличности, имеющий следующую структуру: 10000, 15000, 15000, 20000, 15000, 10000, 5000. Определить: NPV, PI, IRR, предел безопасности, срок окупаемости Tок при норме дисконта 10% и 15%. В каком случае величина NPV будет более чувствительной к изменению нормы дисконта? Как изменятся NPV, PI, IRR, предел безопасности, срок окупаемости Tок, MIRR, если последний приток наличности возрастет до 20000 ден. ед.?</t>
  </si>
  <si>
    <t>для 10%</t>
  </si>
  <si>
    <t>для 15%</t>
  </si>
  <si>
    <t>7 лет</t>
  </si>
  <si>
    <t>ЗАДАНИЕ 1 ИНВЕСТИЦИИ</t>
  </si>
  <si>
    <t>ЗАДАНИЕ 2 ИНВЕСТИЦИИ</t>
  </si>
  <si>
    <t>2.	Фирма рассматривает  возможность финансирования проектов, денежные потоки которых: Определите: NPV, PI, IRR, предел безопасности, срок окупаемости Tок, MIRR при норме дисконта 10%. Какой из проектов предпочтительнее?
Предположим, что бюджет ограничен 130000 р. Определите оптимальный портфель</t>
  </si>
  <si>
    <t>Период</t>
  </si>
  <si>
    <t>Проект «У»</t>
  </si>
  <si>
    <t>Проект «Z»</t>
  </si>
  <si>
    <t>Проект «Х»</t>
  </si>
  <si>
    <t>ставка</t>
  </si>
  <si>
    <t>MIRR</t>
  </si>
  <si>
    <t>Для двух портфелей</t>
  </si>
  <si>
    <t>Портфель Z</t>
  </si>
  <si>
    <t>Портфель (X+Y)</t>
  </si>
  <si>
    <t>По всем показателям кроме MIRR привлекательнее портфель X+Y, но MIRR дает более ясную картину, поэтому будем полагаться на него, несмотря на все остальные показатели и выберем привлекатльным портфель Z</t>
  </si>
  <si>
    <t>ЗАДАНИЕ 3 ИНВЕСТИЦИИ</t>
  </si>
  <si>
    <t xml:space="preserve">3.	Корпорация «К» рассматривает 2 взаимоисключающих инвестиционных проектов. Структуры денежных потоков: Норма дисконта  равна 11%. Какой проект предпочтительнее? </t>
  </si>
  <si>
    <t>Вложения в 1 проект в два раза больше, больше и абсолютная прибыль, но по остальным показателям проект Y проигрывает. Если у наш бюджет равен 400 и других проектов нет то целесообразнее вложить денбги в Y чтобы они принесли доход, если же возможно вложить в два проекта Z, то определенно вкладываться нужно в них.</t>
  </si>
  <si>
    <t>ЗАДАНИЕ 4 ИНВЕСТИЦИИ</t>
  </si>
  <si>
    <t>4.	Фирма «ААА» рассматривает пакет инвестиционных проектов. Инвестиционный бюджет фирмы ограничен и равен 40000 ден. ед. Определите оптимальный инвестиционный портфель для фирмы.</t>
  </si>
  <si>
    <t>Проект</t>
  </si>
  <si>
    <t>Затраты (I)</t>
  </si>
  <si>
    <t>1+2</t>
  </si>
  <si>
    <t>Проекты</t>
  </si>
  <si>
    <t>затраты</t>
  </si>
  <si>
    <t>Рентабельность P</t>
  </si>
  <si>
    <t>Рентабельность второго портфеля выше, выберем его</t>
  </si>
  <si>
    <t>ЗАДАНИЕ 1 РИСКИ</t>
  </si>
  <si>
    <t>1.	Инвестиционный фонд рассматривает возможность приобретения акций фирм «А», «В» и «С». Предполагаемые доходности по акциям и соответствующие вероятности: Определите риск по акциям каждой фирмы и дайте свои рекомендации о целесообразности их приобретения.
Определите с помощью функции СКОС() величину коэффициента ассиметрии.  Корректно ли предположение о нормальном распределении случайной величины?</t>
  </si>
  <si>
    <t>Фирма «А»</t>
  </si>
  <si>
    <t>ФИРМА «В»</t>
  </si>
  <si>
    <t>Фирма «С»</t>
  </si>
  <si>
    <t>Доходность</t>
  </si>
  <si>
    <t>Вероятность</t>
  </si>
  <si>
    <t>Ожидаемые значения</t>
  </si>
  <si>
    <t>Вероятность дохода</t>
  </si>
  <si>
    <t>для ст.откл.</t>
  </si>
  <si>
    <t>для скоса</t>
  </si>
  <si>
    <t>для эксцесса</t>
  </si>
  <si>
    <t>коммен</t>
  </si>
  <si>
    <t>M-ст.откл</t>
  </si>
  <si>
    <t>Среднеее</t>
  </si>
  <si>
    <t>M+ст.откл</t>
  </si>
  <si>
    <t>Ст.откл</t>
  </si>
  <si>
    <t>Скос</t>
  </si>
  <si>
    <t>Эксцесс</t>
  </si>
  <si>
    <t>CV=ст.откл/М</t>
  </si>
  <si>
    <t>Xi</t>
  </si>
  <si>
    <t>Pj</t>
  </si>
  <si>
    <t>(X-M)^2</t>
  </si>
  <si>
    <t>(X-M)^3</t>
  </si>
  <si>
    <t>(X-M)^4</t>
  </si>
  <si>
    <t>тарий</t>
  </si>
  <si>
    <t>М&gt;ст.откл</t>
  </si>
  <si>
    <t>&lt;0</t>
  </si>
  <si>
    <t>--&gt;0</t>
  </si>
  <si>
    <t>&gt;0</t>
  </si>
  <si>
    <t>Вероятнее получение более высоких доходов</t>
  </si>
  <si>
    <t>Среднее, M(Xj)</t>
  </si>
  <si>
    <t>Ст. отклонение</t>
  </si>
  <si>
    <t>Коэффициент вариации</t>
  </si>
  <si>
    <t>Вероятнее получение более низких доходов</t>
  </si>
  <si>
    <t>Скос, s</t>
  </si>
  <si>
    <t>Эксцесс, e</t>
  </si>
  <si>
    <t>Фирма А</t>
  </si>
  <si>
    <t>Фирма В</t>
  </si>
  <si>
    <t>Фирма «В»</t>
  </si>
  <si>
    <t>Фирма С</t>
  </si>
  <si>
    <t>Наибольший доход видим у Фирмы С, причем наблюдаем, что вероятно получение более высоких доходов. К тому низкий доход у всех примерно одинаков а у фирмы С наибольший и средний доход выше остальных. Однозначно Фирма С привлекательнее всего</t>
  </si>
  <si>
    <t>ЗАДАНИЕ 2 РИСКИ</t>
  </si>
  <si>
    <t>2.	Инвестиционный фонд рассматривает возможность приобретения акций фирм «А», «В» и «С». Предполагаемые доходности по акциям и соответствующие вероятности:Определите риск по акциям каждой фирмы и дайте свои рекомендации о целесообразности их приобретения.
Определите с помощью функции СКОС() величину коэффициента ассиметрии.  Корректно ли предположение о нормальном распределении случайной величины?</t>
  </si>
  <si>
    <t>Фирма "А"</t>
  </si>
  <si>
    <t>Фирма "В"</t>
  </si>
  <si>
    <t>Фирма "С"</t>
  </si>
  <si>
    <t>У 2 всех проектов скос больше 0, но у 3 вероятность получить более высокий доход выше, однако у 2 проекта сам доход выше и риски меньше. Выбираем второй проект так как он может принести большую выгоду по сравнению с остальныими</t>
  </si>
  <si>
    <t>ЗАДАНИЕ 3 РИСКИ</t>
  </si>
  <si>
    <t xml:space="preserve">3.	Банк предлагает своему клиенту инвестировать средства в акции промышленных предприятий «Х», «У», «К». Эксперты фондового отдела банка предполагают следующие распределения доходности: Определите риск по акциям каждой фирмы и дайте свои рекомендации о целесообразности их приобретения. Определите с помощью функции СКОС() величину коэффициента ассиметрии.  Корректно ли предположение о нормальном распределении случайной величины?
 </t>
  </si>
  <si>
    <t>Фирма «Х»</t>
  </si>
  <si>
    <t>ФИРМА «У»</t>
  </si>
  <si>
    <t>Фирма «К»</t>
  </si>
  <si>
    <t>Второй проект вообще будем считать бесперспективным так как ожидается получение более низких доходов, а среднее и вовсе равно низким двух других. Между 1 и 3 выберем 1, несмотря на большое отклонение, в случае даже среднего значения он принесет больший результат, нежели третий проект в удачном случае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</si>
</sst>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5" fillId="0" borderId="4" xfId="0" applyFont="1" applyBorder="1" applyAlignment="1">
      <alignment horizontal="justify" vertical="center"/>
    </xf>
    <xf numFmtId="2" fontId="5" fillId="0" borderId="5" xfId="0" applyNumberFormat="1" applyFont="1" applyFill="1" applyBorder="1" applyAlignment="1">
      <alignment horizontal="justify" vertical="center"/>
    </xf>
    <xf numFmtId="3" fontId="5" fillId="0" borderId="4" xfId="0" applyNumberFormat="1" applyFont="1" applyBorder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5" fillId="0" borderId="5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0" xfId="0" applyAlignment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0" fontId="3" fillId="3" borderId="7" xfId="0" applyFont="1" applyFill="1" applyBorder="1"/>
    <xf numFmtId="0" fontId="0" fillId="0" borderId="7" xfId="0" applyBorder="1"/>
    <xf numFmtId="0" fontId="0" fillId="4" borderId="7" xfId="0" applyFill="1" applyBorder="1"/>
    <xf numFmtId="0" fontId="0" fillId="5" borderId="7" xfId="0" applyFill="1" applyBorder="1"/>
    <xf numFmtId="10" fontId="0" fillId="0" borderId="7" xfId="1" applyNumberFormat="1" applyFont="1" applyBorder="1"/>
    <xf numFmtId="0" fontId="0" fillId="0" borderId="7" xfId="0" quotePrefix="1" applyBorder="1"/>
    <xf numFmtId="0" fontId="3" fillId="6" borderId="7" xfId="0" applyFont="1" applyFill="1" applyBorder="1"/>
    <xf numFmtId="0" fontId="0" fillId="3" borderId="7" xfId="0" applyFill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3" borderId="7" xfId="0" quotePrefix="1" applyFill="1" applyBorder="1"/>
    <xf numFmtId="0" fontId="0" fillId="3" borderId="13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0" borderId="15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1AD5-8DAE-464F-8DD7-1E6D551DF43C}">
  <dimension ref="A1:S218"/>
  <sheetViews>
    <sheetView tabSelected="1" topLeftCell="D67" zoomScaleNormal="100" workbookViewId="0">
      <selection activeCell="M83" sqref="M83"/>
    </sheetView>
  </sheetViews>
  <sheetFormatPr defaultRowHeight="15" x14ac:dyDescent="0.25"/>
  <cols>
    <col min="1" max="1" width="24.7109375" bestFit="1" customWidth="1"/>
    <col min="2" max="2" width="18" bestFit="1" customWidth="1"/>
    <col min="3" max="3" width="15" customWidth="1"/>
    <col min="4" max="4" width="17.5703125" bestFit="1" customWidth="1"/>
    <col min="5" max="5" width="10" customWidth="1"/>
    <col min="6" max="6" width="15.140625" customWidth="1"/>
    <col min="9" max="9" width="9.5703125" bestFit="1" customWidth="1"/>
    <col min="12" max="12" width="18" bestFit="1" customWidth="1"/>
    <col min="13" max="13" width="10.5703125" bestFit="1" customWidth="1"/>
    <col min="14" max="14" width="11.85546875" bestFit="1" customWidth="1"/>
    <col min="17" max="17" width="10.28515625" bestFit="1" customWidth="1"/>
  </cols>
  <sheetData>
    <row r="1" spans="1:19" x14ac:dyDescent="0.25">
      <c r="A1" s="47" t="s">
        <v>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9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9" x14ac:dyDescent="0.25">
      <c r="A3" t="s">
        <v>13</v>
      </c>
    </row>
    <row r="4" spans="1:19" x14ac:dyDescent="0.25">
      <c r="A4" s="47" t="s">
        <v>9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</row>
    <row r="5" spans="1:19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</row>
    <row r="7" spans="1:19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L8">
        <v>0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</row>
    <row r="9" spans="1:19" x14ac:dyDescent="0.25">
      <c r="B9">
        <v>-60000</v>
      </c>
      <c r="C9">
        <v>10000</v>
      </c>
      <c r="D9">
        <v>15000</v>
      </c>
      <c r="E9">
        <v>15000</v>
      </c>
      <c r="F9">
        <v>20000</v>
      </c>
      <c r="G9">
        <v>15000</v>
      </c>
      <c r="H9">
        <v>10000</v>
      </c>
      <c r="I9">
        <v>5000</v>
      </c>
      <c r="L9">
        <v>-60000</v>
      </c>
      <c r="M9">
        <v>10000</v>
      </c>
      <c r="N9">
        <v>15000</v>
      </c>
      <c r="O9">
        <v>15000</v>
      </c>
      <c r="P9">
        <v>20000</v>
      </c>
      <c r="Q9">
        <v>15000</v>
      </c>
      <c r="R9">
        <v>10000</v>
      </c>
      <c r="S9">
        <v>20000</v>
      </c>
    </row>
    <row r="10" spans="1:19" x14ac:dyDescent="0.25">
      <c r="B10" t="s">
        <v>5</v>
      </c>
      <c r="C10" s="3">
        <f>NPV($C$11,$C$9:C9)+$B$9</f>
        <v>-50909.090909090912</v>
      </c>
      <c r="D10" s="3">
        <f>NPV($C$11,$C$9:D9)+$B$9</f>
        <v>-38512.396694214876</v>
      </c>
      <c r="E10" s="3">
        <f>NPV($C$11,$C$9:E9)+$B$9</f>
        <v>-27242.674680691212</v>
      </c>
      <c r="F10" s="3">
        <f>NPV($C$11,$C$9:F9)+$B$9</f>
        <v>-13582.405573389806</v>
      </c>
      <c r="G10" s="3">
        <f>NPV($C$11,$C$9:G9)+$B$9</f>
        <v>-4268.5857275024828</v>
      </c>
      <c r="H10" s="5">
        <f>NPV($C$11,$C$9:H9)+$B$9</f>
        <v>1376.1535730352844</v>
      </c>
      <c r="I10" s="3">
        <f>NPV($C$11,$C$9:I9)+$B$9</f>
        <v>3941.9441641888116</v>
      </c>
      <c r="J10" s="3"/>
      <c r="K10" t="s">
        <v>10</v>
      </c>
      <c r="L10" t="s">
        <v>5</v>
      </c>
      <c r="M10" s="3">
        <f>NPV($M$12,$M$9:M9)+$L$9</f>
        <v>-50909.090909090912</v>
      </c>
      <c r="N10" s="3">
        <f>NPV($M$12,$M$9:N9)+$L$9</f>
        <v>-38512.396694214876</v>
      </c>
      <c r="O10" s="3">
        <f>NPV($M$12,$M$9:O9)+$L$9</f>
        <v>-27242.674680691212</v>
      </c>
      <c r="P10" s="3">
        <f>NPV($M$12,$M$9:P9)+$L$9</f>
        <v>-13582.405573389806</v>
      </c>
      <c r="Q10" s="3">
        <f>NPV($M$12,$M$9:Q9)+$L$9</f>
        <v>-4268.5857275024828</v>
      </c>
      <c r="R10" s="5">
        <f>NPV($M$12,$M$9:R9)+$L$9</f>
        <v>1376.1535730352844</v>
      </c>
      <c r="S10" s="3">
        <f>NPV($M$12,$M$9:S9)+$L$9</f>
        <v>11639.3159376494</v>
      </c>
    </row>
    <row r="11" spans="1:19" x14ac:dyDescent="0.25">
      <c r="B11" t="s">
        <v>4</v>
      </c>
      <c r="C11" s="1">
        <v>0.1</v>
      </c>
      <c r="D11" s="1">
        <v>0.15</v>
      </c>
      <c r="K11" t="s">
        <v>11</v>
      </c>
      <c r="L11" t="s">
        <v>5</v>
      </c>
      <c r="M11" s="3">
        <f>NPV($N$12,$M$9:M9)+$L$9</f>
        <v>-51304.34782608696</v>
      </c>
      <c r="N11" s="3">
        <f>NPV($N$12,$M$9:N9)+$L$9</f>
        <v>-39962.192816635157</v>
      </c>
      <c r="O11" s="3">
        <f>NPV($N$12,$M$9:O9)+$L$9</f>
        <v>-30099.449330155334</v>
      </c>
      <c r="P11" s="3">
        <f>NPV($N$12,$M$9:P9)+$L$9</f>
        <v>-18664.384418294663</v>
      </c>
      <c r="Q11" s="3">
        <f>NPV($N$12,$M$9:Q9)+$L$9</f>
        <v>-11206.733388820314</v>
      </c>
      <c r="R11" s="3">
        <f>NPV($N$12,$M$9:R9)+$L$9</f>
        <v>-6883.4574297047511</v>
      </c>
      <c r="S11" s="5">
        <f>NPV($N$12,$M$9:S9)+$L$9</f>
        <v>635.28336875710374</v>
      </c>
    </row>
    <row r="12" spans="1:19" x14ac:dyDescent="0.25">
      <c r="B12" t="s">
        <v>0</v>
      </c>
      <c r="C12" s="2">
        <f>NPV(C11,$C$9:$I$9)+$B$9</f>
        <v>3941.9441641888116</v>
      </c>
      <c r="D12" s="2">
        <f>NPV(D11,$C$9:$I$9)+$B$9</f>
        <v>-5003.7722300892856</v>
      </c>
      <c r="L12" t="s">
        <v>4</v>
      </c>
      <c r="M12" s="1">
        <v>0.1</v>
      </c>
      <c r="N12" s="1">
        <v>0.15</v>
      </c>
    </row>
    <row r="13" spans="1:19" x14ac:dyDescent="0.25">
      <c r="B13" t="s">
        <v>1</v>
      </c>
      <c r="C13" s="3">
        <f>NPV(C11,C9:I9)/-$B$9</f>
        <v>1.065699069403147</v>
      </c>
      <c r="D13" s="4">
        <f>NPV(D11,C9:I9)/-$B$9</f>
        <v>0.91660379616517862</v>
      </c>
      <c r="L13" t="s">
        <v>0</v>
      </c>
      <c r="M13" s="2">
        <f>NPV(M12,$M$9:$S$9)+$L$9</f>
        <v>11639.3159376494</v>
      </c>
      <c r="N13" s="2">
        <f>NPV(N12,$M$9:$S$9)+$L$9</f>
        <v>635.28336875710374</v>
      </c>
    </row>
    <row r="14" spans="1:19" x14ac:dyDescent="0.25">
      <c r="B14" t="s">
        <v>2</v>
      </c>
      <c r="C14" s="1">
        <f>IRR($B$9:$I$9)</f>
        <v>0.12061978687865227</v>
      </c>
      <c r="D14" s="1">
        <f>IRR($B$9:$I$9)</f>
        <v>0.12061978687865227</v>
      </c>
      <c r="L14" t="s">
        <v>1</v>
      </c>
      <c r="M14" s="3">
        <f>NPV(M12,M9:S9)/-$L$9</f>
        <v>1.1939885989608234</v>
      </c>
      <c r="N14" s="3">
        <f>NPV(N12,M9:S9)/-$L$9</f>
        <v>1.0105880561459517</v>
      </c>
    </row>
    <row r="15" spans="1:19" x14ac:dyDescent="0.25">
      <c r="B15" t="s">
        <v>3</v>
      </c>
      <c r="C15" t="s">
        <v>6</v>
      </c>
      <c r="D15" t="s">
        <v>7</v>
      </c>
      <c r="L15" t="s">
        <v>2</v>
      </c>
      <c r="M15" s="1">
        <f>IRR($L$9:$S$9)</f>
        <v>0.15330923534206464</v>
      </c>
      <c r="N15" s="1">
        <f>IRR($L$9:$S$9)</f>
        <v>0.15330923534206464</v>
      </c>
    </row>
    <row r="16" spans="1:19" x14ac:dyDescent="0.25">
      <c r="B16" s="1"/>
      <c r="L16" t="s">
        <v>3</v>
      </c>
      <c r="M16" t="s">
        <v>6</v>
      </c>
      <c r="N16" t="s">
        <v>12</v>
      </c>
    </row>
    <row r="18" spans="1:19" x14ac:dyDescent="0.25">
      <c r="A18" t="s">
        <v>14</v>
      </c>
    </row>
    <row r="19" spans="1:19" x14ac:dyDescent="0.25">
      <c r="A19" s="47" t="s">
        <v>15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19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19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19" ht="15.75" thickBot="1" x14ac:dyDescent="0.3">
      <c r="A23" t="s">
        <v>20</v>
      </c>
      <c r="B23" s="1">
        <v>0.1</v>
      </c>
      <c r="F23" t="s">
        <v>22</v>
      </c>
      <c r="I23" t="s">
        <v>23</v>
      </c>
      <c r="K23" t="s">
        <v>24</v>
      </c>
    </row>
    <row r="24" spans="1:19" ht="16.5" thickBot="1" x14ac:dyDescent="0.3">
      <c r="A24" s="10" t="s">
        <v>16</v>
      </c>
      <c r="B24" s="11" t="s">
        <v>17</v>
      </c>
      <c r="C24" s="11" t="s">
        <v>18</v>
      </c>
      <c r="D24" s="11" t="s">
        <v>19</v>
      </c>
      <c r="I24">
        <v>-130000</v>
      </c>
      <c r="K24">
        <f>SUM(B25,D25)</f>
        <v>-120000</v>
      </c>
      <c r="M24" s="47" t="s">
        <v>25</v>
      </c>
      <c r="N24" s="47"/>
      <c r="O24" s="47"/>
      <c r="P24" s="47"/>
      <c r="Q24" s="47"/>
      <c r="R24" s="47"/>
      <c r="S24" s="47"/>
    </row>
    <row r="25" spans="1:19" ht="16.5" thickBot="1" x14ac:dyDescent="0.3">
      <c r="A25" s="12">
        <v>0</v>
      </c>
      <c r="B25" s="13">
        <v>-20000</v>
      </c>
      <c r="C25" s="13">
        <v>-130000</v>
      </c>
      <c r="D25" s="13">
        <v>-100000</v>
      </c>
      <c r="I25">
        <v>80000</v>
      </c>
      <c r="K25">
        <f t="shared" ref="K25:K27" si="0">SUM(B26,D26)</f>
        <v>105000</v>
      </c>
      <c r="M25" s="47"/>
      <c r="N25" s="47"/>
      <c r="O25" s="47"/>
      <c r="P25" s="47"/>
      <c r="Q25" s="47"/>
      <c r="R25" s="47"/>
      <c r="S25" s="47"/>
    </row>
    <row r="26" spans="1:19" ht="16.5" thickBot="1" x14ac:dyDescent="0.3">
      <c r="A26" s="12">
        <v>1</v>
      </c>
      <c r="B26" s="15">
        <v>15000</v>
      </c>
      <c r="C26" s="15">
        <v>80000</v>
      </c>
      <c r="D26" s="15">
        <v>90000</v>
      </c>
      <c r="I26">
        <v>60000</v>
      </c>
      <c r="K26">
        <f t="shared" si="0"/>
        <v>50000</v>
      </c>
      <c r="M26" s="47"/>
      <c r="N26" s="47"/>
      <c r="O26" s="47"/>
      <c r="P26" s="47"/>
      <c r="Q26" s="47"/>
      <c r="R26" s="47"/>
      <c r="S26" s="47"/>
    </row>
    <row r="27" spans="1:19" ht="16.5" thickBot="1" x14ac:dyDescent="0.3">
      <c r="A27" s="12">
        <v>2</v>
      </c>
      <c r="B27" s="15">
        <v>20000</v>
      </c>
      <c r="C27" s="15">
        <v>60000</v>
      </c>
      <c r="D27" s="15">
        <v>30000</v>
      </c>
      <c r="I27">
        <v>60000</v>
      </c>
      <c r="K27">
        <f t="shared" si="0"/>
        <v>45000</v>
      </c>
      <c r="M27" s="47"/>
      <c r="N27" s="47"/>
      <c r="O27" s="47"/>
      <c r="P27" s="47"/>
      <c r="Q27" s="47"/>
      <c r="R27" s="47"/>
      <c r="S27" s="47"/>
    </row>
    <row r="28" spans="1:19" ht="16.5" thickBot="1" x14ac:dyDescent="0.3">
      <c r="A28" s="12">
        <v>3</v>
      </c>
      <c r="B28" s="15">
        <v>15000</v>
      </c>
      <c r="C28" s="15">
        <v>60000</v>
      </c>
      <c r="D28" s="15">
        <v>30000</v>
      </c>
      <c r="H28" t="s">
        <v>0</v>
      </c>
      <c r="I28" s="3">
        <f>NPV($B$23,I25:I27)+I24</f>
        <v>37392.937640871474</v>
      </c>
      <c r="J28" s="3"/>
      <c r="K28" s="3">
        <f t="shared" ref="K28" si="1">NPV($B$23,K25:K27)+K24</f>
        <v>50586.02554470321</v>
      </c>
      <c r="M28" s="47"/>
      <c r="N28" s="47"/>
      <c r="O28" s="47"/>
      <c r="P28" s="47"/>
      <c r="Q28" s="47"/>
      <c r="R28" s="47"/>
      <c r="S28" s="47"/>
    </row>
    <row r="29" spans="1:19" ht="15.75" x14ac:dyDescent="0.25">
      <c r="A29" t="s">
        <v>0</v>
      </c>
      <c r="B29" s="14">
        <f>NPV($B$23,B26:B28)+B25</f>
        <v>21435.011269722003</v>
      </c>
      <c r="C29" s="14">
        <f t="shared" ref="C29:D29" si="2">NPV($B$23,C26:C28)+C25</f>
        <v>37392.937640871474</v>
      </c>
      <c r="D29" s="14">
        <f t="shared" si="2"/>
        <v>29151.014274981193</v>
      </c>
      <c r="H29" t="s">
        <v>1</v>
      </c>
      <c r="I29">
        <f>NPV($B$23,I25:I27)/-I24</f>
        <v>1.2876379818528576</v>
      </c>
      <c r="K29">
        <f t="shared" ref="K29" si="3">NPV($B$23,K25:K27)/-K24</f>
        <v>1.4215502128725268</v>
      </c>
      <c r="M29" s="47"/>
      <c r="N29" s="47"/>
      <c r="O29" s="47"/>
      <c r="P29" s="47"/>
      <c r="Q29" s="47"/>
      <c r="R29" s="47"/>
      <c r="S29" s="47"/>
    </row>
    <row r="30" spans="1:19" x14ac:dyDescent="0.25">
      <c r="A30" t="s">
        <v>1</v>
      </c>
      <c r="B30">
        <f>NPV($B$23,B26:B28)/-B25</f>
        <v>2.0717505634861002</v>
      </c>
      <c r="C30">
        <f t="shared" ref="C30:D30" si="4">NPV($B$23,C26:C28)/-C25</f>
        <v>1.2876379818528576</v>
      </c>
      <c r="D30">
        <f t="shared" si="4"/>
        <v>1.2915101427498119</v>
      </c>
      <c r="H30" t="s">
        <v>2</v>
      </c>
      <c r="I30" s="1">
        <f>IRR(I24:I27)</f>
        <v>0.26709898300250523</v>
      </c>
      <c r="J30" s="1"/>
      <c r="K30" s="1">
        <f t="shared" ref="K30" si="5">IRR(K24:K27)</f>
        <v>0.37591312534493193</v>
      </c>
      <c r="M30" s="47"/>
      <c r="N30" s="47"/>
      <c r="O30" s="47"/>
      <c r="P30" s="47"/>
      <c r="Q30" s="47"/>
      <c r="R30" s="47"/>
      <c r="S30" s="47"/>
    </row>
    <row r="31" spans="1:19" x14ac:dyDescent="0.25">
      <c r="A31" t="s">
        <v>2</v>
      </c>
      <c r="B31" s="1">
        <f>IRR(B25:B28)</f>
        <v>0.63918704317590946</v>
      </c>
      <c r="C31" s="1">
        <f t="shared" ref="C31:D31" si="6">IRR(C25:C28)</f>
        <v>0.26709898300250523</v>
      </c>
      <c r="D31" s="1">
        <f t="shared" si="6"/>
        <v>0.30572083494297875</v>
      </c>
      <c r="H31" t="s">
        <v>21</v>
      </c>
      <c r="I31" s="1">
        <f>MIRR(I24:I27,$B$23,B23)</f>
        <v>0.19671466038503138</v>
      </c>
      <c r="J31" s="1"/>
      <c r="K31" s="1">
        <f t="shared" ref="K31" si="7">MIRR(K24:K27,$B$23,D23)</f>
        <v>0.1856311014966876</v>
      </c>
      <c r="M31" s="47"/>
      <c r="N31" s="47"/>
      <c r="O31" s="47"/>
      <c r="P31" s="47"/>
      <c r="Q31" s="47"/>
      <c r="R31" s="47"/>
      <c r="S31" s="47"/>
    </row>
    <row r="32" spans="1:19" x14ac:dyDescent="0.25">
      <c r="A32" t="s">
        <v>21</v>
      </c>
      <c r="B32" s="1">
        <f>MIRR(B25:B28,$B$23,$B$23)</f>
        <v>0.4022921634525698</v>
      </c>
      <c r="C32" s="1">
        <f>MIRR(C25:C28,$B$23,$B$23)</f>
        <v>0.19671466038503138</v>
      </c>
      <c r="D32" s="1">
        <f>MIRR(D25:D28,$B$23,$B$23)</f>
        <v>0.19791303926647874</v>
      </c>
      <c r="M32" s="47"/>
      <c r="N32" s="47"/>
      <c r="O32" s="47"/>
      <c r="P32" s="47"/>
      <c r="Q32" s="47"/>
      <c r="R32" s="47"/>
      <c r="S32" s="47"/>
    </row>
    <row r="35" spans="1:19" x14ac:dyDescent="0.25">
      <c r="A35" t="s">
        <v>26</v>
      </c>
    </row>
    <row r="36" spans="1:19" x14ac:dyDescent="0.25">
      <c r="A36" s="51" t="s">
        <v>27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</row>
    <row r="37" spans="1:19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spans="1:19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  <row r="39" spans="1:19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</row>
    <row r="40" spans="1:19" ht="15.75" thickBot="1" x14ac:dyDescent="0.3">
      <c r="A40" t="s">
        <v>20</v>
      </c>
      <c r="B40" s="1">
        <v>0.11</v>
      </c>
    </row>
    <row r="41" spans="1:19" ht="16.5" thickBot="1" x14ac:dyDescent="0.3">
      <c r="A41" s="6" t="s">
        <v>16</v>
      </c>
      <c r="B41" s="7" t="s">
        <v>17</v>
      </c>
      <c r="C41" s="7" t="s">
        <v>18</v>
      </c>
      <c r="E41" s="47" t="s">
        <v>28</v>
      </c>
      <c r="F41" s="47"/>
      <c r="G41" s="47"/>
      <c r="H41" s="47"/>
      <c r="I41" s="47"/>
      <c r="J41" s="47"/>
      <c r="K41" s="47"/>
      <c r="L41" s="47"/>
      <c r="M41" s="47"/>
    </row>
    <row r="42" spans="1:19" ht="16.5" thickBot="1" x14ac:dyDescent="0.3">
      <c r="A42" s="8">
        <v>0</v>
      </c>
      <c r="B42" s="9">
        <v>-400</v>
      </c>
      <c r="C42" s="9">
        <v>-200</v>
      </c>
      <c r="E42" s="47"/>
      <c r="F42" s="47"/>
      <c r="G42" s="47"/>
      <c r="H42" s="47"/>
      <c r="I42" s="47"/>
      <c r="J42" s="47"/>
      <c r="K42" s="47"/>
      <c r="L42" s="47"/>
      <c r="M42" s="47"/>
    </row>
    <row r="43" spans="1:19" ht="16.5" thickBot="1" x14ac:dyDescent="0.3">
      <c r="A43" s="8">
        <v>1</v>
      </c>
      <c r="B43" s="9">
        <v>241</v>
      </c>
      <c r="C43" s="9">
        <v>131</v>
      </c>
      <c r="E43" s="47"/>
      <c r="F43" s="47"/>
      <c r="G43" s="47"/>
      <c r="H43" s="47"/>
      <c r="I43" s="47"/>
      <c r="J43" s="47"/>
      <c r="K43" s="47"/>
      <c r="L43" s="47"/>
      <c r="M43" s="47"/>
    </row>
    <row r="44" spans="1:19" ht="16.5" thickBot="1" x14ac:dyDescent="0.3">
      <c r="A44" s="8">
        <v>2</v>
      </c>
      <c r="B44" s="9">
        <v>293</v>
      </c>
      <c r="C44" s="9">
        <v>172</v>
      </c>
      <c r="E44" s="47"/>
      <c r="F44" s="47"/>
      <c r="G44" s="47"/>
      <c r="H44" s="47"/>
      <c r="I44" s="47"/>
      <c r="J44" s="47"/>
      <c r="K44" s="47"/>
      <c r="L44" s="47"/>
      <c r="M44" s="47"/>
    </row>
    <row r="45" spans="1:19" ht="16.5" thickBot="1" x14ac:dyDescent="0.3">
      <c r="A45" s="8">
        <v>3</v>
      </c>
      <c r="B45" s="9">
        <v>300</v>
      </c>
      <c r="C45" s="9">
        <v>200</v>
      </c>
      <c r="E45" s="47"/>
      <c r="F45" s="47"/>
      <c r="G45" s="47"/>
      <c r="H45" s="47"/>
      <c r="I45" s="47"/>
      <c r="J45" s="47"/>
      <c r="K45" s="47"/>
      <c r="L45" s="47"/>
      <c r="M45" s="47"/>
    </row>
    <row r="46" spans="1:19" x14ac:dyDescent="0.25">
      <c r="A46" t="s">
        <v>0</v>
      </c>
      <c r="B46" s="3">
        <f>NPV($B$40,B43:B45)+B42</f>
        <v>274.27990444791021</v>
      </c>
      <c r="C46" s="3">
        <f>NPV($B$40,C43:C45)+C42</f>
        <v>203.85535279618546</v>
      </c>
      <c r="E46" s="47"/>
      <c r="F46" s="47"/>
      <c r="G46" s="47"/>
      <c r="H46" s="47"/>
      <c r="I46" s="47"/>
      <c r="J46" s="47"/>
      <c r="K46" s="47"/>
      <c r="L46" s="47"/>
      <c r="M46" s="47"/>
    </row>
    <row r="47" spans="1:19" x14ac:dyDescent="0.25">
      <c r="A47" t="s">
        <v>1</v>
      </c>
      <c r="B47">
        <f>NPV($B$40,B43:B45)/-B42</f>
        <v>1.6856997611197755</v>
      </c>
      <c r="C47">
        <f>NPV($B$40,C43:C45)/-C42</f>
        <v>2.0192767639809275</v>
      </c>
      <c r="E47" s="47"/>
      <c r="F47" s="47"/>
      <c r="G47" s="47"/>
      <c r="H47" s="47"/>
      <c r="I47" s="47"/>
      <c r="J47" s="47"/>
      <c r="K47" s="47"/>
      <c r="L47" s="47"/>
      <c r="M47" s="47"/>
    </row>
    <row r="48" spans="1:19" x14ac:dyDescent="0.25">
      <c r="A48" t="s">
        <v>2</v>
      </c>
      <c r="B48" s="1">
        <f>IRR(B42:B45)</f>
        <v>0.45784408205687721</v>
      </c>
      <c r="C48" s="1">
        <f>IRR(C42:C45)</f>
        <v>0.59078079692319108</v>
      </c>
      <c r="E48" s="47"/>
      <c r="F48" s="47"/>
      <c r="G48" s="47"/>
      <c r="H48" s="47"/>
      <c r="I48" s="47"/>
      <c r="J48" s="47"/>
      <c r="K48" s="47"/>
      <c r="L48" s="47"/>
      <c r="M48" s="47"/>
    </row>
    <row r="49" spans="1:19" x14ac:dyDescent="0.25">
      <c r="A49" t="s">
        <v>21</v>
      </c>
      <c r="B49" s="1">
        <f>MIRR(B42:B45,$B$40,$B$40)</f>
        <v>0.32104127548642158</v>
      </c>
      <c r="C49" s="1">
        <f>MIRR(C42:C45,$B$40,$B$40)</f>
        <v>0.40299113881134585</v>
      </c>
      <c r="E49" s="47"/>
      <c r="F49" s="47"/>
      <c r="G49" s="47"/>
      <c r="H49" s="47"/>
      <c r="I49" s="47"/>
      <c r="J49" s="47"/>
      <c r="K49" s="47"/>
      <c r="L49" s="47"/>
      <c r="M49" s="47"/>
    </row>
    <row r="52" spans="1:19" x14ac:dyDescent="0.25">
      <c r="A52" t="s">
        <v>29</v>
      </c>
    </row>
    <row r="53" spans="1:19" x14ac:dyDescent="0.25">
      <c r="A53" s="47" t="s">
        <v>30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</row>
    <row r="55" spans="1:19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7" spans="1:19" ht="15.75" thickBot="1" x14ac:dyDescent="0.3"/>
    <row r="58" spans="1:19" ht="16.5" thickBot="1" x14ac:dyDescent="0.3">
      <c r="A58" s="6" t="s">
        <v>31</v>
      </c>
      <c r="B58" s="7" t="s">
        <v>32</v>
      </c>
      <c r="C58" s="7" t="s">
        <v>0</v>
      </c>
      <c r="D58" s="17" t="s">
        <v>34</v>
      </c>
      <c r="E58" s="16" t="s">
        <v>33</v>
      </c>
      <c r="F58">
        <v>3</v>
      </c>
      <c r="H58" s="51" t="s">
        <v>37</v>
      </c>
      <c r="I58" s="51"/>
      <c r="J58" s="51"/>
      <c r="K58" s="51"/>
      <c r="L58" s="51"/>
      <c r="M58" s="51"/>
    </row>
    <row r="59" spans="1:19" ht="16.5" thickBot="1" x14ac:dyDescent="0.3">
      <c r="A59" s="8">
        <v>1</v>
      </c>
      <c r="B59" s="9">
        <v>10000</v>
      </c>
      <c r="C59" s="9">
        <v>35000</v>
      </c>
      <c r="D59" t="s">
        <v>35</v>
      </c>
      <c r="E59">
        <f>SUM(B59:B60)</f>
        <v>40000</v>
      </c>
      <c r="F59">
        <f>B61</f>
        <v>40000</v>
      </c>
      <c r="H59" s="51"/>
      <c r="I59" s="51"/>
      <c r="J59" s="51"/>
      <c r="K59" s="51"/>
      <c r="L59" s="51"/>
      <c r="M59" s="51"/>
    </row>
    <row r="60" spans="1:19" ht="16.5" thickBot="1" x14ac:dyDescent="0.3">
      <c r="A60" s="8">
        <v>2</v>
      </c>
      <c r="B60" s="9">
        <v>30000</v>
      </c>
      <c r="C60" s="9">
        <v>50000</v>
      </c>
      <c r="D60" t="s">
        <v>0</v>
      </c>
      <c r="E60">
        <f>SUM(C59:C60)</f>
        <v>85000</v>
      </c>
      <c r="F60">
        <f>C61</f>
        <v>90000</v>
      </c>
      <c r="H60" s="51"/>
      <c r="I60" s="51"/>
      <c r="J60" s="51"/>
      <c r="K60" s="51"/>
      <c r="L60" s="51"/>
      <c r="M60" s="51"/>
    </row>
    <row r="61" spans="1:19" ht="16.5" thickBot="1" x14ac:dyDescent="0.3">
      <c r="A61" s="8">
        <v>3</v>
      </c>
      <c r="B61" s="9">
        <v>40000</v>
      </c>
      <c r="C61" s="9">
        <v>90000</v>
      </c>
      <c r="D61" t="s">
        <v>36</v>
      </c>
      <c r="E61">
        <f>E60/E59</f>
        <v>2.125</v>
      </c>
      <c r="F61">
        <f>F60/F59</f>
        <v>2.25</v>
      </c>
      <c r="H61" s="51"/>
      <c r="I61" s="51"/>
      <c r="J61" s="51"/>
      <c r="K61" s="51"/>
      <c r="L61" s="51"/>
      <c r="M61" s="51"/>
    </row>
    <row r="65" spans="1:19" x14ac:dyDescent="0.25">
      <c r="A65" t="s">
        <v>38</v>
      </c>
    </row>
    <row r="66" spans="1:19" x14ac:dyDescent="0.25">
      <c r="A66" s="47" t="s">
        <v>39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5.75" thickBot="1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  <row r="69" spans="1:19" s="22" customFormat="1" ht="15.75" thickBot="1" x14ac:dyDescent="0.3">
      <c r="A69" s="52" t="s">
        <v>40</v>
      </c>
      <c r="B69" s="53"/>
      <c r="C69" s="52" t="s">
        <v>41</v>
      </c>
      <c r="D69" s="53"/>
      <c r="E69" s="52" t="s">
        <v>42</v>
      </c>
      <c r="F69" s="53"/>
    </row>
    <row r="70" spans="1:19" s="22" customFormat="1" ht="15.75" thickBot="1" x14ac:dyDescent="0.3">
      <c r="A70" s="23" t="s">
        <v>43</v>
      </c>
      <c r="B70" s="24" t="s">
        <v>44</v>
      </c>
      <c r="C70" s="24" t="s">
        <v>43</v>
      </c>
      <c r="D70" s="24" t="s">
        <v>44</v>
      </c>
      <c r="E70" s="24" t="s">
        <v>43</v>
      </c>
      <c r="F70" s="24" t="s">
        <v>44</v>
      </c>
    </row>
    <row r="71" spans="1:19" s="22" customFormat="1" ht="15.75" thickBot="1" x14ac:dyDescent="0.3">
      <c r="A71" s="25">
        <v>12</v>
      </c>
      <c r="B71" s="26">
        <v>0.2</v>
      </c>
      <c r="C71" s="26">
        <v>15</v>
      </c>
      <c r="D71" s="26">
        <f>1/4</f>
        <v>0.25</v>
      </c>
      <c r="E71" s="26">
        <v>12</v>
      </c>
      <c r="F71" s="27">
        <f>2/5</f>
        <v>0.4</v>
      </c>
    </row>
    <row r="72" spans="1:19" s="22" customFormat="1" ht="15.75" thickBot="1" x14ac:dyDescent="0.3">
      <c r="A72" s="25">
        <v>11</v>
      </c>
      <c r="B72" s="26">
        <v>0.2</v>
      </c>
      <c r="C72" s="26">
        <v>14</v>
      </c>
      <c r="D72" s="26">
        <f>1/2</f>
        <v>0.5</v>
      </c>
      <c r="E72" s="26">
        <v>29</v>
      </c>
      <c r="F72" s="27">
        <f>2/5</f>
        <v>0.4</v>
      </c>
    </row>
    <row r="73" spans="1:19" s="22" customFormat="1" ht="15.75" thickBot="1" x14ac:dyDescent="0.3">
      <c r="A73" s="25">
        <v>17</v>
      </c>
      <c r="B73" s="26">
        <v>0.6</v>
      </c>
      <c r="C73" s="26">
        <v>27</v>
      </c>
      <c r="D73" s="26">
        <f>1/4</f>
        <v>0.25</v>
      </c>
      <c r="E73" s="26">
        <v>18</v>
      </c>
      <c r="F73" s="27">
        <f>1/5</f>
        <v>0.2</v>
      </c>
    </row>
    <row r="74" spans="1:19" x14ac:dyDescent="0.25">
      <c r="A74" s="50" t="s">
        <v>40</v>
      </c>
      <c r="B74" s="50"/>
      <c r="C74" s="50"/>
      <c r="D74" s="50"/>
      <c r="E74" s="50"/>
      <c r="F74" s="50"/>
    </row>
    <row r="75" spans="1:19" x14ac:dyDescent="0.25">
      <c r="A75" s="28" t="s">
        <v>45</v>
      </c>
      <c r="B75" s="28" t="s">
        <v>46</v>
      </c>
      <c r="C75" s="28" t="s">
        <v>47</v>
      </c>
      <c r="D75" s="28" t="s">
        <v>48</v>
      </c>
      <c r="E75" s="28" t="s">
        <v>49</v>
      </c>
      <c r="F75" s="28" t="s">
        <v>50</v>
      </c>
      <c r="H75" s="29"/>
      <c r="I75" s="28" t="s">
        <v>51</v>
      </c>
      <c r="J75" s="28" t="s">
        <v>52</v>
      </c>
      <c r="K75" s="28" t="s">
        <v>53</v>
      </c>
      <c r="L75" s="28" t="s">
        <v>54</v>
      </c>
      <c r="M75" s="28" t="s">
        <v>55</v>
      </c>
      <c r="N75" s="28" t="s">
        <v>56</v>
      </c>
      <c r="O75" s="28" t="s">
        <v>57</v>
      </c>
    </row>
    <row r="76" spans="1:19" x14ac:dyDescent="0.25">
      <c r="A76" s="28" t="s">
        <v>58</v>
      </c>
      <c r="B76" s="28" t="s">
        <v>59</v>
      </c>
      <c r="C76" s="28" t="s">
        <v>60</v>
      </c>
      <c r="D76" s="28" t="s">
        <v>61</v>
      </c>
      <c r="E76" s="28" t="s">
        <v>62</v>
      </c>
      <c r="F76" s="28" t="s">
        <v>63</v>
      </c>
      <c r="H76" s="28" t="s">
        <v>75</v>
      </c>
      <c r="I76" s="30">
        <f>J76-L76</f>
        <v>12.087068006749893</v>
      </c>
      <c r="J76" s="31">
        <f>B80</f>
        <v>14.8</v>
      </c>
      <c r="K76" s="41">
        <f>J76+L76</f>
        <v>17.512931993250106</v>
      </c>
      <c r="L76" s="29">
        <f>C81</f>
        <v>2.7129319932501073</v>
      </c>
      <c r="M76" s="29">
        <f>D83</f>
        <v>-0.44953770327661646</v>
      </c>
      <c r="N76" s="29">
        <f>E84</f>
        <v>-1.7437381852551981</v>
      </c>
      <c r="O76" s="29">
        <f>L76/J76</f>
        <v>0.18330621576014236</v>
      </c>
    </row>
    <row r="77" spans="1:19" x14ac:dyDescent="0.25">
      <c r="A77" s="29">
        <v>12</v>
      </c>
      <c r="B77" s="32">
        <v>0.2</v>
      </c>
      <c r="C77" s="29">
        <f>($A77-$B$80)^2</f>
        <v>7.8400000000000043</v>
      </c>
      <c r="D77" s="29">
        <f>($A77-$B$80)^3</f>
        <v>-21.952000000000016</v>
      </c>
      <c r="E77" s="29">
        <f>($A77-$B$80)^4</f>
        <v>61.465600000000066</v>
      </c>
      <c r="F77" s="29"/>
      <c r="H77" s="29"/>
      <c r="I77" s="29"/>
      <c r="J77" s="29"/>
      <c r="K77" s="29"/>
      <c r="L77" s="29" t="s">
        <v>64</v>
      </c>
      <c r="M77" s="33" t="s">
        <v>65</v>
      </c>
      <c r="N77" s="29" t="s">
        <v>65</v>
      </c>
      <c r="O77" s="33" t="s">
        <v>66</v>
      </c>
    </row>
    <row r="78" spans="1:19" x14ac:dyDescent="0.25">
      <c r="A78" s="29">
        <v>11</v>
      </c>
      <c r="B78" s="32">
        <v>0.2</v>
      </c>
      <c r="C78" s="29">
        <f t="shared" ref="C78:C79" si="8">($A78-$B$80)^2</f>
        <v>14.440000000000005</v>
      </c>
      <c r="D78" s="29">
        <f t="shared" ref="D78:D79" si="9">($A78-$B$80)^3</f>
        <v>-54.872000000000028</v>
      </c>
      <c r="E78" s="29">
        <f t="shared" ref="E78:E79" si="10">($A78-$B$80)^4</f>
        <v>208.51360000000014</v>
      </c>
      <c r="F78" s="29"/>
      <c r="H78" s="29"/>
      <c r="I78" s="44" t="s">
        <v>72</v>
      </c>
      <c r="J78" s="45"/>
      <c r="K78" s="45"/>
      <c r="L78" s="46"/>
      <c r="M78" s="29"/>
      <c r="N78" s="29"/>
      <c r="O78" s="29"/>
    </row>
    <row r="79" spans="1:19" x14ac:dyDescent="0.25">
      <c r="A79" s="29">
        <v>17</v>
      </c>
      <c r="B79" s="32">
        <v>0.6</v>
      </c>
      <c r="C79" s="29">
        <f t="shared" si="8"/>
        <v>4.8399999999999972</v>
      </c>
      <c r="D79" s="29">
        <f t="shared" si="9"/>
        <v>10.647999999999991</v>
      </c>
      <c r="E79" s="29">
        <f t="shared" si="10"/>
        <v>23.425599999999974</v>
      </c>
      <c r="F79" s="29"/>
      <c r="H79" s="28" t="s">
        <v>76</v>
      </c>
      <c r="I79" s="41">
        <f>J79-L79</f>
        <v>12</v>
      </c>
      <c r="J79" s="31">
        <f>B92</f>
        <v>17.5</v>
      </c>
      <c r="K79" s="30">
        <f>J79+L79</f>
        <v>23</v>
      </c>
      <c r="L79" s="29">
        <f>C93</f>
        <v>5.5</v>
      </c>
      <c r="M79" s="29">
        <f>D95</f>
        <v>1.1359879789631855</v>
      </c>
      <c r="N79" s="29">
        <f>E96</f>
        <v>-0.68205723652755967</v>
      </c>
      <c r="O79" s="29">
        <f>L79/J79</f>
        <v>0.31428571428571428</v>
      </c>
    </row>
    <row r="80" spans="1:19" x14ac:dyDescent="0.25">
      <c r="A80" s="34" t="s">
        <v>69</v>
      </c>
      <c r="B80" s="35">
        <f>SUMPRODUCT(A77:A79,B77:B79)</f>
        <v>14.8</v>
      </c>
      <c r="C80" s="35">
        <f>SUMPRODUCT($B$77:$B$79,C77:C79)</f>
        <v>7.36</v>
      </c>
      <c r="D80" s="35">
        <f t="shared" ref="D80:E80" si="11">SUMPRODUCT($B$77:$B$79,D77:D79)</f>
        <v>-8.9760000000000151</v>
      </c>
      <c r="E80" s="35">
        <f t="shared" si="11"/>
        <v>68.051200000000023</v>
      </c>
      <c r="F80" s="36"/>
      <c r="H80" s="29"/>
      <c r="I80" s="29"/>
      <c r="J80" s="29"/>
      <c r="K80" s="29"/>
      <c r="L80" s="29" t="s">
        <v>64</v>
      </c>
      <c r="M80" s="29" t="s">
        <v>67</v>
      </c>
      <c r="N80" s="29" t="s">
        <v>65</v>
      </c>
      <c r="O80" s="33" t="s">
        <v>67</v>
      </c>
    </row>
    <row r="81" spans="1:15" x14ac:dyDescent="0.25">
      <c r="A81" s="34" t="s">
        <v>70</v>
      </c>
      <c r="C81" s="35">
        <f>SQRT(C80)</f>
        <v>2.7129319932501073</v>
      </c>
      <c r="D81" s="37"/>
      <c r="E81" s="38"/>
      <c r="F81" s="35" t="str">
        <f>IF(C81&lt;B80,"М&gt;ст.откл","не имеет смысла")</f>
        <v>М&gt;ст.откл</v>
      </c>
      <c r="H81" s="29"/>
      <c r="I81" s="44" t="s">
        <v>68</v>
      </c>
      <c r="J81" s="45"/>
      <c r="K81" s="45"/>
      <c r="L81" s="46"/>
      <c r="M81" s="29"/>
      <c r="N81" s="29"/>
      <c r="O81" s="29"/>
    </row>
    <row r="82" spans="1:15" x14ac:dyDescent="0.25">
      <c r="A82" s="34" t="s">
        <v>71</v>
      </c>
      <c r="D82" s="35">
        <f>C81/B80</f>
        <v>0.18330621576014236</v>
      </c>
      <c r="E82" s="38"/>
      <c r="F82" s="39"/>
      <c r="H82" s="28" t="s">
        <v>78</v>
      </c>
      <c r="I82" s="41">
        <f>J82-L82</f>
        <v>12.331884194927678</v>
      </c>
      <c r="J82" s="31">
        <f>B104</f>
        <v>20.000000000000004</v>
      </c>
      <c r="K82" s="30">
        <f>J82+L82</f>
        <v>27.668115805072329</v>
      </c>
      <c r="L82" s="29">
        <f>C105</f>
        <v>7.6681158050723255</v>
      </c>
      <c r="M82" s="29">
        <f>D106</f>
        <v>0.38340579025361621</v>
      </c>
      <c r="N82" s="29">
        <f>E108</f>
        <v>-1.7661391087047065</v>
      </c>
      <c r="O82" s="29">
        <f>L82/J82</f>
        <v>0.38340579025361621</v>
      </c>
    </row>
    <row r="83" spans="1:15" x14ac:dyDescent="0.25">
      <c r="A83" s="34" t="s">
        <v>73</v>
      </c>
      <c r="D83" s="35">
        <f>D80/(C81^3)</f>
        <v>-0.44953770327661646</v>
      </c>
      <c r="E83" s="38"/>
      <c r="F83" s="39"/>
      <c r="H83" s="29"/>
      <c r="I83" s="29"/>
      <c r="J83" s="29"/>
      <c r="K83" s="29"/>
      <c r="L83" s="29" t="s">
        <v>64</v>
      </c>
      <c r="M83" s="29" t="s">
        <v>67</v>
      </c>
      <c r="N83" s="29" t="s">
        <v>65</v>
      </c>
      <c r="O83" s="33" t="s">
        <v>67</v>
      </c>
    </row>
    <row r="84" spans="1:15" x14ac:dyDescent="0.25">
      <c r="A84" s="34" t="s">
        <v>74</v>
      </c>
      <c r="E84" s="35">
        <f>E80/(C81^4)-3</f>
        <v>-1.7437381852551981</v>
      </c>
      <c r="F84" s="40"/>
      <c r="H84" s="29"/>
      <c r="I84" s="44" t="s">
        <v>68</v>
      </c>
      <c r="J84" s="45"/>
      <c r="K84" s="45"/>
      <c r="L84" s="46"/>
      <c r="M84" s="29"/>
      <c r="N84" s="29"/>
      <c r="O84" s="29"/>
    </row>
    <row r="85" spans="1:15" ht="15.75" thickBot="1" x14ac:dyDescent="0.3"/>
    <row r="86" spans="1:15" x14ac:dyDescent="0.25">
      <c r="A86" s="50" t="s">
        <v>77</v>
      </c>
      <c r="B86" s="50"/>
      <c r="C86" s="50"/>
      <c r="D86" s="50"/>
      <c r="E86" s="50"/>
      <c r="F86" s="50"/>
    </row>
    <row r="87" spans="1:15" x14ac:dyDescent="0.25">
      <c r="A87" s="28" t="s">
        <v>45</v>
      </c>
      <c r="B87" s="28" t="s">
        <v>46</v>
      </c>
      <c r="C87" s="28" t="s">
        <v>47</v>
      </c>
      <c r="D87" s="28" t="s">
        <v>48</v>
      </c>
      <c r="E87" s="28" t="s">
        <v>49</v>
      </c>
      <c r="F87" s="28" t="s">
        <v>50</v>
      </c>
      <c r="H87" s="47" t="s">
        <v>79</v>
      </c>
      <c r="I87" s="47"/>
      <c r="J87" s="47"/>
      <c r="K87" s="47"/>
      <c r="L87" s="47"/>
      <c r="M87" s="47"/>
      <c r="N87" s="47"/>
      <c r="O87" s="47"/>
    </row>
    <row r="88" spans="1:15" x14ac:dyDescent="0.25">
      <c r="A88" s="28" t="s">
        <v>58</v>
      </c>
      <c r="B88" s="28" t="s">
        <v>59</v>
      </c>
      <c r="C88" s="28" t="s">
        <v>60</v>
      </c>
      <c r="D88" s="28" t="s">
        <v>61</v>
      </c>
      <c r="E88" s="28" t="s">
        <v>62</v>
      </c>
      <c r="F88" s="28" t="s">
        <v>63</v>
      </c>
      <c r="H88" s="47"/>
      <c r="I88" s="47"/>
      <c r="J88" s="47"/>
      <c r="K88" s="47"/>
      <c r="L88" s="47"/>
      <c r="M88" s="47"/>
      <c r="N88" s="47"/>
      <c r="O88" s="47"/>
    </row>
    <row r="89" spans="1:15" x14ac:dyDescent="0.25">
      <c r="A89" s="29">
        <v>15</v>
      </c>
      <c r="B89" s="32">
        <v>0.25</v>
      </c>
      <c r="C89" s="29">
        <f>($A89-$B$92)^2</f>
        <v>6.25</v>
      </c>
      <c r="D89" s="29">
        <f>($A89-$B$92)^3</f>
        <v>-15.625</v>
      </c>
      <c r="E89" s="29">
        <f>($A89-$B$92)^4</f>
        <v>39.0625</v>
      </c>
      <c r="F89" s="29"/>
      <c r="H89" s="47"/>
      <c r="I89" s="47"/>
      <c r="J89" s="47"/>
      <c r="K89" s="47"/>
      <c r="L89" s="47"/>
      <c r="M89" s="47"/>
      <c r="N89" s="47"/>
      <c r="O89" s="47"/>
    </row>
    <row r="90" spans="1:15" x14ac:dyDescent="0.25">
      <c r="A90" s="29">
        <v>14</v>
      </c>
      <c r="B90" s="32">
        <v>0.5</v>
      </c>
      <c r="C90" s="29">
        <f t="shared" ref="C90:C91" si="12">($A90-$B$92)^2</f>
        <v>12.25</v>
      </c>
      <c r="D90" s="29">
        <f t="shared" ref="D90:D91" si="13">($A90-$B$92)^3</f>
        <v>-42.875</v>
      </c>
      <c r="E90" s="29">
        <f t="shared" ref="E90:E91" si="14">($A90-$B$92)^4</f>
        <v>150.0625</v>
      </c>
      <c r="F90" s="29"/>
      <c r="H90" s="47"/>
      <c r="I90" s="47"/>
      <c r="J90" s="47"/>
      <c r="K90" s="47"/>
      <c r="L90" s="47"/>
      <c r="M90" s="47"/>
      <c r="N90" s="47"/>
      <c r="O90" s="47"/>
    </row>
    <row r="91" spans="1:15" x14ac:dyDescent="0.25">
      <c r="A91" s="29">
        <v>27</v>
      </c>
      <c r="B91" s="32">
        <v>0.25</v>
      </c>
      <c r="C91" s="29">
        <f t="shared" si="12"/>
        <v>90.25</v>
      </c>
      <c r="D91" s="29">
        <f t="shared" si="13"/>
        <v>857.375</v>
      </c>
      <c r="E91" s="29">
        <f t="shared" si="14"/>
        <v>8145.0625</v>
      </c>
      <c r="F91" s="29"/>
      <c r="H91" s="47"/>
      <c r="I91" s="47"/>
      <c r="J91" s="47"/>
      <c r="K91" s="47"/>
      <c r="L91" s="47"/>
      <c r="M91" s="47"/>
      <c r="N91" s="47"/>
      <c r="O91" s="47"/>
    </row>
    <row r="92" spans="1:15" x14ac:dyDescent="0.25">
      <c r="A92" s="34" t="s">
        <v>69</v>
      </c>
      <c r="B92" s="35">
        <f>SUMPRODUCT($A$89:$A$91,B89:B91)</f>
        <v>17.5</v>
      </c>
      <c r="C92" s="35">
        <f>SUMPRODUCT($B$89:$B$91,C89:C91)</f>
        <v>30.25</v>
      </c>
      <c r="D92" s="35">
        <f t="shared" ref="D92:E92" si="15">SUMPRODUCT($B$89:$B$91,D89:D91)</f>
        <v>189</v>
      </c>
      <c r="E92" s="35">
        <f t="shared" si="15"/>
        <v>2121.0625</v>
      </c>
      <c r="F92" s="36"/>
      <c r="H92" s="47"/>
      <c r="I92" s="47"/>
      <c r="J92" s="47"/>
      <c r="K92" s="47"/>
      <c r="L92" s="47"/>
      <c r="M92" s="47"/>
      <c r="N92" s="47"/>
      <c r="O92" s="47"/>
    </row>
    <row r="93" spans="1:15" x14ac:dyDescent="0.25">
      <c r="A93" s="34" t="s">
        <v>70</v>
      </c>
      <c r="C93" s="35">
        <f>SQRT(C92)</f>
        <v>5.5</v>
      </c>
      <c r="D93" s="37"/>
      <c r="E93" s="38"/>
      <c r="F93" s="35" t="str">
        <f>IF(C93&lt;B92,"М&gt;ст.откл","не имеет смысла")</f>
        <v>М&gt;ст.откл</v>
      </c>
      <c r="H93" s="47"/>
      <c r="I93" s="47"/>
      <c r="J93" s="47"/>
      <c r="K93" s="47"/>
      <c r="L93" s="47"/>
      <c r="M93" s="47"/>
      <c r="N93" s="47"/>
      <c r="O93" s="47"/>
    </row>
    <row r="94" spans="1:15" x14ac:dyDescent="0.25">
      <c r="A94" s="34" t="s">
        <v>71</v>
      </c>
      <c r="D94" s="35">
        <f>C93/B92</f>
        <v>0.31428571428571428</v>
      </c>
      <c r="E94" s="38"/>
      <c r="F94" s="39"/>
      <c r="H94" s="47"/>
      <c r="I94" s="47"/>
      <c r="J94" s="47"/>
      <c r="K94" s="47"/>
      <c r="L94" s="47"/>
      <c r="M94" s="47"/>
      <c r="N94" s="47"/>
      <c r="O94" s="47"/>
    </row>
    <row r="95" spans="1:15" x14ac:dyDescent="0.25">
      <c r="A95" s="34" t="s">
        <v>73</v>
      </c>
      <c r="D95" s="35">
        <f>D92/(C93^3)</f>
        <v>1.1359879789631855</v>
      </c>
      <c r="E95" s="38"/>
      <c r="F95" s="39"/>
      <c r="H95" s="47"/>
      <c r="I95" s="47"/>
      <c r="J95" s="47"/>
      <c r="K95" s="47"/>
      <c r="L95" s="47"/>
      <c r="M95" s="47"/>
      <c r="N95" s="47"/>
      <c r="O95" s="47"/>
    </row>
    <row r="96" spans="1:15" x14ac:dyDescent="0.25">
      <c r="A96" s="34" t="s">
        <v>74</v>
      </c>
      <c r="E96" s="35">
        <f>E92/(C93^4)-3</f>
        <v>-0.68205723652755967</v>
      </c>
      <c r="F96" s="40"/>
      <c r="H96" s="47"/>
      <c r="I96" s="47"/>
      <c r="J96" s="47"/>
      <c r="K96" s="47"/>
      <c r="L96" s="47"/>
      <c r="M96" s="47"/>
      <c r="N96" s="47"/>
      <c r="O96" s="47"/>
    </row>
    <row r="97" spans="1:19" ht="15.75" thickBot="1" x14ac:dyDescent="0.3">
      <c r="H97" s="47"/>
      <c r="I97" s="47"/>
      <c r="J97" s="47"/>
      <c r="K97" s="47"/>
      <c r="L97" s="47"/>
      <c r="M97" s="47"/>
      <c r="N97" s="47"/>
      <c r="O97" s="47"/>
    </row>
    <row r="98" spans="1:19" x14ac:dyDescent="0.25">
      <c r="A98" s="50" t="s">
        <v>42</v>
      </c>
      <c r="B98" s="50"/>
      <c r="C98" s="50"/>
      <c r="D98" s="50"/>
      <c r="E98" s="50"/>
      <c r="F98" s="50"/>
    </row>
    <row r="99" spans="1:19" x14ac:dyDescent="0.25">
      <c r="A99" s="28" t="s">
        <v>45</v>
      </c>
      <c r="B99" s="28" t="s">
        <v>46</v>
      </c>
      <c r="C99" s="28" t="s">
        <v>47</v>
      </c>
      <c r="D99" s="28" t="s">
        <v>48</v>
      </c>
      <c r="E99" s="28" t="s">
        <v>49</v>
      </c>
      <c r="F99" s="28" t="s">
        <v>50</v>
      </c>
    </row>
    <row r="100" spans="1:19" x14ac:dyDescent="0.25">
      <c r="A100" s="28" t="s">
        <v>58</v>
      </c>
      <c r="B100" s="28" t="s">
        <v>59</v>
      </c>
      <c r="C100" s="28" t="s">
        <v>60</v>
      </c>
      <c r="D100" s="28" t="s">
        <v>61</v>
      </c>
      <c r="E100" s="28" t="s">
        <v>62</v>
      </c>
      <c r="F100" s="28" t="s">
        <v>63</v>
      </c>
    </row>
    <row r="101" spans="1:19" x14ac:dyDescent="0.25">
      <c r="A101" s="29">
        <v>12</v>
      </c>
      <c r="B101" s="32">
        <v>0.4</v>
      </c>
      <c r="C101" s="29">
        <f>($A101-$B$104)^2</f>
        <v>64.000000000000057</v>
      </c>
      <c r="D101" s="29">
        <f>($A101-$B$104)^3</f>
        <v>-512.00000000000068</v>
      </c>
      <c r="E101" s="29">
        <f>($A101-$B$104)^4</f>
        <v>4096.0000000000073</v>
      </c>
      <c r="F101" s="29"/>
    </row>
    <row r="102" spans="1:19" x14ac:dyDescent="0.25">
      <c r="A102" s="29">
        <v>29</v>
      </c>
      <c r="B102" s="32">
        <v>0.4</v>
      </c>
      <c r="C102" s="29">
        <f t="shared" ref="C102:C103" si="16">($A102-$B$104)^2</f>
        <v>80.999999999999943</v>
      </c>
      <c r="D102" s="29">
        <f t="shared" ref="D102:D103" si="17">($A102-$B$104)^3</f>
        <v>728.9999999999992</v>
      </c>
      <c r="E102" s="29">
        <f t="shared" ref="E102:E103" si="18">($A102-$B$104)^4</f>
        <v>6560.9999999999909</v>
      </c>
      <c r="F102" s="29"/>
    </row>
    <row r="103" spans="1:19" x14ac:dyDescent="0.25">
      <c r="A103" s="29">
        <v>18</v>
      </c>
      <c r="B103" s="32">
        <v>0.2</v>
      </c>
      <c r="C103" s="29">
        <f t="shared" si="16"/>
        <v>4.0000000000000142</v>
      </c>
      <c r="D103" s="29">
        <f t="shared" si="17"/>
        <v>-8.0000000000000426</v>
      </c>
      <c r="E103" s="29">
        <f t="shared" si="18"/>
        <v>16.000000000000114</v>
      </c>
      <c r="F103" s="29"/>
    </row>
    <row r="104" spans="1:19" x14ac:dyDescent="0.25">
      <c r="A104" s="34" t="s">
        <v>69</v>
      </c>
      <c r="B104" s="35">
        <f>SUMPRODUCT($A$101:$A$103,B101:B103)</f>
        <v>20.000000000000004</v>
      </c>
      <c r="C104" s="35">
        <f>SUMPRODUCT($B$101:$B$103,C101:C103)</f>
        <v>58.800000000000004</v>
      </c>
      <c r="D104" s="35">
        <f t="shared" ref="D104:E104" si="19">SUMPRODUCT($B$101:$B$103,D101:D103)</f>
        <v>85.199999999999378</v>
      </c>
      <c r="E104" s="35">
        <f t="shared" si="19"/>
        <v>4265.9999999999991</v>
      </c>
      <c r="F104" s="36"/>
    </row>
    <row r="105" spans="1:19" x14ac:dyDescent="0.25">
      <c r="A105" s="34" t="s">
        <v>70</v>
      </c>
      <c r="C105" s="35">
        <f>SQRT(C104)</f>
        <v>7.6681158050723255</v>
      </c>
      <c r="D105" s="37"/>
      <c r="E105" s="38"/>
      <c r="F105" s="35" t="str">
        <f>IF(C105&lt;B104,"М&gt;ст.откл","не имеет смысла")</f>
        <v>М&gt;ст.откл</v>
      </c>
    </row>
    <row r="106" spans="1:19" x14ac:dyDescent="0.25">
      <c r="A106" s="34" t="s">
        <v>71</v>
      </c>
      <c r="D106" s="35">
        <f>C105/B104</f>
        <v>0.38340579025361621</v>
      </c>
      <c r="E106" s="38"/>
      <c r="F106" s="39"/>
    </row>
    <row r="107" spans="1:19" x14ac:dyDescent="0.25">
      <c r="A107" s="34" t="s">
        <v>73</v>
      </c>
      <c r="D107" s="35">
        <f>D104/(C105^3)</f>
        <v>0.18896162090800056</v>
      </c>
      <c r="E107" s="38"/>
      <c r="F107" s="39"/>
    </row>
    <row r="108" spans="1:19" x14ac:dyDescent="0.25">
      <c r="A108" s="34" t="s">
        <v>74</v>
      </c>
      <c r="E108" s="35">
        <f>E104/(C105^4)-3</f>
        <v>-1.7661391087047065</v>
      </c>
      <c r="F108" s="40"/>
    </row>
    <row r="111" spans="1:19" x14ac:dyDescent="0.25">
      <c r="A111" t="s">
        <v>80</v>
      </c>
    </row>
    <row r="112" spans="1:19" x14ac:dyDescent="0.25">
      <c r="A112" s="47" t="s">
        <v>81</v>
      </c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</row>
    <row r="113" spans="1:19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 ht="15.75" thickBot="1" x14ac:dyDescent="0.3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</row>
    <row r="115" spans="1:19" ht="15.75" thickBot="1" x14ac:dyDescent="0.3">
      <c r="A115" s="48" t="s">
        <v>40</v>
      </c>
      <c r="B115" s="49"/>
      <c r="C115" s="48" t="s">
        <v>41</v>
      </c>
      <c r="D115" s="49"/>
      <c r="E115" s="48" t="s">
        <v>42</v>
      </c>
      <c r="F115" s="49"/>
    </row>
    <row r="116" spans="1:19" ht="26.25" thickBot="1" x14ac:dyDescent="0.3">
      <c r="A116" s="18" t="s">
        <v>43</v>
      </c>
      <c r="B116" s="19" t="s">
        <v>44</v>
      </c>
      <c r="C116" s="19" t="s">
        <v>43</v>
      </c>
      <c r="D116" s="19" t="s">
        <v>44</v>
      </c>
      <c r="E116" s="19" t="s">
        <v>43</v>
      </c>
      <c r="F116" s="19" t="s">
        <v>44</v>
      </c>
    </row>
    <row r="117" spans="1:19" ht="15.75" thickBot="1" x14ac:dyDescent="0.3">
      <c r="A117" s="20">
        <v>2</v>
      </c>
      <c r="B117" s="21">
        <v>0.2</v>
      </c>
      <c r="C117" s="21">
        <v>15</v>
      </c>
      <c r="D117" s="21">
        <v>0.1</v>
      </c>
      <c r="E117" s="21">
        <v>6</v>
      </c>
      <c r="F117" s="21">
        <v>0.3</v>
      </c>
    </row>
    <row r="118" spans="1:19" ht="15.75" thickBot="1" x14ac:dyDescent="0.3">
      <c r="A118" s="20">
        <v>7</v>
      </c>
      <c r="B118" s="21">
        <v>0.3</v>
      </c>
      <c r="C118" s="21">
        <v>6</v>
      </c>
      <c r="D118" s="21">
        <v>0.3</v>
      </c>
      <c r="E118" s="21">
        <v>7</v>
      </c>
      <c r="F118" s="21">
        <v>0.3</v>
      </c>
    </row>
    <row r="119" spans="1:19" ht="15.75" thickBot="1" x14ac:dyDescent="0.3">
      <c r="A119" s="20">
        <v>8</v>
      </c>
      <c r="B119" s="21">
        <v>0.3</v>
      </c>
      <c r="C119" s="21">
        <v>17</v>
      </c>
      <c r="D119" s="21">
        <v>0.2</v>
      </c>
      <c r="E119" s="21">
        <v>8</v>
      </c>
      <c r="F119" s="21">
        <v>0.2</v>
      </c>
    </row>
    <row r="120" spans="1:19" ht="15.75" thickBot="1" x14ac:dyDescent="0.3">
      <c r="A120" s="20">
        <v>9</v>
      </c>
      <c r="B120" s="21">
        <v>0.1</v>
      </c>
      <c r="C120" s="21">
        <v>8</v>
      </c>
      <c r="D120" s="21">
        <v>0.3</v>
      </c>
      <c r="E120" s="21">
        <v>18</v>
      </c>
      <c r="F120" s="21">
        <v>0.1</v>
      </c>
    </row>
    <row r="121" spans="1:19" ht="15.75" thickBot="1" x14ac:dyDescent="0.3">
      <c r="A121" s="20">
        <v>16</v>
      </c>
      <c r="B121" s="21">
        <v>0.1</v>
      </c>
      <c r="C121" s="21">
        <v>9</v>
      </c>
      <c r="D121" s="21">
        <v>0.1</v>
      </c>
      <c r="E121" s="21">
        <v>12</v>
      </c>
      <c r="F121" s="21">
        <v>0.1</v>
      </c>
    </row>
    <row r="123" spans="1:19" x14ac:dyDescent="0.25">
      <c r="A123" s="43" t="s">
        <v>82</v>
      </c>
      <c r="B123" s="43"/>
      <c r="C123" s="43"/>
      <c r="D123" s="43"/>
      <c r="E123" s="43"/>
      <c r="F123" s="43"/>
    </row>
    <row r="124" spans="1:19" x14ac:dyDescent="0.25">
      <c r="A124" s="28" t="s">
        <v>45</v>
      </c>
      <c r="B124" s="28" t="s">
        <v>46</v>
      </c>
      <c r="C124" s="28" t="s">
        <v>47</v>
      </c>
      <c r="D124" s="28" t="s">
        <v>48</v>
      </c>
      <c r="E124" s="28" t="s">
        <v>49</v>
      </c>
      <c r="F124" s="28" t="s">
        <v>50</v>
      </c>
      <c r="H124" s="29"/>
      <c r="I124" s="28" t="s">
        <v>51</v>
      </c>
      <c r="J124" s="28" t="s">
        <v>52</v>
      </c>
      <c r="K124" s="28" t="s">
        <v>53</v>
      </c>
      <c r="L124" s="28" t="s">
        <v>54</v>
      </c>
      <c r="M124" s="28" t="s">
        <v>55</v>
      </c>
      <c r="N124" s="28" t="s">
        <v>56</v>
      </c>
      <c r="O124" s="28" t="s">
        <v>57</v>
      </c>
    </row>
    <row r="125" spans="1:19" x14ac:dyDescent="0.25">
      <c r="A125" s="28" t="s">
        <v>58</v>
      </c>
      <c r="B125" s="28" t="s">
        <v>59</v>
      </c>
      <c r="C125" s="28" t="s">
        <v>60</v>
      </c>
      <c r="D125" s="28" t="s">
        <v>61</v>
      </c>
      <c r="E125" s="28" t="s">
        <v>62</v>
      </c>
      <c r="F125" s="28" t="s">
        <v>63</v>
      </c>
      <c r="H125" s="28" t="s">
        <v>75</v>
      </c>
      <c r="I125" s="41">
        <f>J125-L125</f>
        <v>3.7067629374761228</v>
      </c>
      <c r="J125" s="31">
        <f>B131</f>
        <v>7.4</v>
      </c>
      <c r="K125" s="30">
        <f>J125+L125</f>
        <v>11.093237062523878</v>
      </c>
      <c r="L125" s="29">
        <f>C132</f>
        <v>3.6932370625238775</v>
      </c>
      <c r="M125" s="29">
        <f>D134</f>
        <v>0.64650149558116543</v>
      </c>
      <c r="N125" s="29">
        <f>E135</f>
        <v>0.85795615792777902</v>
      </c>
      <c r="O125" s="29">
        <f>L125/J125</f>
        <v>0.49908608953025368</v>
      </c>
    </row>
    <row r="126" spans="1:19" x14ac:dyDescent="0.25">
      <c r="A126" s="29">
        <v>2</v>
      </c>
      <c r="B126" s="32">
        <v>0.2</v>
      </c>
      <c r="C126" s="29">
        <f>($A126-$B$131)^2</f>
        <v>29.160000000000004</v>
      </c>
      <c r="D126" s="29">
        <f>($A126-$B$131)^3</f>
        <v>-157.46400000000003</v>
      </c>
      <c r="E126" s="29">
        <f>($A126-$B$131)^4</f>
        <v>850.30560000000025</v>
      </c>
      <c r="F126" s="29"/>
      <c r="H126" s="29"/>
      <c r="I126" s="29"/>
      <c r="J126" s="29"/>
      <c r="K126" s="29"/>
      <c r="L126" s="29" t="s">
        <v>64</v>
      </c>
      <c r="M126" s="33" t="s">
        <v>67</v>
      </c>
      <c r="N126" s="29" t="s">
        <v>67</v>
      </c>
      <c r="O126" s="33" t="s">
        <v>67</v>
      </c>
    </row>
    <row r="127" spans="1:19" x14ac:dyDescent="0.25">
      <c r="A127" s="29">
        <v>7</v>
      </c>
      <c r="B127" s="32">
        <v>0.3</v>
      </c>
      <c r="C127" s="29">
        <f t="shared" ref="C127:C130" si="20">($A127-$B$131)^2</f>
        <v>0.16000000000000028</v>
      </c>
      <c r="D127" s="29">
        <f t="shared" ref="D127:D130" si="21">($A127-$B$131)^3</f>
        <v>-6.4000000000000168E-2</v>
      </c>
      <c r="E127" s="29">
        <f t="shared" ref="E127:E130" si="22">($A127-$B$131)^4</f>
        <v>2.5600000000000091E-2</v>
      </c>
      <c r="F127" s="29"/>
      <c r="H127" s="29"/>
      <c r="I127" s="44" t="s">
        <v>68</v>
      </c>
      <c r="J127" s="45"/>
      <c r="K127" s="45"/>
      <c r="L127" s="46"/>
      <c r="M127" s="29"/>
      <c r="N127" s="29"/>
      <c r="O127" s="29"/>
    </row>
    <row r="128" spans="1:19" x14ac:dyDescent="0.25">
      <c r="A128" s="29">
        <v>8</v>
      </c>
      <c r="B128" s="32">
        <v>0.3</v>
      </c>
      <c r="C128" s="29">
        <f t="shared" si="20"/>
        <v>0.3599999999999996</v>
      </c>
      <c r="D128" s="29">
        <f t="shared" si="21"/>
        <v>0.21599999999999964</v>
      </c>
      <c r="E128" s="29">
        <f t="shared" si="22"/>
        <v>0.12959999999999972</v>
      </c>
      <c r="F128" s="29"/>
      <c r="H128" s="28" t="s">
        <v>76</v>
      </c>
      <c r="I128" s="41">
        <f>J128-L128</f>
        <v>5.7104778820945565</v>
      </c>
      <c r="J128" s="31">
        <f>B145</f>
        <v>10</v>
      </c>
      <c r="K128" s="30">
        <f>J128+L128</f>
        <v>14.289522117905443</v>
      </c>
      <c r="L128" s="29">
        <f>C146</f>
        <v>4.2895221179054435</v>
      </c>
      <c r="M128" s="29">
        <f>D148</f>
        <v>0.7525921957809053</v>
      </c>
      <c r="N128" s="29">
        <f>E149</f>
        <v>-1.1557183364839323</v>
      </c>
      <c r="O128" s="29">
        <f>L128/J128</f>
        <v>0.42895221179054432</v>
      </c>
    </row>
    <row r="129" spans="1:15" x14ac:dyDescent="0.25">
      <c r="A129" s="29">
        <v>9</v>
      </c>
      <c r="B129" s="32">
        <v>0.1</v>
      </c>
      <c r="C129" s="29">
        <f t="shared" si="20"/>
        <v>2.5599999999999987</v>
      </c>
      <c r="D129" s="29">
        <f t="shared" si="21"/>
        <v>4.0959999999999974</v>
      </c>
      <c r="E129" s="29">
        <f t="shared" si="22"/>
        <v>6.5535999999999932</v>
      </c>
      <c r="F129" s="29"/>
      <c r="H129" s="29"/>
      <c r="I129" s="29"/>
      <c r="J129" s="29"/>
      <c r="K129" s="29"/>
      <c r="L129" s="29" t="s">
        <v>64</v>
      </c>
      <c r="M129" s="29" t="s">
        <v>67</v>
      </c>
      <c r="N129" s="29" t="s">
        <v>65</v>
      </c>
      <c r="O129" s="33" t="s">
        <v>67</v>
      </c>
    </row>
    <row r="130" spans="1:15" x14ac:dyDescent="0.25">
      <c r="A130" s="29">
        <v>16</v>
      </c>
      <c r="B130" s="32">
        <v>0.1</v>
      </c>
      <c r="C130" s="29">
        <f t="shared" si="20"/>
        <v>73.959999999999994</v>
      </c>
      <c r="D130" s="29">
        <f t="shared" si="21"/>
        <v>636.05599999999993</v>
      </c>
      <c r="E130" s="29">
        <f t="shared" si="22"/>
        <v>5470.0815999999995</v>
      </c>
      <c r="F130" s="29"/>
      <c r="H130" s="29"/>
      <c r="I130" s="44" t="s">
        <v>68</v>
      </c>
      <c r="J130" s="45"/>
      <c r="K130" s="45"/>
      <c r="L130" s="46"/>
      <c r="M130" s="29"/>
      <c r="N130" s="29"/>
      <c r="O130" s="29"/>
    </row>
    <row r="131" spans="1:15" x14ac:dyDescent="0.25">
      <c r="A131" s="34" t="s">
        <v>69</v>
      </c>
      <c r="B131" s="35">
        <f>SUMPRODUCT(A126:A130,B126:B130)</f>
        <v>7.4</v>
      </c>
      <c r="C131" s="35">
        <f>SUMPRODUCT($B$126:$B$130,C126:C130)</f>
        <v>13.64</v>
      </c>
      <c r="D131" s="35">
        <f>SUMPRODUCT($B$126:$B$130,D126:D130)</f>
        <v>32.567999999999984</v>
      </c>
      <c r="E131" s="35">
        <f>SUMPRODUCT($B$126:$B$130,E126:E130)</f>
        <v>717.77120000000002</v>
      </c>
      <c r="F131" s="36"/>
      <c r="H131" s="28" t="s">
        <v>78</v>
      </c>
      <c r="I131" s="41">
        <f>J131-L131</f>
        <v>4.9153103342130162</v>
      </c>
      <c r="J131" s="31">
        <f>B159</f>
        <v>8.5</v>
      </c>
      <c r="K131" s="30">
        <f>J131+L131</f>
        <v>12.084689665786984</v>
      </c>
      <c r="L131" s="29">
        <f>C160</f>
        <v>3.5846896657869842</v>
      </c>
      <c r="M131" s="29">
        <f>D162</f>
        <v>1.8300918337951688</v>
      </c>
      <c r="N131" s="29">
        <f>E163</f>
        <v>2.1038622840618322</v>
      </c>
      <c r="O131" s="29">
        <f>L131/J131</f>
        <v>0.42172819597493932</v>
      </c>
    </row>
    <row r="132" spans="1:15" x14ac:dyDescent="0.25">
      <c r="A132" s="34" t="s">
        <v>70</v>
      </c>
      <c r="C132" s="35">
        <f>SQRT(C131)</f>
        <v>3.6932370625238775</v>
      </c>
      <c r="D132" s="37"/>
      <c r="E132" s="38"/>
      <c r="F132" s="35" t="str">
        <f>IF(C132&lt;B131,"М&gt;ст.откл","не имеет смысла")</f>
        <v>М&gt;ст.откл</v>
      </c>
      <c r="H132" s="29"/>
      <c r="I132" s="29"/>
      <c r="J132" s="29"/>
      <c r="K132" s="29"/>
      <c r="L132" s="29" t="s">
        <v>64</v>
      </c>
      <c r="M132" s="29" t="s">
        <v>67</v>
      </c>
      <c r="N132" s="29" t="s">
        <v>67</v>
      </c>
      <c r="O132" s="33" t="s">
        <v>67</v>
      </c>
    </row>
    <row r="133" spans="1:15" x14ac:dyDescent="0.25">
      <c r="A133" s="34" t="s">
        <v>71</v>
      </c>
      <c r="D133" s="35">
        <f>C132/B131</f>
        <v>0.49908608953025368</v>
      </c>
      <c r="E133" s="38"/>
      <c r="F133" s="39"/>
      <c r="H133" s="29"/>
      <c r="I133" s="44" t="s">
        <v>68</v>
      </c>
      <c r="J133" s="45"/>
      <c r="K133" s="45"/>
      <c r="L133" s="46"/>
      <c r="M133" s="29"/>
      <c r="N133" s="29"/>
      <c r="O133" s="29"/>
    </row>
    <row r="134" spans="1:15" x14ac:dyDescent="0.25">
      <c r="A134" s="34" t="s">
        <v>73</v>
      </c>
      <c r="D134" s="35">
        <f>D131/(C132^3)</f>
        <v>0.64650149558116543</v>
      </c>
      <c r="E134" s="38"/>
      <c r="F134" s="39"/>
    </row>
    <row r="135" spans="1:15" x14ac:dyDescent="0.25">
      <c r="A135" s="34" t="s">
        <v>74</v>
      </c>
      <c r="E135" s="35">
        <f>E131/(C132^4)-3</f>
        <v>0.85795615792777902</v>
      </c>
      <c r="F135" s="40"/>
    </row>
    <row r="137" spans="1:15" x14ac:dyDescent="0.25">
      <c r="A137" s="43" t="s">
        <v>83</v>
      </c>
      <c r="B137" s="43"/>
      <c r="C137" s="43"/>
      <c r="D137" s="43"/>
      <c r="E137" s="43"/>
      <c r="F137" s="43"/>
    </row>
    <row r="138" spans="1:15" x14ac:dyDescent="0.25">
      <c r="A138" s="28" t="s">
        <v>45</v>
      </c>
      <c r="B138" s="28" t="s">
        <v>46</v>
      </c>
      <c r="C138" s="28" t="s">
        <v>47</v>
      </c>
      <c r="D138" s="28" t="s">
        <v>48</v>
      </c>
      <c r="E138" s="28" t="s">
        <v>49</v>
      </c>
      <c r="F138" s="28" t="s">
        <v>50</v>
      </c>
      <c r="H138" s="47" t="s">
        <v>85</v>
      </c>
      <c r="I138" s="47"/>
      <c r="J138" s="47"/>
      <c r="K138" s="47"/>
      <c r="L138" s="47"/>
      <c r="M138" s="47"/>
      <c r="N138" s="47"/>
      <c r="O138" s="47"/>
    </row>
    <row r="139" spans="1:15" x14ac:dyDescent="0.25">
      <c r="A139" s="28" t="s">
        <v>58</v>
      </c>
      <c r="B139" s="28" t="s">
        <v>59</v>
      </c>
      <c r="C139" s="28" t="s">
        <v>60</v>
      </c>
      <c r="D139" s="28" t="s">
        <v>61</v>
      </c>
      <c r="E139" s="28" t="s">
        <v>62</v>
      </c>
      <c r="F139" s="28" t="s">
        <v>63</v>
      </c>
      <c r="H139" s="47"/>
      <c r="I139" s="47"/>
      <c r="J139" s="47"/>
      <c r="K139" s="47"/>
      <c r="L139" s="47"/>
      <c r="M139" s="47"/>
      <c r="N139" s="47"/>
      <c r="O139" s="47"/>
    </row>
    <row r="140" spans="1:15" x14ac:dyDescent="0.25">
      <c r="A140" s="29">
        <v>15</v>
      </c>
      <c r="B140" s="32">
        <v>0.1</v>
      </c>
      <c r="C140" s="29">
        <f>($A140-$B$145)^2</f>
        <v>25</v>
      </c>
      <c r="D140" s="29">
        <f>($A140-$B$145)^3</f>
        <v>125</v>
      </c>
      <c r="E140" s="29">
        <f>($A140-$B$145)^4</f>
        <v>625</v>
      </c>
      <c r="F140" s="29"/>
      <c r="H140" s="47"/>
      <c r="I140" s="47"/>
      <c r="J140" s="47"/>
      <c r="K140" s="47"/>
      <c r="L140" s="47"/>
      <c r="M140" s="47"/>
      <c r="N140" s="47"/>
      <c r="O140" s="47"/>
    </row>
    <row r="141" spans="1:15" x14ac:dyDescent="0.25">
      <c r="A141" s="29">
        <v>6</v>
      </c>
      <c r="B141" s="32">
        <v>0.3</v>
      </c>
      <c r="C141" s="29">
        <f t="shared" ref="C141:C144" si="23">($A141-$B$145)^2</f>
        <v>16</v>
      </c>
      <c r="D141" s="29">
        <f t="shared" ref="D141:D144" si="24">($A141-$B$145)^3</f>
        <v>-64</v>
      </c>
      <c r="E141" s="29">
        <f t="shared" ref="E141:E144" si="25">($A141-$B$145)^4</f>
        <v>256</v>
      </c>
      <c r="F141" s="29"/>
      <c r="H141" s="47"/>
      <c r="I141" s="47"/>
      <c r="J141" s="47"/>
      <c r="K141" s="47"/>
      <c r="L141" s="47"/>
      <c r="M141" s="47"/>
      <c r="N141" s="47"/>
      <c r="O141" s="47"/>
    </row>
    <row r="142" spans="1:15" x14ac:dyDescent="0.25">
      <c r="A142" s="29">
        <v>17</v>
      </c>
      <c r="B142" s="32">
        <v>0.2</v>
      </c>
      <c r="C142" s="29">
        <f t="shared" si="23"/>
        <v>49</v>
      </c>
      <c r="D142" s="29">
        <f t="shared" si="24"/>
        <v>343</v>
      </c>
      <c r="E142" s="29">
        <f t="shared" si="25"/>
        <v>2401</v>
      </c>
      <c r="F142" s="29"/>
      <c r="H142" s="47"/>
      <c r="I142" s="47"/>
      <c r="J142" s="47"/>
      <c r="K142" s="47"/>
      <c r="L142" s="47"/>
      <c r="M142" s="47"/>
      <c r="N142" s="47"/>
      <c r="O142" s="47"/>
    </row>
    <row r="143" spans="1:15" x14ac:dyDescent="0.25">
      <c r="A143" s="29">
        <v>8</v>
      </c>
      <c r="B143" s="32">
        <v>0.3</v>
      </c>
      <c r="C143" s="29">
        <f t="shared" si="23"/>
        <v>4</v>
      </c>
      <c r="D143" s="29">
        <f t="shared" si="24"/>
        <v>-8</v>
      </c>
      <c r="E143" s="29">
        <f t="shared" si="25"/>
        <v>16</v>
      </c>
      <c r="F143" s="29"/>
      <c r="H143" s="47"/>
      <c r="I143" s="47"/>
      <c r="J143" s="47"/>
      <c r="K143" s="47"/>
      <c r="L143" s="47"/>
      <c r="M143" s="47"/>
      <c r="N143" s="47"/>
      <c r="O143" s="47"/>
    </row>
    <row r="144" spans="1:15" x14ac:dyDescent="0.25">
      <c r="A144" s="29">
        <v>9</v>
      </c>
      <c r="B144" s="32">
        <v>0.1</v>
      </c>
      <c r="C144" s="29">
        <f t="shared" si="23"/>
        <v>1</v>
      </c>
      <c r="D144" s="29">
        <f t="shared" si="24"/>
        <v>-1</v>
      </c>
      <c r="E144" s="29">
        <f t="shared" si="25"/>
        <v>1</v>
      </c>
      <c r="F144" s="29"/>
      <c r="H144" s="47"/>
      <c r="I144" s="47"/>
      <c r="J144" s="47"/>
      <c r="K144" s="47"/>
      <c r="L144" s="47"/>
      <c r="M144" s="47"/>
      <c r="N144" s="47"/>
      <c r="O144" s="47"/>
    </row>
    <row r="145" spans="1:15" x14ac:dyDescent="0.25">
      <c r="A145" s="34" t="s">
        <v>69</v>
      </c>
      <c r="B145" s="35">
        <f>SUMPRODUCT(A140:A144,B140:B144)</f>
        <v>10</v>
      </c>
      <c r="C145" s="35">
        <f>SUMPRODUCT($B$140:$B$144,C140:C144)</f>
        <v>18.400000000000002</v>
      </c>
      <c r="D145" s="35">
        <f t="shared" ref="D145" si="26">SUMPRODUCT($B$140:$B$144,D140:D144)</f>
        <v>59.400000000000006</v>
      </c>
      <c r="E145" s="35">
        <f>SUMPRODUCT($B$140:$B$144,E140:E144)</f>
        <v>624.4</v>
      </c>
      <c r="F145" s="36"/>
      <c r="H145" s="47"/>
      <c r="I145" s="47"/>
      <c r="J145" s="47"/>
      <c r="K145" s="47"/>
      <c r="L145" s="47"/>
      <c r="M145" s="47"/>
      <c r="N145" s="47"/>
      <c r="O145" s="47"/>
    </row>
    <row r="146" spans="1:15" x14ac:dyDescent="0.25">
      <c r="A146" s="34" t="s">
        <v>70</v>
      </c>
      <c r="C146" s="35">
        <f>SQRT(C145)</f>
        <v>4.2895221179054435</v>
      </c>
      <c r="D146" s="37"/>
      <c r="E146" s="38"/>
      <c r="F146" s="35" t="str">
        <f>IF(C146&lt;B145,"М&gt;ст.откл","не имеет смысла")</f>
        <v>М&gt;ст.откл</v>
      </c>
      <c r="H146" s="47"/>
      <c r="I146" s="47"/>
      <c r="J146" s="47"/>
      <c r="K146" s="47"/>
      <c r="L146" s="47"/>
      <c r="M146" s="47"/>
      <c r="N146" s="47"/>
      <c r="O146" s="47"/>
    </row>
    <row r="147" spans="1:15" x14ac:dyDescent="0.25">
      <c r="A147" s="34" t="s">
        <v>71</v>
      </c>
      <c r="D147" s="35">
        <f>C146/B145</f>
        <v>0.42895221179054432</v>
      </c>
      <c r="E147" s="38"/>
      <c r="F147" s="39"/>
      <c r="H147" s="47"/>
      <c r="I147" s="47"/>
      <c r="J147" s="47"/>
      <c r="K147" s="47"/>
      <c r="L147" s="47"/>
      <c r="M147" s="47"/>
      <c r="N147" s="47"/>
      <c r="O147" s="47"/>
    </row>
    <row r="148" spans="1:15" x14ac:dyDescent="0.25">
      <c r="A148" s="34" t="s">
        <v>73</v>
      </c>
      <c r="D148" s="35">
        <f>D145/(C146^3)</f>
        <v>0.7525921957809053</v>
      </c>
      <c r="E148" s="38"/>
      <c r="F148" s="39"/>
    </row>
    <row r="149" spans="1:15" x14ac:dyDescent="0.25">
      <c r="A149" s="34" t="s">
        <v>74</v>
      </c>
      <c r="E149" s="35">
        <f>E145/(C146^4)-3</f>
        <v>-1.1557183364839323</v>
      </c>
      <c r="F149" s="40"/>
    </row>
    <row r="151" spans="1:15" x14ac:dyDescent="0.25">
      <c r="A151" s="43" t="s">
        <v>84</v>
      </c>
      <c r="B151" s="43"/>
      <c r="C151" s="43"/>
      <c r="D151" s="43"/>
      <c r="E151" s="43"/>
      <c r="F151" s="43"/>
    </row>
    <row r="152" spans="1:15" x14ac:dyDescent="0.25">
      <c r="A152" s="28" t="s">
        <v>45</v>
      </c>
      <c r="B152" s="28" t="s">
        <v>46</v>
      </c>
      <c r="C152" s="28" t="s">
        <v>47</v>
      </c>
      <c r="D152" s="28" t="s">
        <v>48</v>
      </c>
      <c r="E152" s="28" t="s">
        <v>49</v>
      </c>
      <c r="F152" s="28" t="s">
        <v>50</v>
      </c>
    </row>
    <row r="153" spans="1:15" x14ac:dyDescent="0.25">
      <c r="A153" s="28" t="s">
        <v>58</v>
      </c>
      <c r="B153" s="28" t="s">
        <v>59</v>
      </c>
      <c r="C153" s="28" t="s">
        <v>60</v>
      </c>
      <c r="D153" s="28" t="s">
        <v>61</v>
      </c>
      <c r="E153" s="28" t="s">
        <v>62</v>
      </c>
      <c r="F153" s="28" t="s">
        <v>63</v>
      </c>
    </row>
    <row r="154" spans="1:15" x14ac:dyDescent="0.25">
      <c r="A154" s="29">
        <v>6</v>
      </c>
      <c r="B154" s="32">
        <v>0.3</v>
      </c>
      <c r="C154" s="29">
        <f>($A154-$B$159)^2</f>
        <v>6.25</v>
      </c>
      <c r="D154" s="29">
        <f>($A154-$B$159)^3</f>
        <v>-15.625</v>
      </c>
      <c r="E154" s="29">
        <f>($A154-$B$159)^4</f>
        <v>39.0625</v>
      </c>
      <c r="F154" s="29"/>
    </row>
    <row r="155" spans="1:15" x14ac:dyDescent="0.25">
      <c r="A155" s="29">
        <v>7</v>
      </c>
      <c r="B155" s="32">
        <v>0.3</v>
      </c>
      <c r="C155" s="29">
        <f t="shared" ref="C155:C158" si="27">($A155-$B$159)^2</f>
        <v>2.25</v>
      </c>
      <c r="D155" s="29">
        <f t="shared" ref="D155:D158" si="28">($A155-$B$159)^3</f>
        <v>-3.375</v>
      </c>
      <c r="E155" s="29">
        <f t="shared" ref="E155:E158" si="29">($A155-$B$159)^4</f>
        <v>5.0625</v>
      </c>
      <c r="F155" s="29"/>
    </row>
    <row r="156" spans="1:15" x14ac:dyDescent="0.25">
      <c r="A156" s="29">
        <v>8</v>
      </c>
      <c r="B156" s="32">
        <v>0.2</v>
      </c>
      <c r="C156" s="29">
        <f t="shared" si="27"/>
        <v>0.25</v>
      </c>
      <c r="D156" s="29">
        <f t="shared" si="28"/>
        <v>-0.125</v>
      </c>
      <c r="E156" s="29">
        <f t="shared" si="29"/>
        <v>6.25E-2</v>
      </c>
      <c r="F156" s="29"/>
    </row>
    <row r="157" spans="1:15" x14ac:dyDescent="0.25">
      <c r="A157" s="29">
        <v>18</v>
      </c>
      <c r="B157" s="32">
        <v>0.1</v>
      </c>
      <c r="C157" s="29">
        <f t="shared" si="27"/>
        <v>90.25</v>
      </c>
      <c r="D157" s="29">
        <f t="shared" si="28"/>
        <v>857.375</v>
      </c>
      <c r="E157" s="29">
        <f t="shared" si="29"/>
        <v>8145.0625</v>
      </c>
      <c r="F157" s="29"/>
    </row>
    <row r="158" spans="1:15" x14ac:dyDescent="0.25">
      <c r="A158" s="29">
        <v>12</v>
      </c>
      <c r="B158" s="32">
        <v>0.1</v>
      </c>
      <c r="C158" s="29">
        <f t="shared" si="27"/>
        <v>12.25</v>
      </c>
      <c r="D158" s="29">
        <f t="shared" si="28"/>
        <v>42.875</v>
      </c>
      <c r="E158" s="29">
        <f t="shared" si="29"/>
        <v>150.0625</v>
      </c>
      <c r="F158" s="29"/>
    </row>
    <row r="159" spans="1:15" x14ac:dyDescent="0.25">
      <c r="A159" s="34" t="s">
        <v>69</v>
      </c>
      <c r="B159" s="35">
        <f>SUMPRODUCT(A154:A158,B154:B158)</f>
        <v>8.5</v>
      </c>
      <c r="C159" s="35">
        <f>SUMPRODUCT($B$154:$B$158,C154:C158)</f>
        <v>12.85</v>
      </c>
      <c r="D159" s="35">
        <f t="shared" ref="D159:E159" si="30">SUMPRODUCT($B$154:$B$158,D154:D158)</f>
        <v>84.300000000000011</v>
      </c>
      <c r="E159" s="35">
        <f t="shared" si="30"/>
        <v>842.76250000000005</v>
      </c>
      <c r="F159" s="36"/>
    </row>
    <row r="160" spans="1:15" x14ac:dyDescent="0.25">
      <c r="A160" s="34" t="s">
        <v>70</v>
      </c>
      <c r="C160" s="35">
        <f>SQRT(C159)</f>
        <v>3.5846896657869842</v>
      </c>
      <c r="D160" s="37"/>
      <c r="E160" s="38"/>
      <c r="F160" s="35" t="str">
        <f>IF(C160&lt;B159,"М&gt;ст.откл","не имеет смысла")</f>
        <v>М&gt;ст.откл</v>
      </c>
    </row>
    <row r="161" spans="1:19" x14ac:dyDescent="0.25">
      <c r="A161" s="34" t="s">
        <v>71</v>
      </c>
      <c r="D161" s="35">
        <f>C160/B159</f>
        <v>0.42172819597493932</v>
      </c>
      <c r="E161" s="38"/>
      <c r="F161" s="39"/>
    </row>
    <row r="162" spans="1:19" x14ac:dyDescent="0.25">
      <c r="A162" s="34" t="s">
        <v>73</v>
      </c>
      <c r="D162" s="35">
        <f>D159/(C160^3)</f>
        <v>1.8300918337951688</v>
      </c>
      <c r="E162" s="38"/>
      <c r="F162" s="39"/>
    </row>
    <row r="163" spans="1:19" x14ac:dyDescent="0.25">
      <c r="A163" s="34" t="s">
        <v>74</v>
      </c>
      <c r="E163" s="35">
        <f>E159/(C160^4)-3</f>
        <v>2.1038622840618322</v>
      </c>
      <c r="F163" s="40"/>
    </row>
    <row r="166" spans="1:19" x14ac:dyDescent="0.25">
      <c r="A166" t="s">
        <v>86</v>
      </c>
    </row>
    <row r="167" spans="1:19" x14ac:dyDescent="0.25">
      <c r="A167" s="47" t="s">
        <v>87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</row>
    <row r="168" spans="1:19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</row>
    <row r="169" spans="1:19" ht="15.75" thickBot="1" x14ac:dyDescent="0.3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</row>
    <row r="170" spans="1:19" ht="15.75" thickBot="1" x14ac:dyDescent="0.3">
      <c r="A170" s="48" t="s">
        <v>88</v>
      </c>
      <c r="B170" s="49"/>
      <c r="C170" s="48" t="s">
        <v>89</v>
      </c>
      <c r="D170" s="49"/>
      <c r="E170" s="48" t="s">
        <v>90</v>
      </c>
      <c r="F170" s="49"/>
    </row>
    <row r="171" spans="1:19" ht="26.25" thickBot="1" x14ac:dyDescent="0.3">
      <c r="A171" s="18" t="s">
        <v>43</v>
      </c>
      <c r="B171" s="19" t="s">
        <v>44</v>
      </c>
      <c r="C171" s="19" t="s">
        <v>43</v>
      </c>
      <c r="D171" s="19" t="s">
        <v>44</v>
      </c>
      <c r="E171" s="19" t="s">
        <v>43</v>
      </c>
      <c r="F171" s="19" t="s">
        <v>44</v>
      </c>
    </row>
    <row r="172" spans="1:19" ht="15.75" thickBot="1" x14ac:dyDescent="0.3">
      <c r="A172" s="20">
        <v>24</v>
      </c>
      <c r="B172" s="21">
        <v>0.1</v>
      </c>
      <c r="C172" s="21">
        <v>19</v>
      </c>
      <c r="D172" s="21">
        <v>0.2</v>
      </c>
      <c r="E172" s="21">
        <v>18</v>
      </c>
      <c r="F172" s="21">
        <v>0.25</v>
      </c>
    </row>
    <row r="173" spans="1:19" ht="15.75" thickBot="1" x14ac:dyDescent="0.3">
      <c r="A173" s="20">
        <v>18</v>
      </c>
      <c r="B173" s="21">
        <v>0.15</v>
      </c>
      <c r="C173" s="21">
        <v>10</v>
      </c>
      <c r="D173" s="21">
        <v>0.1</v>
      </c>
      <c r="E173" s="21">
        <v>16</v>
      </c>
      <c r="F173" s="21">
        <v>0.25</v>
      </c>
    </row>
    <row r="174" spans="1:19" ht="15.75" thickBot="1" x14ac:dyDescent="0.3">
      <c r="A174" s="20">
        <v>14</v>
      </c>
      <c r="B174" s="21">
        <v>0.4</v>
      </c>
      <c r="C174" s="21">
        <v>5</v>
      </c>
      <c r="D174" s="21">
        <v>0.1</v>
      </c>
      <c r="E174" s="21">
        <v>12</v>
      </c>
      <c r="F174" s="21">
        <v>0.25</v>
      </c>
    </row>
    <row r="175" spans="1:19" ht="15.75" thickBot="1" x14ac:dyDescent="0.3">
      <c r="A175" s="20">
        <v>50</v>
      </c>
      <c r="B175" s="21">
        <v>0.2</v>
      </c>
      <c r="C175" s="21">
        <v>16</v>
      </c>
      <c r="D175" s="21">
        <v>0.3</v>
      </c>
      <c r="E175" s="21">
        <v>28</v>
      </c>
      <c r="F175" s="21">
        <v>0.2</v>
      </c>
    </row>
    <row r="176" spans="1:19" ht="15.75" thickBot="1" x14ac:dyDescent="0.3">
      <c r="A176" s="20">
        <v>36</v>
      </c>
      <c r="B176" s="21">
        <v>0.15</v>
      </c>
      <c r="C176" s="21">
        <v>7</v>
      </c>
      <c r="D176" s="21">
        <v>0.3</v>
      </c>
      <c r="E176" s="21">
        <v>13</v>
      </c>
      <c r="F176" s="21">
        <v>0.05</v>
      </c>
    </row>
    <row r="178" spans="1:15" x14ac:dyDescent="0.25">
      <c r="A178" s="43" t="s">
        <v>82</v>
      </c>
      <c r="B178" s="43"/>
      <c r="C178" s="43"/>
      <c r="D178" s="43"/>
      <c r="E178" s="43"/>
      <c r="F178" s="43"/>
    </row>
    <row r="179" spans="1:15" x14ac:dyDescent="0.25">
      <c r="A179" s="28" t="s">
        <v>45</v>
      </c>
      <c r="B179" s="28" t="s">
        <v>46</v>
      </c>
      <c r="C179" s="28" t="s">
        <v>47</v>
      </c>
      <c r="D179" s="28" t="s">
        <v>48</v>
      </c>
      <c r="E179" s="28" t="s">
        <v>49</v>
      </c>
      <c r="F179" s="28" t="s">
        <v>50</v>
      </c>
      <c r="H179" s="29"/>
      <c r="I179" s="28" t="s">
        <v>51</v>
      </c>
      <c r="J179" s="28" t="s">
        <v>52</v>
      </c>
      <c r="K179" s="28" t="s">
        <v>53</v>
      </c>
      <c r="L179" s="28" t="s">
        <v>54</v>
      </c>
      <c r="M179" s="28" t="s">
        <v>55</v>
      </c>
      <c r="N179" s="28" t="s">
        <v>56</v>
      </c>
      <c r="O179" s="28" t="s">
        <v>57</v>
      </c>
    </row>
    <row r="180" spans="1:15" x14ac:dyDescent="0.25">
      <c r="A180" s="28" t="s">
        <v>58</v>
      </c>
      <c r="B180" s="28" t="s">
        <v>59</v>
      </c>
      <c r="C180" s="28" t="s">
        <v>60</v>
      </c>
      <c r="D180" s="28" t="s">
        <v>61</v>
      </c>
      <c r="E180" s="28" t="s">
        <v>62</v>
      </c>
      <c r="F180" s="28" t="s">
        <v>63</v>
      </c>
      <c r="H180" s="28" t="s">
        <v>75</v>
      </c>
      <c r="I180" s="41">
        <f>J180-L180</f>
        <v>12.036216725219345</v>
      </c>
      <c r="J180" s="31">
        <f>B186</f>
        <v>26.099999999999998</v>
      </c>
      <c r="K180" s="30">
        <f>J180+L180</f>
        <v>40.163783274780648</v>
      </c>
      <c r="L180" s="29">
        <f>C187</f>
        <v>14.063783274780652</v>
      </c>
      <c r="M180" s="29">
        <f>D189</f>
        <v>0.75014567821897393</v>
      </c>
      <c r="N180" s="29">
        <f>E190</f>
        <v>-1.0593723928647101</v>
      </c>
      <c r="O180" s="29">
        <f>L180/J180</f>
        <v>0.53884227106439286</v>
      </c>
    </row>
    <row r="181" spans="1:15" x14ac:dyDescent="0.25">
      <c r="A181" s="29">
        <v>24</v>
      </c>
      <c r="B181" s="32">
        <v>0.1</v>
      </c>
      <c r="C181" s="29">
        <f>($A181-$B$186)^2</f>
        <v>4.4099999999999913</v>
      </c>
      <c r="D181" s="29">
        <f>($A181-$B$186)^3</f>
        <v>-9.2609999999999726</v>
      </c>
      <c r="E181" s="29">
        <f>($A181-$B$186)^4</f>
        <v>19.448099999999922</v>
      </c>
      <c r="F181" s="29"/>
      <c r="H181" s="29"/>
      <c r="I181" s="29"/>
      <c r="J181" s="29"/>
      <c r="K181" s="29"/>
      <c r="L181" s="29" t="s">
        <v>64</v>
      </c>
      <c r="M181" s="33" t="s">
        <v>67</v>
      </c>
      <c r="N181" s="29" t="s">
        <v>65</v>
      </c>
      <c r="O181" s="33" t="s">
        <v>67</v>
      </c>
    </row>
    <row r="182" spans="1:15" x14ac:dyDescent="0.25">
      <c r="A182" s="29">
        <v>18</v>
      </c>
      <c r="B182" s="32">
        <v>0.15</v>
      </c>
      <c r="C182" s="29">
        <f t="shared" ref="C182:C185" si="31">($A182-$B$186)^2</f>
        <v>65.609999999999971</v>
      </c>
      <c r="D182" s="29">
        <f t="shared" ref="D182:D185" si="32">($A182-$B$186)^3</f>
        <v>-531.44099999999958</v>
      </c>
      <c r="E182" s="29">
        <f t="shared" ref="E182:E185" si="33">($A182-$B$186)^4</f>
        <v>4304.6720999999961</v>
      </c>
      <c r="F182" s="29"/>
      <c r="H182" s="29"/>
      <c r="I182" s="44" t="s">
        <v>68</v>
      </c>
      <c r="J182" s="45"/>
      <c r="K182" s="45"/>
      <c r="L182" s="46"/>
      <c r="M182" s="29"/>
      <c r="N182" s="29"/>
      <c r="O182" s="29"/>
    </row>
    <row r="183" spans="1:15" x14ac:dyDescent="0.25">
      <c r="A183" s="29">
        <v>14</v>
      </c>
      <c r="B183" s="32">
        <v>0.4</v>
      </c>
      <c r="C183" s="29">
        <f t="shared" si="31"/>
        <v>146.40999999999994</v>
      </c>
      <c r="D183" s="29">
        <f t="shared" si="32"/>
        <v>-1771.560999999999</v>
      </c>
      <c r="E183" s="29">
        <f t="shared" si="33"/>
        <v>21435.888099999982</v>
      </c>
      <c r="F183" s="29"/>
      <c r="H183" s="28" t="s">
        <v>76</v>
      </c>
      <c r="I183" s="30">
        <f>J183-L183</f>
        <v>6.9693212677511927</v>
      </c>
      <c r="J183" s="31">
        <f>B200</f>
        <v>12.200000000000001</v>
      </c>
      <c r="K183" s="42">
        <f>J183+L183</f>
        <v>17.430678732248808</v>
      </c>
      <c r="L183" s="29">
        <f>C201</f>
        <v>5.2306787322488084</v>
      </c>
      <c r="M183" s="29">
        <f>D203</f>
        <v>-8.5527795521925676E-3</v>
      </c>
      <c r="N183" s="29">
        <f>E204</f>
        <v>-1.6900200061557407</v>
      </c>
      <c r="O183" s="29">
        <f>L183/J183</f>
        <v>0.42874415838104984</v>
      </c>
    </row>
    <row r="184" spans="1:15" x14ac:dyDescent="0.25">
      <c r="A184" s="29">
        <v>50</v>
      </c>
      <c r="B184" s="32">
        <v>0.2</v>
      </c>
      <c r="C184" s="29">
        <f t="shared" si="31"/>
        <v>571.21000000000015</v>
      </c>
      <c r="D184" s="29">
        <f t="shared" si="32"/>
        <v>13651.919000000005</v>
      </c>
      <c r="E184" s="29">
        <f t="shared" si="33"/>
        <v>326280.86410000018</v>
      </c>
      <c r="F184" s="29"/>
      <c r="H184" s="29"/>
      <c r="I184" s="29"/>
      <c r="J184" s="29"/>
      <c r="K184" s="29"/>
      <c r="L184" s="29" t="s">
        <v>64</v>
      </c>
      <c r="M184" s="29" t="s">
        <v>65</v>
      </c>
      <c r="N184" s="29" t="s">
        <v>65</v>
      </c>
      <c r="O184" s="33" t="s">
        <v>67</v>
      </c>
    </row>
    <row r="185" spans="1:15" x14ac:dyDescent="0.25">
      <c r="A185" s="29">
        <v>36</v>
      </c>
      <c r="B185" s="32">
        <v>0.15</v>
      </c>
      <c r="C185" s="29">
        <f t="shared" si="31"/>
        <v>98.010000000000048</v>
      </c>
      <c r="D185" s="29">
        <f t="shared" si="32"/>
        <v>970.29900000000066</v>
      </c>
      <c r="E185" s="29">
        <f t="shared" si="33"/>
        <v>9605.9601000000093</v>
      </c>
      <c r="F185" s="29"/>
      <c r="H185" s="29"/>
      <c r="I185" s="44" t="s">
        <v>68</v>
      </c>
      <c r="J185" s="45"/>
      <c r="K185" s="45"/>
      <c r="L185" s="46"/>
      <c r="M185" s="29"/>
      <c r="N185" s="29"/>
      <c r="O185" s="29"/>
    </row>
    <row r="186" spans="1:15" x14ac:dyDescent="0.25">
      <c r="A186" s="34" t="s">
        <v>69</v>
      </c>
      <c r="B186" s="35">
        <f>SUMPRODUCT(A181:A185,B181:B185)</f>
        <v>26.099999999999998</v>
      </c>
      <c r="C186" s="35">
        <f>SUMPRODUCT($B$181:$B$185,C181:C185)</f>
        <v>197.79000000000002</v>
      </c>
      <c r="D186" s="35">
        <f t="shared" ref="D186:E186" si="34">SUMPRODUCT($B$181:$B$185,D181:D185)</f>
        <v>2086.6620000000021</v>
      </c>
      <c r="E186" s="35">
        <f t="shared" si="34"/>
        <v>75919.067700000029</v>
      </c>
      <c r="F186" s="36"/>
      <c r="H186" s="28" t="s">
        <v>78</v>
      </c>
      <c r="I186" s="41">
        <f>J186-L186</f>
        <v>12.165423024077832</v>
      </c>
      <c r="J186" s="31">
        <f>B214</f>
        <v>17.75</v>
      </c>
      <c r="K186" s="30">
        <f>J186+L186</f>
        <v>23.334576975922168</v>
      </c>
      <c r="L186" s="29">
        <f>C215</f>
        <v>5.5845769759221691</v>
      </c>
      <c r="M186" s="29">
        <f>D217</f>
        <v>0.92528667643360873</v>
      </c>
      <c r="N186" s="29">
        <f>E218</f>
        <v>-0.42077742659667994</v>
      </c>
      <c r="O186" s="29">
        <f>L186/J186</f>
        <v>0.31462405498153068</v>
      </c>
    </row>
    <row r="187" spans="1:15" x14ac:dyDescent="0.25">
      <c r="A187" s="34" t="s">
        <v>70</v>
      </c>
      <c r="C187" s="35">
        <f>SQRT(C186)</f>
        <v>14.063783274780652</v>
      </c>
      <c r="D187" s="37"/>
      <c r="E187" s="38"/>
      <c r="F187" s="35" t="str">
        <f>IF(C187&lt;B186,"М&gt;ст.откл","не имеет смысла")</f>
        <v>М&gt;ст.откл</v>
      </c>
      <c r="H187" s="29"/>
      <c r="I187" s="29"/>
      <c r="J187" s="29"/>
      <c r="K187" s="29"/>
      <c r="L187" s="29" t="s">
        <v>64</v>
      </c>
      <c r="M187" s="29" t="s">
        <v>67</v>
      </c>
      <c r="N187" s="29" t="s">
        <v>65</v>
      </c>
      <c r="O187" s="33" t="s">
        <v>67</v>
      </c>
    </row>
    <row r="188" spans="1:15" x14ac:dyDescent="0.25">
      <c r="A188" s="34" t="s">
        <v>71</v>
      </c>
      <c r="D188" s="35">
        <f>C187/B186</f>
        <v>0.53884227106439286</v>
      </c>
      <c r="E188" s="38"/>
      <c r="F188" s="39"/>
      <c r="H188" s="29"/>
      <c r="I188" s="44" t="s">
        <v>68</v>
      </c>
      <c r="J188" s="45"/>
      <c r="K188" s="45"/>
      <c r="L188" s="46"/>
      <c r="M188" s="29"/>
      <c r="N188" s="29"/>
      <c r="O188" s="29"/>
    </row>
    <row r="189" spans="1:15" x14ac:dyDescent="0.25">
      <c r="A189" s="34" t="s">
        <v>73</v>
      </c>
      <c r="D189" s="35">
        <f>D186/(C187^3)</f>
        <v>0.75014567821897393</v>
      </c>
      <c r="E189" s="38"/>
      <c r="F189" s="39"/>
    </row>
    <row r="190" spans="1:15" x14ac:dyDescent="0.25">
      <c r="A190" s="34" t="s">
        <v>74</v>
      </c>
      <c r="E190" s="35">
        <f>E186/(C187^4)-3</f>
        <v>-1.0593723928647101</v>
      </c>
      <c r="F190" s="40"/>
    </row>
    <row r="192" spans="1:15" x14ac:dyDescent="0.25">
      <c r="A192" s="43" t="s">
        <v>83</v>
      </c>
      <c r="B192" s="43"/>
      <c r="C192" s="43"/>
      <c r="D192" s="43"/>
      <c r="E192" s="43"/>
      <c r="F192" s="43"/>
    </row>
    <row r="193" spans="1:15" x14ac:dyDescent="0.25">
      <c r="A193" s="28" t="s">
        <v>45</v>
      </c>
      <c r="B193" s="28" t="s">
        <v>46</v>
      </c>
      <c r="C193" s="28" t="s">
        <v>47</v>
      </c>
      <c r="D193" s="28" t="s">
        <v>48</v>
      </c>
      <c r="E193" s="28" t="s">
        <v>49</v>
      </c>
      <c r="F193" s="28" t="s">
        <v>50</v>
      </c>
      <c r="H193" s="47" t="s">
        <v>91</v>
      </c>
      <c r="I193" s="47"/>
      <c r="J193" s="47"/>
      <c r="K193" s="47"/>
      <c r="L193" s="47"/>
      <c r="M193" s="47"/>
      <c r="N193" s="47"/>
      <c r="O193" s="47"/>
    </row>
    <row r="194" spans="1:15" x14ac:dyDescent="0.25">
      <c r="A194" s="28" t="s">
        <v>58</v>
      </c>
      <c r="B194" s="28" t="s">
        <v>59</v>
      </c>
      <c r="C194" s="28" t="s">
        <v>60</v>
      </c>
      <c r="D194" s="28" t="s">
        <v>61</v>
      </c>
      <c r="E194" s="28" t="s">
        <v>62</v>
      </c>
      <c r="F194" s="28" t="s">
        <v>63</v>
      </c>
      <c r="H194" s="47"/>
      <c r="I194" s="47"/>
      <c r="J194" s="47"/>
      <c r="K194" s="47"/>
      <c r="L194" s="47"/>
      <c r="M194" s="47"/>
      <c r="N194" s="47"/>
      <c r="O194" s="47"/>
    </row>
    <row r="195" spans="1:15" x14ac:dyDescent="0.25">
      <c r="A195" s="29">
        <v>19</v>
      </c>
      <c r="B195" s="32">
        <v>0.2</v>
      </c>
      <c r="C195" s="29">
        <f>($A195-$B$200)^2</f>
        <v>46.239999999999988</v>
      </c>
      <c r="D195" s="29">
        <f>($A195-$B$200)^3</f>
        <v>314.43199999999985</v>
      </c>
      <c r="E195" s="29">
        <f>($A195-$B$200)^4</f>
        <v>2138.1375999999987</v>
      </c>
      <c r="F195" s="29"/>
      <c r="H195" s="47"/>
      <c r="I195" s="47"/>
      <c r="J195" s="47"/>
      <c r="K195" s="47"/>
      <c r="L195" s="47"/>
      <c r="M195" s="47"/>
      <c r="N195" s="47"/>
      <c r="O195" s="47"/>
    </row>
    <row r="196" spans="1:15" x14ac:dyDescent="0.25">
      <c r="A196" s="29">
        <v>10</v>
      </c>
      <c r="B196" s="32">
        <v>0.1</v>
      </c>
      <c r="C196" s="29">
        <f t="shared" ref="C196:C199" si="35">($A196-$B$200)^2</f>
        <v>4.8400000000000043</v>
      </c>
      <c r="D196" s="29">
        <f t="shared" ref="D196:D199" si="36">($A196-$B$200)^3</f>
        <v>-10.648000000000014</v>
      </c>
      <c r="E196" s="29">
        <f t="shared" ref="E196:E199" si="37">($A196-$B$200)^4</f>
        <v>23.425600000000042</v>
      </c>
      <c r="F196" s="29"/>
      <c r="H196" s="47"/>
      <c r="I196" s="47"/>
      <c r="J196" s="47"/>
      <c r="K196" s="47"/>
      <c r="L196" s="47"/>
      <c r="M196" s="47"/>
      <c r="N196" s="47"/>
      <c r="O196" s="47"/>
    </row>
    <row r="197" spans="1:15" x14ac:dyDescent="0.25">
      <c r="A197" s="29">
        <v>5</v>
      </c>
      <c r="B197" s="32">
        <v>0.1</v>
      </c>
      <c r="C197" s="29">
        <f t="shared" si="35"/>
        <v>51.840000000000018</v>
      </c>
      <c r="D197" s="29">
        <f t="shared" si="36"/>
        <v>-373.24800000000016</v>
      </c>
      <c r="E197" s="29">
        <f t="shared" si="37"/>
        <v>2687.3856000000019</v>
      </c>
      <c r="F197" s="29"/>
      <c r="H197" s="47"/>
      <c r="I197" s="47"/>
      <c r="J197" s="47"/>
      <c r="K197" s="47"/>
      <c r="L197" s="47"/>
      <c r="M197" s="47"/>
      <c r="N197" s="47"/>
      <c r="O197" s="47"/>
    </row>
    <row r="198" spans="1:15" x14ac:dyDescent="0.25">
      <c r="A198" s="29">
        <v>16</v>
      </c>
      <c r="B198" s="32">
        <v>0.3</v>
      </c>
      <c r="C198" s="29">
        <f t="shared" si="35"/>
        <v>14.439999999999992</v>
      </c>
      <c r="D198" s="29">
        <f t="shared" si="36"/>
        <v>54.871999999999957</v>
      </c>
      <c r="E198" s="29">
        <f t="shared" si="37"/>
        <v>208.51359999999977</v>
      </c>
      <c r="F198" s="29"/>
      <c r="H198" s="47"/>
      <c r="I198" s="47"/>
      <c r="J198" s="47"/>
      <c r="K198" s="47"/>
      <c r="L198" s="47"/>
      <c r="M198" s="47"/>
      <c r="N198" s="47"/>
      <c r="O198" s="47"/>
    </row>
    <row r="199" spans="1:15" x14ac:dyDescent="0.25">
      <c r="A199" s="29">
        <v>7</v>
      </c>
      <c r="B199" s="32">
        <v>0.3</v>
      </c>
      <c r="C199" s="29">
        <f t="shared" si="35"/>
        <v>27.04000000000001</v>
      </c>
      <c r="D199" s="29">
        <f t="shared" si="36"/>
        <v>-140.60800000000009</v>
      </c>
      <c r="E199" s="29">
        <f t="shared" si="37"/>
        <v>731.16160000000048</v>
      </c>
      <c r="F199" s="29"/>
      <c r="H199" s="47"/>
      <c r="I199" s="47"/>
      <c r="J199" s="47"/>
      <c r="K199" s="47"/>
      <c r="L199" s="47"/>
      <c r="M199" s="47"/>
      <c r="N199" s="47"/>
      <c r="O199" s="47"/>
    </row>
    <row r="200" spans="1:15" x14ac:dyDescent="0.25">
      <c r="A200" s="34" t="s">
        <v>69</v>
      </c>
      <c r="B200" s="35">
        <f>SUMPRODUCT(A195:A199,B195:B199)</f>
        <v>12.200000000000001</v>
      </c>
      <c r="C200" s="35">
        <f>SUMPRODUCT($B$195:$B$199,C195:C199)</f>
        <v>27.36</v>
      </c>
      <c r="D200" s="35">
        <f>SUMPRODUCT($B$195:$B$199,D195:D199)</f>
        <v>-1.2240000000000819</v>
      </c>
      <c r="E200" s="35">
        <f t="shared" ref="E200" si="38">SUMPRODUCT($B$195:$B$199,E195:E199)</f>
        <v>980.61119999999994</v>
      </c>
      <c r="F200" s="36"/>
      <c r="H200" s="47"/>
      <c r="I200" s="47"/>
      <c r="J200" s="47"/>
      <c r="K200" s="47"/>
      <c r="L200" s="47"/>
      <c r="M200" s="47"/>
      <c r="N200" s="47"/>
      <c r="O200" s="47"/>
    </row>
    <row r="201" spans="1:15" x14ac:dyDescent="0.25">
      <c r="A201" s="34" t="s">
        <v>70</v>
      </c>
      <c r="C201" s="35">
        <f>SQRT(C200)</f>
        <v>5.2306787322488084</v>
      </c>
      <c r="D201" s="37"/>
      <c r="E201" s="38"/>
      <c r="F201" s="35" t="str">
        <f>IF(C201&lt;B200,"М&gt;ст.откл","не имеет смысла")</f>
        <v>М&gt;ст.откл</v>
      </c>
      <c r="H201" s="47"/>
      <c r="I201" s="47"/>
      <c r="J201" s="47"/>
      <c r="K201" s="47"/>
      <c r="L201" s="47"/>
      <c r="M201" s="47"/>
      <c r="N201" s="47"/>
      <c r="O201" s="47"/>
    </row>
    <row r="202" spans="1:15" x14ac:dyDescent="0.25">
      <c r="A202" s="34" t="s">
        <v>71</v>
      </c>
      <c r="D202" s="35">
        <f>C201/B200</f>
        <v>0.42874415838104984</v>
      </c>
      <c r="E202" s="38"/>
      <c r="F202" s="39"/>
      <c r="H202" s="47"/>
      <c r="I202" s="47"/>
      <c r="J202" s="47"/>
      <c r="K202" s="47"/>
      <c r="L202" s="47"/>
      <c r="M202" s="47"/>
      <c r="N202" s="47"/>
      <c r="O202" s="47"/>
    </row>
    <row r="203" spans="1:15" x14ac:dyDescent="0.25">
      <c r="A203" s="34" t="s">
        <v>73</v>
      </c>
      <c r="D203" s="35">
        <f>D200/(C201^3)</f>
        <v>-8.5527795521925676E-3</v>
      </c>
      <c r="E203" s="38"/>
      <c r="F203" s="39"/>
    </row>
    <row r="204" spans="1:15" x14ac:dyDescent="0.25">
      <c r="A204" s="34" t="s">
        <v>74</v>
      </c>
      <c r="E204" s="35">
        <f>E200/(C201^4)-3</f>
        <v>-1.6900200061557407</v>
      </c>
      <c r="F204" s="40"/>
    </row>
    <row r="206" spans="1:15" x14ac:dyDescent="0.25">
      <c r="A206" s="43" t="s">
        <v>84</v>
      </c>
      <c r="B206" s="43"/>
      <c r="C206" s="43"/>
      <c r="D206" s="43"/>
      <c r="E206" s="43"/>
      <c r="F206" s="43"/>
    </row>
    <row r="207" spans="1:15" x14ac:dyDescent="0.25">
      <c r="A207" s="28" t="s">
        <v>45</v>
      </c>
      <c r="B207" s="28" t="s">
        <v>46</v>
      </c>
      <c r="C207" s="28" t="s">
        <v>47</v>
      </c>
      <c r="D207" s="28" t="s">
        <v>48</v>
      </c>
      <c r="E207" s="28" t="s">
        <v>49</v>
      </c>
      <c r="F207" s="28" t="s">
        <v>50</v>
      </c>
    </row>
    <row r="208" spans="1:15" x14ac:dyDescent="0.25">
      <c r="A208" s="28" t="s">
        <v>58</v>
      </c>
      <c r="B208" s="28" t="s">
        <v>59</v>
      </c>
      <c r="C208" s="28" t="s">
        <v>60</v>
      </c>
      <c r="D208" s="28" t="s">
        <v>61</v>
      </c>
      <c r="E208" s="28" t="s">
        <v>62</v>
      </c>
      <c r="F208" s="28" t="s">
        <v>63</v>
      </c>
    </row>
    <row r="209" spans="1:6" x14ac:dyDescent="0.25">
      <c r="A209" s="29">
        <v>18</v>
      </c>
      <c r="B209" s="32">
        <v>0.25</v>
      </c>
      <c r="C209" s="29">
        <f>($A209-$B$214)^2</f>
        <v>6.25E-2</v>
      </c>
      <c r="D209" s="29">
        <f>($A209-$B$214)^3</f>
        <v>1.5625E-2</v>
      </c>
      <c r="E209" s="29">
        <f>($A209-$B$214)^4</f>
        <v>3.90625E-3</v>
      </c>
      <c r="F209" s="29"/>
    </row>
    <row r="210" spans="1:6" x14ac:dyDescent="0.25">
      <c r="A210" s="29">
        <v>16</v>
      </c>
      <c r="B210" s="32">
        <v>0.25</v>
      </c>
      <c r="C210" s="29">
        <f t="shared" ref="C210:C213" si="39">($A210-$B$214)^2</f>
        <v>3.0625</v>
      </c>
      <c r="D210" s="29">
        <f t="shared" ref="D210:D213" si="40">($A210-$B$214)^3</f>
        <v>-5.359375</v>
      </c>
      <c r="E210" s="29">
        <f>($A210-$B$214)^4</f>
        <v>9.37890625</v>
      </c>
      <c r="F210" s="29"/>
    </row>
    <row r="211" spans="1:6" x14ac:dyDescent="0.25">
      <c r="A211" s="29">
        <v>12</v>
      </c>
      <c r="B211" s="32">
        <v>0.25</v>
      </c>
      <c r="C211" s="29">
        <f t="shared" si="39"/>
        <v>33.0625</v>
      </c>
      <c r="D211" s="29">
        <f t="shared" si="40"/>
        <v>-190.109375</v>
      </c>
      <c r="E211" s="29">
        <f>($A211-$B$214)^4</f>
        <v>1093.12890625</v>
      </c>
      <c r="F211" s="29"/>
    </row>
    <row r="212" spans="1:6" x14ac:dyDescent="0.25">
      <c r="A212" s="29">
        <v>28</v>
      </c>
      <c r="B212" s="32">
        <v>0.2</v>
      </c>
      <c r="C212" s="29">
        <f t="shared" si="39"/>
        <v>105.0625</v>
      </c>
      <c r="D212" s="29">
        <f t="shared" si="40"/>
        <v>1076.890625</v>
      </c>
      <c r="E212" s="29">
        <f>($A212-$B$214)^4</f>
        <v>11038.12890625</v>
      </c>
      <c r="F212" s="29"/>
    </row>
    <row r="213" spans="1:6" x14ac:dyDescent="0.25">
      <c r="A213" s="29">
        <v>13</v>
      </c>
      <c r="B213" s="32">
        <v>0.05</v>
      </c>
      <c r="C213" s="29">
        <f t="shared" si="39"/>
        <v>22.5625</v>
      </c>
      <c r="D213" s="29">
        <f t="shared" si="40"/>
        <v>-107.171875</v>
      </c>
      <c r="E213" s="29">
        <f>($A213-$B$214)^4</f>
        <v>509.06640625</v>
      </c>
      <c r="F213" s="29"/>
    </row>
    <row r="214" spans="1:6" x14ac:dyDescent="0.25">
      <c r="A214" s="34" t="s">
        <v>69</v>
      </c>
      <c r="B214" s="35">
        <f>SUMPRODUCT(A209:A213,B209:B213)</f>
        <v>17.75</v>
      </c>
      <c r="C214" s="35">
        <f>SUMPRODUCT($B$209:$B$213,C209:C213)</f>
        <v>31.187500000000004</v>
      </c>
      <c r="D214" s="35">
        <f t="shared" ref="D214:E214" si="41">SUMPRODUCT($B$209:$B$213,D209:D213)</f>
        <v>161.15625</v>
      </c>
      <c r="E214" s="35">
        <f t="shared" si="41"/>
        <v>2508.7070312500005</v>
      </c>
      <c r="F214" s="36"/>
    </row>
    <row r="215" spans="1:6" x14ac:dyDescent="0.25">
      <c r="A215" s="34" t="s">
        <v>70</v>
      </c>
      <c r="C215" s="35">
        <f>SQRT(C214)</f>
        <v>5.5845769759221691</v>
      </c>
      <c r="D215" s="37"/>
      <c r="E215" s="38"/>
      <c r="F215" s="35" t="str">
        <f>IF(C215&lt;B214,"М&gt;ст.откл","не имеет смысла")</f>
        <v>М&gt;ст.откл</v>
      </c>
    </row>
    <row r="216" spans="1:6" x14ac:dyDescent="0.25">
      <c r="A216" s="34" t="s">
        <v>71</v>
      </c>
      <c r="D216" s="35">
        <f>C215/B214</f>
        <v>0.31462405498153068</v>
      </c>
      <c r="E216" s="38"/>
      <c r="F216" s="39"/>
    </row>
    <row r="217" spans="1:6" x14ac:dyDescent="0.25">
      <c r="A217" s="34" t="s">
        <v>73</v>
      </c>
      <c r="D217" s="35">
        <f>D214/(C215^3)</f>
        <v>0.92528667643360873</v>
      </c>
      <c r="E217" s="38"/>
      <c r="F217" s="39"/>
    </row>
    <row r="218" spans="1:6" x14ac:dyDescent="0.25">
      <c r="A218" s="34" t="s">
        <v>74</v>
      </c>
      <c r="E218" s="35">
        <f>E214/(C215^4)-3</f>
        <v>-0.42077742659667994</v>
      </c>
      <c r="F218" s="40"/>
    </row>
  </sheetData>
  <mergeCells count="41">
    <mergeCell ref="E41:M49"/>
    <mergeCell ref="A1:M2"/>
    <mergeCell ref="A4:S7"/>
    <mergeCell ref="A19:S22"/>
    <mergeCell ref="M24:S32"/>
    <mergeCell ref="A36:S39"/>
    <mergeCell ref="A53:S55"/>
    <mergeCell ref="H58:M61"/>
    <mergeCell ref="A66:S68"/>
    <mergeCell ref="A69:B69"/>
    <mergeCell ref="C69:D69"/>
    <mergeCell ref="E69:F69"/>
    <mergeCell ref="A112:S114"/>
    <mergeCell ref="I81:L81"/>
    <mergeCell ref="I84:L84"/>
    <mergeCell ref="A74:F74"/>
    <mergeCell ref="A86:F86"/>
    <mergeCell ref="A98:F98"/>
    <mergeCell ref="I78:L78"/>
    <mergeCell ref="H87:O97"/>
    <mergeCell ref="I127:L127"/>
    <mergeCell ref="I130:L130"/>
    <mergeCell ref="A115:B115"/>
    <mergeCell ref="C115:D115"/>
    <mergeCell ref="E115:F115"/>
    <mergeCell ref="A123:F123"/>
    <mergeCell ref="A151:F151"/>
    <mergeCell ref="I133:L133"/>
    <mergeCell ref="H138:O147"/>
    <mergeCell ref="A167:S169"/>
    <mergeCell ref="A170:B170"/>
    <mergeCell ref="C170:D170"/>
    <mergeCell ref="E170:F170"/>
    <mergeCell ref="A137:F137"/>
    <mergeCell ref="A206:F206"/>
    <mergeCell ref="A178:F178"/>
    <mergeCell ref="I182:L182"/>
    <mergeCell ref="I185:L185"/>
    <mergeCell ref="I188:L188"/>
    <mergeCell ref="A192:F192"/>
    <mergeCell ref="H193:O20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2021-12-26T09:07:23Z</dcterms:created>
  <dcterms:modified xsi:type="dcterms:W3CDTF">2021-12-27T19:48:27Z</dcterms:modified>
</cp:coreProperties>
</file>