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0578\Desktop\мусорка учебная\Экономика ИС\"/>
    </mc:Choice>
  </mc:AlternateContent>
  <bookViews>
    <workbookView xWindow="0" yWindow="0" windowWidth="28350" windowHeight="11535"/>
  </bookViews>
  <sheets>
    <sheet name="Задания" sheetId="1" r:id="rId1"/>
    <sheet name="Контрольная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3" i="1" l="1"/>
  <c r="E133" i="1"/>
  <c r="D133" i="1"/>
  <c r="C133" i="1"/>
  <c r="C135" i="1"/>
  <c r="M115" i="1"/>
  <c r="L116" i="1"/>
  <c r="L117" i="1" s="1"/>
  <c r="L118" i="1" s="1"/>
  <c r="L119" i="1" s="1"/>
  <c r="L120" i="1" s="1"/>
  <c r="L121" i="1" s="1"/>
  <c r="C115" i="1"/>
  <c r="D115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89" i="1"/>
  <c r="F94" i="1"/>
  <c r="F95" i="1"/>
  <c r="F96" i="1"/>
  <c r="F97" i="1"/>
  <c r="F98" i="1"/>
  <c r="F93" i="1"/>
  <c r="O77" i="1"/>
  <c r="O78" i="1"/>
  <c r="O79" i="1"/>
  <c r="O80" i="1"/>
  <c r="O81" i="1"/>
  <c r="O76" i="1"/>
  <c r="P77" i="1"/>
  <c r="P76" i="1"/>
  <c r="P78" i="1"/>
  <c r="P79" i="1"/>
  <c r="P80" i="1"/>
  <c r="P81" i="1"/>
  <c r="G78" i="1"/>
  <c r="G79" i="1"/>
  <c r="G80" i="1"/>
  <c r="G77" i="1"/>
  <c r="D78" i="1"/>
  <c r="D79" i="1"/>
  <c r="D80" i="1"/>
  <c r="D77" i="1"/>
  <c r="Q53" i="1"/>
  <c r="Q54" i="1"/>
  <c r="Q55" i="1"/>
  <c r="Q56" i="1"/>
  <c r="Q57" i="1"/>
  <c r="Q58" i="1"/>
  <c r="Q59" i="1"/>
  <c r="Q52" i="1"/>
  <c r="K3" i="2" l="1"/>
  <c r="K4" i="2"/>
  <c r="J20" i="2"/>
  <c r="J29" i="2"/>
  <c r="K40" i="2"/>
  <c r="J40" i="2"/>
  <c r="K11" i="2"/>
  <c r="J30" i="2"/>
  <c r="J31" i="2"/>
  <c r="J32" i="2"/>
  <c r="K12" i="2"/>
  <c r="K13" i="2"/>
  <c r="K14" i="2"/>
  <c r="L2" i="1"/>
  <c r="F57" i="1"/>
  <c r="F58" i="1" s="1"/>
  <c r="F59" i="1" s="1"/>
  <c r="Q2" i="1"/>
  <c r="T27" i="1"/>
  <c r="T28" i="1"/>
  <c r="T29" i="1"/>
  <c r="T26" i="1"/>
  <c r="R27" i="1"/>
  <c r="R28" i="1"/>
  <c r="R29" i="1"/>
  <c r="R26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I43" i="1"/>
  <c r="J43" i="1"/>
  <c r="K43" i="1"/>
  <c r="L43" i="1"/>
  <c r="M43" i="1"/>
  <c r="N43" i="1"/>
  <c r="J20" i="1"/>
  <c r="K20" i="1"/>
  <c r="L20" i="1"/>
  <c r="M20" i="1"/>
  <c r="N20" i="1"/>
  <c r="I20" i="1"/>
  <c r="E2" i="1"/>
  <c r="E23" i="1"/>
  <c r="E24" i="1"/>
  <c r="E25" i="1"/>
  <c r="E26" i="1"/>
  <c r="E27" i="1"/>
  <c r="E22" i="1"/>
  <c r="Q3" i="1"/>
  <c r="Q4" i="1"/>
  <c r="Q5" i="1"/>
  <c r="L3" i="1"/>
  <c r="L4" i="1"/>
  <c r="L5" i="1"/>
  <c r="L6" i="1"/>
  <c r="L7" i="1"/>
  <c r="L8" i="1"/>
  <c r="L9" i="1"/>
  <c r="L10" i="1"/>
  <c r="L11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<sst xmlns="http://schemas.openxmlformats.org/spreadsheetml/2006/main" count="118" uniqueCount="80">
  <si>
    <t>PV</t>
  </si>
  <si>
    <t>r</t>
  </si>
  <si>
    <t>n</t>
  </si>
  <si>
    <t>(БС)</t>
  </si>
  <si>
    <t>65 832,50р.</t>
  </si>
  <si>
    <t>t</t>
  </si>
  <si>
    <t>414,14р.</t>
  </si>
  <si>
    <t>m</t>
  </si>
  <si>
    <t>, =БС()</t>
  </si>
  <si>
    <t>С помощью мастера функций (БС)</t>
  </si>
  <si>
    <t>12833,59р.</t>
  </si>
  <si>
    <t>лет</t>
  </si>
  <si>
    <t>A</t>
  </si>
  <si>
    <t>B</t>
  </si>
  <si>
    <t>C</t>
  </si>
  <si>
    <t>FV</t>
  </si>
  <si>
    <t xml:space="preserve"> </t>
  </si>
  <si>
    <t xml:space="preserve">    =ПС($B$1;A4;;-B4)</t>
  </si>
  <si>
    <t>1 283 375,46р.</t>
  </si>
  <si>
    <t xml:space="preserve">Расчет дисконтных множителей </t>
  </si>
  <si>
    <t>Ставка процентов</t>
  </si>
  <si>
    <t>Число периодов, n</t>
  </si>
  <si>
    <t>P=0.246979</t>
  </si>
  <si>
    <t>Исходные данные</t>
  </si>
  <si>
    <t>Процентная ставка</t>
  </si>
  <si>
    <t>Ежегодно вносится</t>
  </si>
  <si>
    <t>Срок инвестирования</t>
  </si>
  <si>
    <t>Условия инвестирования</t>
  </si>
  <si>
    <t>в начале/конце  года (1/0)</t>
  </si>
  <si>
    <t>Варианты инвестирования</t>
  </si>
  <si>
    <t>Период, t</t>
  </si>
  <si>
    <t>FV (начисление в конце года)</t>
  </si>
  <si>
    <t>FV (начисление в начале года)</t>
  </si>
  <si>
    <t>По формуле</t>
  </si>
  <si>
    <t>БС()</t>
  </si>
  <si>
    <t>2 073 741,60р.</t>
  </si>
  <si>
    <t>2 210 534,93р.</t>
  </si>
  <si>
    <t>Процентная ставка, r</t>
  </si>
  <si>
    <t>Ежегодные платежи, CF</t>
  </si>
  <si>
    <t>Число начислений в год, m</t>
  </si>
  <si>
    <t>Число раз поступлений в году на счет, р</t>
  </si>
  <si>
    <t xml:space="preserve"> $  1 000,00 </t>
  </si>
  <si>
    <t>Расчет ренты</t>
  </si>
  <si>
    <t>период действия ренты</t>
  </si>
  <si>
    <t>Величина суммы на счете, FV</t>
  </si>
  <si>
    <t>Расчет с помощью мастера функций (БС)</t>
  </si>
  <si>
    <t xml:space="preserve">             13 317,46р. </t>
  </si>
  <si>
    <t xml:space="preserve">             23 483,81р. </t>
  </si>
  <si>
    <t>С помощью функции ПЛТ()</t>
  </si>
  <si>
    <t>m=</t>
  </si>
  <si>
    <t>p=</t>
  </si>
  <si>
    <t>2.	Коммерческий банк принимает вклады от населения на следующих условиях: 
a.	с выплатой 12% годовых, начисляемых ежегодно,
b.	с выплатой 11,5% годовых, начисляемых раз в полгода.
Второй потому что чаще проценты тначисляются а разница в ставке незначительная</t>
  </si>
  <si>
    <t>3.	На какую сумму следует заключить договор о страховании, чтобы через 5 лет обладать суммой в 20000 руб., если процентная ставка равна: 5%, 10%, 15%, 20%?</t>
  </si>
  <si>
    <t>6.	Какова должна быть величина годовой процентной ставки, обеспечивающая безубыточную замену ежеквартального начисления процентов, при номинальной ставке 8%?</t>
  </si>
  <si>
    <t>7.	Фирма «Б» планирует ежегодные отчисления в 10000 руб. для создания пенсионного фонда. Процентная ставка равна 10%. Какова будет величина фонда через 5 лет, 10 лет, 12 лет, 15 лет?</t>
  </si>
  <si>
    <t>8.	Какова текущая стоимость аннуитета, выплачиваемого по 10000 руб. ежегодно в течение 8 лет при ставке 5%?</t>
  </si>
  <si>
    <t>136 293,00р.</t>
  </si>
  <si>
    <t>Первоначальная сумма</t>
  </si>
  <si>
    <t xml:space="preserve">Будущая величина фонда </t>
  </si>
  <si>
    <t xml:space="preserve">Ежегодно вносится </t>
  </si>
  <si>
    <t>119 615,00р.</t>
  </si>
  <si>
    <t>124 256,00р.</t>
  </si>
  <si>
    <t>Определение количества лет накопления заданной суммы</t>
  </si>
  <si>
    <t>Выплаченная  величина вклада</t>
  </si>
  <si>
    <t>Срок, рассчитанный по формуле</t>
  </si>
  <si>
    <t>С помощью функции КПЕР() и LOG10()</t>
  </si>
  <si>
    <t>Размер разового платежа</t>
  </si>
  <si>
    <t>Годовая процентная ставка</t>
  </si>
  <si>
    <t>CF</t>
  </si>
  <si>
    <t>Будущая величина фонда</t>
  </si>
  <si>
    <t>С помощью функции КПЕР()</t>
  </si>
  <si>
    <t>Норма дисконтирования</t>
  </si>
  <si>
    <t>Ежегодные доходы от реализации проекта, CF</t>
  </si>
  <si>
    <t>Размер инвестиций, PV</t>
  </si>
  <si>
    <t>Срок окупаемости проекта (в годах)</t>
  </si>
  <si>
    <t>по формуле</t>
  </si>
  <si>
    <t>КПЕР()</t>
  </si>
  <si>
    <t>Ex 13. По облигации номиналом 100 руб., выпущенной на 6 лет, предусмотрен следующий порядок начисления: в 1 год – 10%, во 2 и 3 года – 20%, в 4-6 года – 25%. Рассчитать будущую стоимость облигации по сложной процентной ставке. (=БЗРАСПИС)</t>
  </si>
  <si>
    <t>Ex 14. Рассчитать номинал облигации (PV), если известно, что ее будущая стоимость (FV) составила 1546,88 руб, а порядок начисления %%: в 1 год – 10%, во 2 и 3 года – 20%, в 4-6 года – 25%. Рассчитать будущую стоимость облигации по сложной процентной ставке.</t>
  </si>
  <si>
    <t>Ставки по кварталам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</si>
</sst>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₽&quot;;[Red]\-#,##0.00\ &quot;₽&quot;"/>
    <numFmt numFmtId="169" formatCode="#,##0.00\ &quot;₽&quot;"/>
    <numFmt numFmtId="170" formatCode="#,##0.0000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9"/>
      <color theme="1"/>
      <name val="Arial"/>
      <family val="2"/>
      <charset val="204"/>
    </font>
    <font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9" fontId="0" fillId="0" borderId="0" xfId="0" applyNumberFormat="1"/>
    <xf numFmtId="9" fontId="1" fillId="0" borderId="4" xfId="0" applyNumberFormat="1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8" fontId="0" fillId="0" borderId="0" xfId="0" applyNumberFormat="1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10" fontId="0" fillId="0" borderId="0" xfId="0" applyNumberFormat="1"/>
    <xf numFmtId="10" fontId="1" fillId="0" borderId="4" xfId="0" applyNumberFormat="1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right" vertical="center" wrapText="1"/>
    </xf>
    <xf numFmtId="0" fontId="0" fillId="0" borderId="0" xfId="0" applyAlignment="1">
      <alignment wrapText="1"/>
    </xf>
    <xf numFmtId="0" fontId="1" fillId="0" borderId="5" xfId="0" applyFont="1" applyFill="1" applyBorder="1" applyAlignment="1">
      <alignment horizontal="justify" vertical="center" wrapText="1"/>
    </xf>
    <xf numFmtId="8" fontId="1" fillId="0" borderId="4" xfId="0" applyNumberFormat="1" applyFont="1" applyBorder="1" applyAlignment="1">
      <alignment horizontal="justify"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0" borderId="1" xfId="0" applyFont="1" applyBorder="1" applyAlignment="1">
      <alignment vertical="center"/>
    </xf>
    <xf numFmtId="9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9" fontId="4" fillId="0" borderId="4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5" fillId="0" borderId="0" xfId="0" applyFont="1" applyAlignment="1">
      <alignment horizontal="justify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9" fontId="2" fillId="0" borderId="3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8" fontId="2" fillId="0" borderId="4" xfId="0" applyNumberFormat="1" applyFont="1" applyBorder="1" applyAlignment="1">
      <alignment vertical="center"/>
    </xf>
    <xf numFmtId="4" fontId="2" fillId="0" borderId="2" xfId="0" applyNumberFormat="1" applyFont="1" applyBorder="1" applyAlignment="1">
      <alignment vertical="center"/>
    </xf>
    <xf numFmtId="4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8" fontId="2" fillId="0" borderId="8" xfId="0" applyNumberFormat="1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3" fillId="0" borderId="7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7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horizontal="right" vertical="center"/>
    </xf>
    <xf numFmtId="9" fontId="2" fillId="0" borderId="8" xfId="0" applyNumberFormat="1" applyFont="1" applyBorder="1" applyAlignment="1">
      <alignment horizontal="right" vertical="center"/>
    </xf>
    <xf numFmtId="9" fontId="2" fillId="0" borderId="2" xfId="0" applyNumberFormat="1" applyFont="1" applyBorder="1" applyAlignment="1">
      <alignment horizontal="right" vertical="center"/>
    </xf>
    <xf numFmtId="0" fontId="2" fillId="0" borderId="13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2" fillId="0" borderId="10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9" fontId="2" fillId="0" borderId="8" xfId="0" applyNumberFormat="1" applyFont="1" applyBorder="1" applyAlignment="1">
      <alignment vertical="center"/>
    </xf>
    <xf numFmtId="169" fontId="2" fillId="0" borderId="2" xfId="0" applyNumberFormat="1" applyFont="1" applyBorder="1" applyAlignment="1">
      <alignment vertical="center"/>
    </xf>
    <xf numFmtId="169" fontId="2" fillId="0" borderId="3" xfId="0" applyNumberFormat="1" applyFont="1" applyBorder="1" applyAlignment="1">
      <alignment vertical="center"/>
    </xf>
    <xf numFmtId="8" fontId="2" fillId="0" borderId="8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right" vertical="center"/>
    </xf>
    <xf numFmtId="10" fontId="2" fillId="0" borderId="4" xfId="0" applyNumberFormat="1" applyFont="1" applyBorder="1" applyAlignment="1">
      <alignment horizontal="right" vertical="center"/>
    </xf>
    <xf numFmtId="0" fontId="2" fillId="0" borderId="10" xfId="0" applyFont="1" applyBorder="1" applyAlignment="1">
      <alignment vertical="center" wrapText="1"/>
    </xf>
    <xf numFmtId="10" fontId="2" fillId="0" borderId="2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169" fontId="4" fillId="0" borderId="3" xfId="0" applyNumberFormat="1" applyFont="1" applyBorder="1" applyAlignment="1">
      <alignment vertical="center"/>
    </xf>
    <xf numFmtId="169" fontId="4" fillId="0" borderId="3" xfId="0" applyNumberFormat="1" applyFont="1" applyBorder="1" applyAlignment="1">
      <alignment vertical="center" wrapText="1"/>
    </xf>
    <xf numFmtId="169" fontId="4" fillId="0" borderId="4" xfId="0" applyNumberFormat="1" applyFont="1" applyBorder="1" applyAlignment="1">
      <alignment vertical="center"/>
    </xf>
    <xf numFmtId="169" fontId="4" fillId="0" borderId="4" xfId="0" applyNumberFormat="1" applyFont="1" applyBorder="1" applyAlignment="1">
      <alignment vertical="center" wrapText="1"/>
    </xf>
    <xf numFmtId="169" fontId="0" fillId="0" borderId="0" xfId="0" applyNumberFormat="1"/>
    <xf numFmtId="170" fontId="0" fillId="0" borderId="0" xfId="0" applyNumberFormat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409575</xdr:colOff>
          <xdr:row>8</xdr:row>
          <xdr:rowOff>38100</xdr:rowOff>
        </xdr:from>
        <xdr:to>
          <xdr:col>4</xdr:col>
          <xdr:colOff>133350</xdr:colOff>
          <xdr:row>10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D77981F-D8A8-4E77-88F4-B6685F1CA8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104775</xdr:colOff>
          <xdr:row>11</xdr:row>
          <xdr:rowOff>28575</xdr:rowOff>
        </xdr:from>
        <xdr:to>
          <xdr:col>10</xdr:col>
          <xdr:colOff>476250</xdr:colOff>
          <xdr:row>13</xdr:row>
          <xdr:rowOff>38100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E02D870-C850-4ABB-9A1A-A699C0452A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285750</xdr:colOff>
          <xdr:row>5</xdr:row>
          <xdr:rowOff>95250</xdr:rowOff>
        </xdr:from>
        <xdr:to>
          <xdr:col>16</xdr:col>
          <xdr:colOff>2057400</xdr:colOff>
          <xdr:row>7</xdr:row>
          <xdr:rowOff>66675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E621E0D-D54A-47AC-82CD-5A3089D0C9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27</xdr:row>
          <xdr:rowOff>180975</xdr:rowOff>
        </xdr:from>
        <xdr:to>
          <xdr:col>3</xdr:col>
          <xdr:colOff>1066800</xdr:colOff>
          <xdr:row>30</xdr:row>
          <xdr:rowOff>38100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3EC9956-B57E-4949-8CCA-CCC99CEB87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152400</xdr:colOff>
          <xdr:row>60</xdr:row>
          <xdr:rowOff>133350</xdr:rowOff>
        </xdr:from>
        <xdr:to>
          <xdr:col>16</xdr:col>
          <xdr:colOff>638175</xdr:colOff>
          <xdr:row>63</xdr:row>
          <xdr:rowOff>85725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3181E018-F541-4CAF-855D-46EF558E14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5"/>
  <sheetViews>
    <sheetView tabSelected="1" zoomScale="85" zoomScaleNormal="85" workbookViewId="0">
      <selection activeCell="E126" sqref="E126"/>
    </sheetView>
  </sheetViews>
  <sheetFormatPr defaultRowHeight="15" x14ac:dyDescent="0.25"/>
  <cols>
    <col min="1" max="1" width="10.140625" bestFit="1" customWidth="1"/>
    <col min="2" max="2" width="5.140625" bestFit="1" customWidth="1"/>
    <col min="3" max="3" width="18" bestFit="1" customWidth="1"/>
    <col min="4" max="4" width="20.42578125" customWidth="1"/>
    <col min="5" max="5" width="15.140625" bestFit="1" customWidth="1"/>
    <col min="6" max="6" width="13" customWidth="1"/>
    <col min="9" max="9" width="12" bestFit="1" customWidth="1"/>
    <col min="10" max="10" width="13.140625" bestFit="1" customWidth="1"/>
    <col min="11" max="11" width="19" bestFit="1" customWidth="1"/>
    <col min="12" max="12" width="17.85546875" bestFit="1" customWidth="1"/>
    <col min="13" max="13" width="12" bestFit="1" customWidth="1"/>
    <col min="15" max="15" width="12.42578125" customWidth="1"/>
    <col min="16" max="16" width="13.28515625" customWidth="1"/>
    <col min="17" max="17" width="34.28515625" customWidth="1"/>
    <col min="18" max="21" width="13.42578125" bestFit="1" customWidth="1"/>
  </cols>
  <sheetData>
    <row r="1" spans="1:17" s="17" customFormat="1" ht="32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H1" s="9" t="s">
        <v>0</v>
      </c>
      <c r="I1" s="10" t="s">
        <v>1</v>
      </c>
      <c r="J1" s="10" t="s">
        <v>5</v>
      </c>
      <c r="K1" s="2" t="s">
        <v>3</v>
      </c>
      <c r="O1" s="13" t="s">
        <v>7</v>
      </c>
      <c r="P1" s="14" t="s">
        <v>8</v>
      </c>
      <c r="Q1" s="10" t="s">
        <v>9</v>
      </c>
    </row>
    <row r="2" spans="1:17" ht="16.5" thickBot="1" x14ac:dyDescent="0.3">
      <c r="A2" s="3">
        <v>10000000</v>
      </c>
      <c r="B2" s="5">
        <v>0.8</v>
      </c>
      <c r="C2" s="6">
        <v>1</v>
      </c>
      <c r="D2" s="7"/>
      <c r="E2" s="8">
        <f>FV(B2/4,C2*4,0,-A2,0)</f>
        <v>20736000</v>
      </c>
      <c r="H2" s="3">
        <v>500</v>
      </c>
      <c r="I2" s="5">
        <v>0.09</v>
      </c>
      <c r="J2" s="6">
        <v>7</v>
      </c>
      <c r="K2" s="6"/>
      <c r="L2" s="8">
        <f>FV(I2/4,4*J2/12,0,-H2,0)</f>
        <v>526.64473071100565</v>
      </c>
      <c r="O2" s="15">
        <v>1</v>
      </c>
      <c r="P2" s="6"/>
      <c r="Q2" s="19">
        <f>FV($O$8/O2,$O$7*O2,0,-$O$6,0)</f>
        <v>12762.815625000001</v>
      </c>
    </row>
    <row r="3" spans="1:17" ht="16.5" thickBot="1" x14ac:dyDescent="0.3">
      <c r="A3" s="3">
        <v>10000000</v>
      </c>
      <c r="B3" s="5">
        <v>0.8</v>
      </c>
      <c r="C3" s="6">
        <v>3</v>
      </c>
      <c r="D3" s="7"/>
      <c r="E3" s="8">
        <f t="shared" ref="E3:E8" si="0">FV(B3/4,C3*4,0,-A3,0)</f>
        <v>89161004.482559979</v>
      </c>
      <c r="H3" s="3">
        <v>1500</v>
      </c>
      <c r="I3" s="5">
        <v>0.09</v>
      </c>
      <c r="J3" s="6">
        <v>8</v>
      </c>
      <c r="K3" s="6"/>
      <c r="L3" s="8">
        <f t="shared" ref="L3:L11" si="1">FV(I3/4,4*J3/12,0,-H3,0)</f>
        <v>1591.6959217737874</v>
      </c>
      <c r="O3" s="15">
        <v>2</v>
      </c>
      <c r="P3" s="6"/>
      <c r="Q3" s="19">
        <f t="shared" ref="Q3:Q5" si="2">FV($O$8/O3,$O$7*O3,0,-$O$6,0)</f>
        <v>12800.845441963571</v>
      </c>
    </row>
    <row r="4" spans="1:17" ht="16.5" thickBot="1" x14ac:dyDescent="0.3">
      <c r="A4" s="3">
        <v>2000000</v>
      </c>
      <c r="B4" s="5">
        <v>0.5</v>
      </c>
      <c r="C4" s="6">
        <v>4</v>
      </c>
      <c r="D4" s="7"/>
      <c r="E4" s="8">
        <f t="shared" si="0"/>
        <v>13166500.344054846</v>
      </c>
      <c r="H4" s="3">
        <v>750</v>
      </c>
      <c r="I4" s="5">
        <v>0.09</v>
      </c>
      <c r="J4" s="6">
        <v>9</v>
      </c>
      <c r="K4" s="6"/>
      <c r="L4" s="8">
        <f t="shared" si="1"/>
        <v>801.77260546874982</v>
      </c>
      <c r="O4" s="15">
        <v>4</v>
      </c>
      <c r="P4" s="6"/>
      <c r="Q4" s="19">
        <f t="shared" si="2"/>
        <v>12820.37231708585</v>
      </c>
    </row>
    <row r="5" spans="1:17" ht="16.5" thickBot="1" x14ac:dyDescent="0.3">
      <c r="A5" s="3">
        <v>10000000</v>
      </c>
      <c r="B5" s="5">
        <v>0.8</v>
      </c>
      <c r="C5" s="6">
        <v>2</v>
      </c>
      <c r="D5" s="7"/>
      <c r="E5" s="8">
        <f t="shared" si="0"/>
        <v>42998169.599999994</v>
      </c>
      <c r="H5" s="3">
        <v>400</v>
      </c>
      <c r="I5" s="5">
        <v>0.09</v>
      </c>
      <c r="J5" s="6">
        <v>10</v>
      </c>
      <c r="K5" s="6"/>
      <c r="L5" s="8">
        <f t="shared" si="1"/>
        <v>430.79538972160253</v>
      </c>
      <c r="O5" s="15">
        <v>12</v>
      </c>
      <c r="P5" s="16" t="s">
        <v>10</v>
      </c>
      <c r="Q5" s="19">
        <f t="shared" si="2"/>
        <v>12833.586785035141</v>
      </c>
    </row>
    <row r="6" spans="1:17" ht="16.5" thickBot="1" x14ac:dyDescent="0.3">
      <c r="A6" s="3">
        <v>10000000</v>
      </c>
      <c r="B6" s="5">
        <v>0.8</v>
      </c>
      <c r="C6" s="6">
        <v>4</v>
      </c>
      <c r="D6" s="7"/>
      <c r="E6" s="8">
        <f t="shared" si="0"/>
        <v>184884258.89503634</v>
      </c>
      <c r="H6" s="3">
        <v>300</v>
      </c>
      <c r="I6" s="5">
        <v>0.09</v>
      </c>
      <c r="J6" s="6">
        <v>11</v>
      </c>
      <c r="K6" s="6"/>
      <c r="L6" s="8">
        <f t="shared" si="1"/>
        <v>325.50181600273953</v>
      </c>
      <c r="O6" s="18">
        <v>10000</v>
      </c>
    </row>
    <row r="7" spans="1:17" ht="16.5" thickBot="1" x14ac:dyDescent="0.3">
      <c r="A7" s="3">
        <v>5000</v>
      </c>
      <c r="B7" s="5">
        <v>0.5</v>
      </c>
      <c r="C7" s="6">
        <v>3</v>
      </c>
      <c r="D7" s="7"/>
      <c r="E7" s="8">
        <f t="shared" si="0"/>
        <v>20549.453364292276</v>
      </c>
      <c r="H7" s="3">
        <v>200</v>
      </c>
      <c r="I7" s="5">
        <v>0.08</v>
      </c>
      <c r="J7" s="6">
        <v>5</v>
      </c>
      <c r="K7" s="6"/>
      <c r="L7" s="8">
        <f t="shared" si="1"/>
        <v>206.71101299803726</v>
      </c>
      <c r="O7" s="18">
        <v>5</v>
      </c>
      <c r="P7" t="s">
        <v>11</v>
      </c>
    </row>
    <row r="8" spans="1:17" ht="16.5" thickBot="1" x14ac:dyDescent="0.3">
      <c r="A8" s="3">
        <v>10000</v>
      </c>
      <c r="B8" s="5">
        <v>0.5</v>
      </c>
      <c r="C8" s="6">
        <v>4</v>
      </c>
      <c r="D8" s="7" t="s">
        <v>4</v>
      </c>
      <c r="E8" s="8">
        <f t="shared" si="0"/>
        <v>65832.501720274231</v>
      </c>
      <c r="H8" s="3">
        <v>500</v>
      </c>
      <c r="I8" s="5">
        <v>0.08</v>
      </c>
      <c r="J8" s="6">
        <v>6</v>
      </c>
      <c r="K8" s="6"/>
      <c r="L8" s="8">
        <f t="shared" si="1"/>
        <v>520.20000000000005</v>
      </c>
      <c r="O8" s="4">
        <v>0.05</v>
      </c>
    </row>
    <row r="9" spans="1:17" ht="16.5" thickBot="1" x14ac:dyDescent="0.3">
      <c r="H9" s="3">
        <v>1500</v>
      </c>
      <c r="I9" s="12">
        <v>7.4999999999999997E-2</v>
      </c>
      <c r="J9" s="6">
        <v>7</v>
      </c>
      <c r="K9" s="7"/>
      <c r="L9" s="8">
        <f t="shared" si="1"/>
        <v>1566.447016176902</v>
      </c>
    </row>
    <row r="10" spans="1:17" ht="16.5" thickBot="1" x14ac:dyDescent="0.3">
      <c r="H10" s="3">
        <v>750</v>
      </c>
      <c r="I10" s="5">
        <v>0.06</v>
      </c>
      <c r="J10" s="6">
        <v>8</v>
      </c>
      <c r="K10" s="7"/>
      <c r="L10" s="8">
        <f t="shared" si="1"/>
        <v>780.37624844371351</v>
      </c>
    </row>
    <row r="11" spans="1:17" ht="16.5" thickBot="1" x14ac:dyDescent="0.3">
      <c r="H11" s="3">
        <v>400</v>
      </c>
      <c r="I11" s="5">
        <v>0.06</v>
      </c>
      <c r="J11" s="6">
        <v>7</v>
      </c>
      <c r="K11" s="7" t="s">
        <v>6</v>
      </c>
      <c r="L11" s="8">
        <f t="shared" si="1"/>
        <v>414.1402327528973</v>
      </c>
    </row>
    <row r="16" spans="1:17" ht="15.75" thickBot="1" x14ac:dyDescent="0.3"/>
    <row r="17" spans="1:21" ht="15.75" thickBot="1" x14ac:dyDescent="0.3">
      <c r="A17" s="20"/>
      <c r="B17" s="20" t="s">
        <v>12</v>
      </c>
      <c r="C17" s="20" t="s">
        <v>13</v>
      </c>
      <c r="D17" s="20" t="s">
        <v>14</v>
      </c>
      <c r="H17" s="71" t="s">
        <v>19</v>
      </c>
      <c r="I17" s="72"/>
      <c r="J17" s="72"/>
      <c r="K17" s="72"/>
      <c r="L17" s="72"/>
      <c r="M17" s="72"/>
      <c r="N17" s="73"/>
      <c r="Q17" s="74" t="s">
        <v>23</v>
      </c>
      <c r="R17" s="75"/>
      <c r="S17" s="75"/>
      <c r="T17" s="75"/>
      <c r="U17" s="76"/>
    </row>
    <row r="18" spans="1:21" ht="39" thickBot="1" x14ac:dyDescent="0.3">
      <c r="A18" s="21">
        <v>1</v>
      </c>
      <c r="B18" s="22" t="s">
        <v>1</v>
      </c>
      <c r="C18" s="23">
        <v>0.12</v>
      </c>
      <c r="D18" s="24"/>
      <c r="H18" s="32"/>
      <c r="I18" s="71" t="s">
        <v>20</v>
      </c>
      <c r="J18" s="72"/>
      <c r="K18" s="72"/>
      <c r="L18" s="72"/>
      <c r="M18" s="72"/>
      <c r="N18" s="73"/>
      <c r="Q18" s="38" t="s">
        <v>24</v>
      </c>
      <c r="R18" s="39" t="s">
        <v>25</v>
      </c>
      <c r="S18" s="38" t="s">
        <v>26</v>
      </c>
      <c r="T18" s="66" t="s">
        <v>27</v>
      </c>
      <c r="U18" s="67"/>
    </row>
    <row r="19" spans="1:21" ht="36.75" thickBot="1" x14ac:dyDescent="0.3">
      <c r="A19" s="21">
        <v>2</v>
      </c>
      <c r="B19" s="25"/>
      <c r="C19" s="26"/>
      <c r="D19" s="26"/>
      <c r="H19" s="33" t="s">
        <v>21</v>
      </c>
      <c r="I19" s="34">
        <v>0.01</v>
      </c>
      <c r="J19" s="34">
        <v>0.02</v>
      </c>
      <c r="K19" s="34">
        <v>0.03</v>
      </c>
      <c r="L19" s="34">
        <v>0.04</v>
      </c>
      <c r="M19" s="34">
        <v>0.05</v>
      </c>
      <c r="N19" s="34">
        <v>0.06</v>
      </c>
      <c r="Q19" s="40"/>
      <c r="R19" s="41"/>
      <c r="S19" s="40"/>
      <c r="T19" s="66" t="s">
        <v>28</v>
      </c>
      <c r="U19" s="67"/>
    </row>
    <row r="20" spans="1:21" ht="15.75" thickBot="1" x14ac:dyDescent="0.3">
      <c r="A20" s="68">
        <v>3</v>
      </c>
      <c r="B20" s="69" t="s">
        <v>2</v>
      </c>
      <c r="C20" s="69" t="s">
        <v>15</v>
      </c>
      <c r="D20" s="28" t="s">
        <v>16</v>
      </c>
      <c r="H20" s="35">
        <v>1</v>
      </c>
      <c r="I20" s="36">
        <f>1/(100%+I$19)^$H20</f>
        <v>0.99009900990099009</v>
      </c>
      <c r="J20" s="36">
        <f t="shared" ref="J20:N35" si="3">1/(100%+J$19)^$H20</f>
        <v>0.98039215686274506</v>
      </c>
      <c r="K20" s="36">
        <f t="shared" si="3"/>
        <v>0.970873786407767</v>
      </c>
      <c r="L20" s="36">
        <f t="shared" si="3"/>
        <v>0.96153846153846145</v>
      </c>
      <c r="M20" s="36">
        <f t="shared" si="3"/>
        <v>0.95238095238095233</v>
      </c>
      <c r="N20" s="36">
        <f t="shared" si="3"/>
        <v>0.94339622641509424</v>
      </c>
      <c r="Q20" s="42">
        <v>0.38</v>
      </c>
      <c r="R20" s="45">
        <v>300000</v>
      </c>
      <c r="S20" s="30">
        <v>4</v>
      </c>
      <c r="T20" s="77">
        <v>0</v>
      </c>
      <c r="U20" s="78"/>
    </row>
    <row r="21" spans="1:21" ht="15.75" thickBot="1" x14ac:dyDescent="0.3">
      <c r="A21" s="68"/>
      <c r="B21" s="70"/>
      <c r="C21" s="70"/>
      <c r="D21" s="26" t="s">
        <v>17</v>
      </c>
      <c r="H21" s="35">
        <v>2</v>
      </c>
      <c r="I21" s="36">
        <f t="shared" ref="I21:N43" si="4">1/(100%+I$19)^$H21</f>
        <v>0.98029604940692083</v>
      </c>
      <c r="J21" s="36">
        <f t="shared" si="3"/>
        <v>0.96116878123798544</v>
      </c>
      <c r="K21" s="36">
        <f t="shared" si="3"/>
        <v>0.94259590913375435</v>
      </c>
      <c r="L21" s="36">
        <f t="shared" si="3"/>
        <v>0.92455621301775137</v>
      </c>
      <c r="M21" s="36">
        <f t="shared" si="3"/>
        <v>0.90702947845804982</v>
      </c>
      <c r="N21" s="36">
        <f t="shared" si="3"/>
        <v>0.88999644001423983</v>
      </c>
      <c r="Q21" s="42">
        <v>0.26</v>
      </c>
      <c r="R21" s="46">
        <v>300000</v>
      </c>
      <c r="S21" s="30">
        <v>4</v>
      </c>
      <c r="T21" s="79">
        <v>1</v>
      </c>
      <c r="U21" s="80"/>
    </row>
    <row r="22" spans="1:21" ht="15.75" thickBot="1" x14ac:dyDescent="0.3">
      <c r="A22" s="21">
        <v>4</v>
      </c>
      <c r="B22" s="29">
        <v>5</v>
      </c>
      <c r="C22" s="30">
        <v>1000000</v>
      </c>
      <c r="D22" s="30"/>
      <c r="E22" s="8">
        <f>PV($C$18,B22,0,-C22,0)</f>
        <v>567426.85571859928</v>
      </c>
      <c r="H22" s="35">
        <v>3</v>
      </c>
      <c r="I22" s="36">
        <f t="shared" si="4"/>
        <v>0.97059014792764453</v>
      </c>
      <c r="J22" s="36">
        <f t="shared" si="3"/>
        <v>0.94232233454704462</v>
      </c>
      <c r="K22" s="36">
        <f t="shared" si="3"/>
        <v>0.91514165935315961</v>
      </c>
      <c r="L22" s="36">
        <f t="shared" si="3"/>
        <v>0.88899635867091487</v>
      </c>
      <c r="M22" s="36">
        <f t="shared" si="3"/>
        <v>0.86383759853147601</v>
      </c>
      <c r="N22" s="36">
        <f t="shared" si="3"/>
        <v>0.8396192830323016</v>
      </c>
      <c r="Q22" s="27"/>
      <c r="R22" s="27"/>
      <c r="S22" s="27"/>
      <c r="T22" s="27"/>
      <c r="U22" s="27"/>
    </row>
    <row r="23" spans="1:21" ht="15.75" thickBot="1" x14ac:dyDescent="0.3">
      <c r="A23" s="21">
        <v>5</v>
      </c>
      <c r="B23" s="29">
        <v>7</v>
      </c>
      <c r="C23" s="30">
        <v>2000000</v>
      </c>
      <c r="D23" s="30"/>
      <c r="E23" s="8">
        <f t="shared" ref="E23:E27" si="5">PV($C$18,B23,0,-C23,0)</f>
        <v>904698.4306737869</v>
      </c>
      <c r="H23" s="35">
        <v>4</v>
      </c>
      <c r="I23" s="36">
        <f t="shared" si="4"/>
        <v>0.96098034448281622</v>
      </c>
      <c r="J23" s="36">
        <f t="shared" si="3"/>
        <v>0.9238454260265142</v>
      </c>
      <c r="K23" s="36">
        <f t="shared" si="3"/>
        <v>0.888487047915689</v>
      </c>
      <c r="L23" s="36">
        <f t="shared" si="3"/>
        <v>0.85480419102972571</v>
      </c>
      <c r="M23" s="36">
        <f t="shared" si="3"/>
        <v>0.82270247479188197</v>
      </c>
      <c r="N23" s="36">
        <f t="shared" si="3"/>
        <v>0.79209366323802044</v>
      </c>
      <c r="Q23" s="27"/>
      <c r="R23" s="58" t="s">
        <v>29</v>
      </c>
      <c r="S23" s="58"/>
      <c r="T23" s="58"/>
      <c r="U23" s="58"/>
    </row>
    <row r="24" spans="1:21" ht="25.5" customHeight="1" thickBot="1" x14ac:dyDescent="0.3">
      <c r="A24" s="21">
        <v>6</v>
      </c>
      <c r="B24" s="29">
        <v>7</v>
      </c>
      <c r="C24" s="30">
        <v>3000000</v>
      </c>
      <c r="D24" s="30"/>
      <c r="E24" s="8">
        <f t="shared" si="5"/>
        <v>1357047.6460106804</v>
      </c>
      <c r="H24" s="35">
        <v>5</v>
      </c>
      <c r="I24" s="36">
        <f t="shared" si="4"/>
        <v>0.95146568760674888</v>
      </c>
      <c r="J24" s="36">
        <f t="shared" si="3"/>
        <v>0.90573080982991594</v>
      </c>
      <c r="K24" s="36">
        <f t="shared" si="3"/>
        <v>0.86260878438416411</v>
      </c>
      <c r="L24" s="36">
        <f t="shared" si="3"/>
        <v>0.82192710675935154</v>
      </c>
      <c r="M24" s="36">
        <f t="shared" si="3"/>
        <v>0.78352616646845896</v>
      </c>
      <c r="N24" s="36">
        <f t="shared" si="3"/>
        <v>0.74725817286605689</v>
      </c>
      <c r="Q24" s="43" t="s">
        <v>30</v>
      </c>
      <c r="R24" s="66" t="s">
        <v>31</v>
      </c>
      <c r="S24" s="67"/>
      <c r="T24" s="66" t="s">
        <v>32</v>
      </c>
      <c r="U24" s="67"/>
    </row>
    <row r="25" spans="1:21" ht="15.75" thickBot="1" x14ac:dyDescent="0.3">
      <c r="A25" s="21">
        <v>7</v>
      </c>
      <c r="B25" s="29">
        <v>10</v>
      </c>
      <c r="C25" s="30">
        <v>4000000</v>
      </c>
      <c r="D25" s="30"/>
      <c r="E25" s="8">
        <f t="shared" si="5"/>
        <v>1287892.9463627841</v>
      </c>
      <c r="H25" s="35">
        <v>6</v>
      </c>
      <c r="I25" s="36">
        <f t="shared" si="4"/>
        <v>0.94204523525420658</v>
      </c>
      <c r="J25" s="36">
        <f t="shared" si="3"/>
        <v>0.88797138218619198</v>
      </c>
      <c r="K25" s="36">
        <f t="shared" si="3"/>
        <v>0.83748425668365445</v>
      </c>
      <c r="L25" s="36">
        <f t="shared" si="3"/>
        <v>0.79031452573014571</v>
      </c>
      <c r="M25" s="36">
        <f t="shared" si="3"/>
        <v>0.74621539663662761</v>
      </c>
      <c r="N25" s="36">
        <f t="shared" si="3"/>
        <v>0.70496054043967626</v>
      </c>
      <c r="Q25" s="25"/>
      <c r="R25" s="26" t="s">
        <v>33</v>
      </c>
      <c r="S25" s="26" t="s">
        <v>34</v>
      </c>
      <c r="T25" s="26" t="s">
        <v>33</v>
      </c>
      <c r="U25" s="26" t="s">
        <v>34</v>
      </c>
    </row>
    <row r="26" spans="1:21" ht="15.75" thickBot="1" x14ac:dyDescent="0.3">
      <c r="A26" s="21">
        <v>8</v>
      </c>
      <c r="B26" s="29">
        <v>10</v>
      </c>
      <c r="C26" s="30">
        <v>5000000</v>
      </c>
      <c r="D26" s="30"/>
      <c r="E26" s="8">
        <f t="shared" si="5"/>
        <v>1609866.1829534799</v>
      </c>
      <c r="H26" s="35">
        <v>7</v>
      </c>
      <c r="I26" s="36">
        <f t="shared" si="4"/>
        <v>0.93271805470713554</v>
      </c>
      <c r="J26" s="36">
        <f t="shared" si="3"/>
        <v>0.87056017861391388</v>
      </c>
      <c r="K26" s="36">
        <f t="shared" si="3"/>
        <v>0.81309151134335378</v>
      </c>
      <c r="L26" s="36">
        <f t="shared" si="3"/>
        <v>0.75991781320206331</v>
      </c>
      <c r="M26" s="36">
        <f t="shared" si="3"/>
        <v>0.71068133013012147</v>
      </c>
      <c r="N26" s="36">
        <f t="shared" si="3"/>
        <v>0.66505711362233599</v>
      </c>
      <c r="Q26" s="29">
        <v>1</v>
      </c>
      <c r="R26" s="44">
        <f>FV($Q$20,Q26,-$R$20,0,$T$20)</f>
        <v>299999.99999999988</v>
      </c>
      <c r="S26" s="26"/>
      <c r="T26" s="44">
        <f>FV($Q$21,Q26,-$R$21,0,$T$21)</f>
        <v>378000</v>
      </c>
      <c r="U26" s="26"/>
    </row>
    <row r="27" spans="1:21" ht="15.75" thickBot="1" x14ac:dyDescent="0.3">
      <c r="A27" s="21">
        <v>9</v>
      </c>
      <c r="B27" s="29">
        <v>12</v>
      </c>
      <c r="C27" s="30">
        <v>5000000</v>
      </c>
      <c r="D27" s="30" t="s">
        <v>18</v>
      </c>
      <c r="E27" s="8">
        <f t="shared" si="5"/>
        <v>1283375.4647269452</v>
      </c>
      <c r="H27" s="35">
        <v>8</v>
      </c>
      <c r="I27" s="36">
        <f t="shared" si="4"/>
        <v>0.92348322248231218</v>
      </c>
      <c r="J27" s="36">
        <f t="shared" si="3"/>
        <v>0.85349037119011162</v>
      </c>
      <c r="K27" s="36">
        <f t="shared" si="3"/>
        <v>0.78940923431393573</v>
      </c>
      <c r="L27" s="36">
        <f t="shared" si="3"/>
        <v>0.73069020500198378</v>
      </c>
      <c r="M27" s="36">
        <f t="shared" si="3"/>
        <v>0.67683936202868722</v>
      </c>
      <c r="N27" s="36">
        <f t="shared" si="3"/>
        <v>0.62741237134182648</v>
      </c>
      <c r="Q27" s="29">
        <v>2</v>
      </c>
      <c r="R27" s="44">
        <f t="shared" ref="R27:R29" si="6">FV($Q$20,Q27,-$R$20,0,$T$20)</f>
        <v>713999.99999999965</v>
      </c>
      <c r="S27" s="26"/>
      <c r="T27" s="44">
        <f t="shared" ref="T27:T29" si="7">FV($Q$21,Q27,-$R$21,0,$T$21)</f>
        <v>854280.00000000012</v>
      </c>
      <c r="U27" s="26"/>
    </row>
    <row r="28" spans="1:21" ht="15.75" thickBot="1" x14ac:dyDescent="0.3">
      <c r="H28" s="35">
        <v>9</v>
      </c>
      <c r="I28" s="36">
        <f t="shared" si="4"/>
        <v>0.91433982423991289</v>
      </c>
      <c r="J28" s="36">
        <f t="shared" si="3"/>
        <v>0.83675526587265847</v>
      </c>
      <c r="K28" s="36">
        <f t="shared" si="3"/>
        <v>0.76641673234362695</v>
      </c>
      <c r="L28" s="36">
        <f t="shared" si="3"/>
        <v>0.70258673557883045</v>
      </c>
      <c r="M28" s="36">
        <f t="shared" si="3"/>
        <v>0.64460891621779726</v>
      </c>
      <c r="N28" s="36">
        <f t="shared" si="3"/>
        <v>0.59189846353002495</v>
      </c>
      <c r="Q28" s="29">
        <v>3</v>
      </c>
      <c r="R28" s="44">
        <f t="shared" si="6"/>
        <v>1285319.9999999998</v>
      </c>
      <c r="S28" s="26"/>
      <c r="T28" s="44">
        <f t="shared" si="7"/>
        <v>1454392.8</v>
      </c>
      <c r="U28" s="26"/>
    </row>
    <row r="29" spans="1:21" ht="15.75" thickBot="1" x14ac:dyDescent="0.3">
      <c r="H29" s="35">
        <v>10</v>
      </c>
      <c r="I29" s="36">
        <f t="shared" si="4"/>
        <v>0.90528695469298315</v>
      </c>
      <c r="J29" s="36">
        <f t="shared" si="3"/>
        <v>0.82034829987515534</v>
      </c>
      <c r="K29" s="36">
        <f t="shared" si="3"/>
        <v>0.74409391489672516</v>
      </c>
      <c r="L29" s="36">
        <f t="shared" si="3"/>
        <v>0.67556416882579851</v>
      </c>
      <c r="M29" s="36">
        <f t="shared" si="3"/>
        <v>0.61391325354075932</v>
      </c>
      <c r="N29" s="36">
        <f t="shared" si="3"/>
        <v>0.55839477691511785</v>
      </c>
      <c r="Q29" s="29">
        <v>4</v>
      </c>
      <c r="R29" s="44">
        <f t="shared" si="6"/>
        <v>2073741.5999999989</v>
      </c>
      <c r="S29" s="30" t="s">
        <v>35</v>
      </c>
      <c r="T29" s="44">
        <f t="shared" si="7"/>
        <v>2210534.9280000003</v>
      </c>
      <c r="U29" s="30" t="s">
        <v>36</v>
      </c>
    </row>
    <row r="30" spans="1:21" ht="15.75" thickBot="1" x14ac:dyDescent="0.3">
      <c r="H30" s="35">
        <v>11</v>
      </c>
      <c r="I30" s="36">
        <f t="shared" si="4"/>
        <v>0.89632371751780526</v>
      </c>
      <c r="J30" s="36">
        <f t="shared" si="3"/>
        <v>0.80426303909328967</v>
      </c>
      <c r="K30" s="36">
        <f t="shared" si="3"/>
        <v>0.72242127659876232</v>
      </c>
      <c r="L30" s="36">
        <f t="shared" si="3"/>
        <v>0.6495809315632679</v>
      </c>
      <c r="M30" s="36">
        <f t="shared" si="3"/>
        <v>0.5846792890864374</v>
      </c>
      <c r="N30" s="36">
        <f t="shared" si="3"/>
        <v>0.52678752539162055</v>
      </c>
    </row>
    <row r="31" spans="1:21" ht="15.75" thickBot="1" x14ac:dyDescent="0.3">
      <c r="H31" s="35">
        <v>12</v>
      </c>
      <c r="I31" s="36">
        <f t="shared" si="4"/>
        <v>0.88744922526515368</v>
      </c>
      <c r="J31" s="36">
        <f t="shared" si="3"/>
        <v>0.78849317558165644</v>
      </c>
      <c r="K31" s="36">
        <f t="shared" si="3"/>
        <v>0.70137988019297326</v>
      </c>
      <c r="L31" s="36">
        <f t="shared" si="3"/>
        <v>0.62459704958006512</v>
      </c>
      <c r="M31" s="36">
        <f t="shared" si="3"/>
        <v>0.5568374181775595</v>
      </c>
      <c r="N31" s="36">
        <f t="shared" si="3"/>
        <v>0.4969693635770005</v>
      </c>
    </row>
    <row r="32" spans="1:21" ht="15.75" thickBot="1" x14ac:dyDescent="0.3">
      <c r="H32" s="35">
        <v>13</v>
      </c>
      <c r="I32" s="36">
        <f t="shared" si="4"/>
        <v>0.87866259927242929</v>
      </c>
      <c r="J32" s="36">
        <f t="shared" si="3"/>
        <v>0.77303252508005538</v>
      </c>
      <c r="K32" s="36">
        <f t="shared" si="3"/>
        <v>0.68095133999317792</v>
      </c>
      <c r="L32" s="36">
        <f t="shared" si="3"/>
        <v>0.600574086134678</v>
      </c>
      <c r="M32" s="36">
        <f t="shared" si="3"/>
        <v>0.53032135064529462</v>
      </c>
      <c r="N32" s="36">
        <f t="shared" si="3"/>
        <v>0.46883902224245327</v>
      </c>
    </row>
    <row r="33" spans="8:14" ht="15.75" thickBot="1" x14ac:dyDescent="0.3">
      <c r="H33" s="35">
        <v>14</v>
      </c>
      <c r="I33" s="36">
        <f t="shared" si="4"/>
        <v>0.86996296957666264</v>
      </c>
      <c r="J33" s="36">
        <f t="shared" si="3"/>
        <v>0.75787502458828948</v>
      </c>
      <c r="K33" s="36">
        <f t="shared" si="3"/>
        <v>0.66111780581861923</v>
      </c>
      <c r="L33" s="36">
        <f t="shared" si="3"/>
        <v>0.57747508282180582</v>
      </c>
      <c r="M33" s="36">
        <f t="shared" si="3"/>
        <v>0.50506795299551888</v>
      </c>
      <c r="N33" s="36">
        <f t="shared" si="3"/>
        <v>0.44230096437967292</v>
      </c>
    </row>
    <row r="34" spans="8:14" ht="15.75" thickBot="1" x14ac:dyDescent="0.3">
      <c r="H34" s="35">
        <v>15</v>
      </c>
      <c r="I34" s="36">
        <f t="shared" si="4"/>
        <v>0.86134947482837909</v>
      </c>
      <c r="J34" s="36">
        <f t="shared" si="3"/>
        <v>0.74301472998851925</v>
      </c>
      <c r="K34" s="36">
        <f t="shared" si="3"/>
        <v>0.64186194739671765</v>
      </c>
      <c r="L34" s="36">
        <f t="shared" si="3"/>
        <v>0.55526450271327477</v>
      </c>
      <c r="M34" s="36">
        <f t="shared" si="3"/>
        <v>0.48101709809097021</v>
      </c>
      <c r="N34" s="36">
        <f t="shared" si="3"/>
        <v>0.41726506073554037</v>
      </c>
    </row>
    <row r="35" spans="8:14" ht="15.75" thickBot="1" x14ac:dyDescent="0.3">
      <c r="H35" s="35">
        <v>16</v>
      </c>
      <c r="I35" s="36">
        <f t="shared" si="4"/>
        <v>0.8528212622063156</v>
      </c>
      <c r="J35" s="36">
        <f t="shared" si="3"/>
        <v>0.72844581371423445</v>
      </c>
      <c r="K35" s="36">
        <f t="shared" si="3"/>
        <v>0.62316693922011435</v>
      </c>
      <c r="L35" s="36">
        <f t="shared" si="3"/>
        <v>0.53390817568584104</v>
      </c>
      <c r="M35" s="36">
        <f t="shared" si="3"/>
        <v>0.45811152199140021</v>
      </c>
      <c r="N35" s="36">
        <f t="shared" si="3"/>
        <v>0.39364628371277405</v>
      </c>
    </row>
    <row r="36" spans="8:14" ht="15.75" thickBot="1" x14ac:dyDescent="0.3">
      <c r="H36" s="35">
        <v>17</v>
      </c>
      <c r="I36" s="36">
        <f t="shared" si="4"/>
        <v>0.84437748733298568</v>
      </c>
      <c r="J36" s="36">
        <f t="shared" si="4"/>
        <v>0.7141625624649357</v>
      </c>
      <c r="K36" s="36">
        <f t="shared" si="4"/>
        <v>0.60501644584477121</v>
      </c>
      <c r="L36" s="36">
        <f t="shared" si="4"/>
        <v>0.51337324585177024</v>
      </c>
      <c r="M36" s="36">
        <f t="shared" si="4"/>
        <v>0.43629668761085727</v>
      </c>
      <c r="N36" s="36">
        <f t="shared" si="4"/>
        <v>0.37136441859695657</v>
      </c>
    </row>
    <row r="37" spans="8:14" ht="15.75" thickBot="1" x14ac:dyDescent="0.3">
      <c r="H37" s="35">
        <v>18</v>
      </c>
      <c r="I37" s="36">
        <f t="shared" si="4"/>
        <v>0.83601731419107495</v>
      </c>
      <c r="J37" s="36">
        <f t="shared" si="4"/>
        <v>0.7001593749656233</v>
      </c>
      <c r="K37" s="36">
        <f t="shared" si="4"/>
        <v>0.5873946076162827</v>
      </c>
      <c r="L37" s="36">
        <f t="shared" si="4"/>
        <v>0.49362812101131748</v>
      </c>
      <c r="M37" s="36">
        <f t="shared" si="4"/>
        <v>0.41552065486748313</v>
      </c>
      <c r="N37" s="36">
        <f t="shared" si="4"/>
        <v>0.35034379112920433</v>
      </c>
    </row>
    <row r="38" spans="8:14" ht="15.75" thickBot="1" x14ac:dyDescent="0.3">
      <c r="H38" s="35">
        <v>19</v>
      </c>
      <c r="I38" s="36">
        <f t="shared" si="4"/>
        <v>0.82773991504066846</v>
      </c>
      <c r="J38" s="36">
        <f t="shared" si="4"/>
        <v>0.68643075977021895</v>
      </c>
      <c r="K38" s="36">
        <f t="shared" si="4"/>
        <v>0.57028602681192497</v>
      </c>
      <c r="L38" s="36">
        <f t="shared" si="4"/>
        <v>0.47464242404934376</v>
      </c>
      <c r="M38" s="36">
        <f t="shared" si="4"/>
        <v>0.39573395701665059</v>
      </c>
      <c r="N38" s="36">
        <f t="shared" si="4"/>
        <v>0.3305130104992493</v>
      </c>
    </row>
    <row r="39" spans="8:14" ht="15.75" thickBot="1" x14ac:dyDescent="0.3">
      <c r="H39" s="35">
        <v>20</v>
      </c>
      <c r="I39" s="36">
        <f t="shared" si="4"/>
        <v>0.81954447033729538</v>
      </c>
      <c r="J39" s="36">
        <f t="shared" si="4"/>
        <v>0.67297133310805779</v>
      </c>
      <c r="K39" s="36">
        <f t="shared" si="4"/>
        <v>0.55367575418633497</v>
      </c>
      <c r="L39" s="36">
        <f t="shared" si="4"/>
        <v>0.45638694620129205</v>
      </c>
      <c r="M39" s="36">
        <f t="shared" si="4"/>
        <v>0.37688948287300061</v>
      </c>
      <c r="N39" s="36">
        <f t="shared" si="4"/>
        <v>0.31180472688608429</v>
      </c>
    </row>
    <row r="40" spans="8:14" ht="15.75" thickBot="1" x14ac:dyDescent="0.3">
      <c r="H40" s="35">
        <v>21</v>
      </c>
      <c r="I40" s="36">
        <f t="shared" si="4"/>
        <v>0.81143016865078765</v>
      </c>
      <c r="J40" s="36">
        <f t="shared" si="4"/>
        <v>0.65977581677260566</v>
      </c>
      <c r="K40" s="36">
        <f t="shared" si="4"/>
        <v>0.5375492759090631</v>
      </c>
      <c r="L40" s="36">
        <f t="shared" si="4"/>
        <v>0.43883360211662686</v>
      </c>
      <c r="M40" s="36">
        <f t="shared" si="4"/>
        <v>0.35894236464095297</v>
      </c>
      <c r="N40" s="36">
        <f t="shared" si="4"/>
        <v>0.29415540272272095</v>
      </c>
    </row>
    <row r="41" spans="8:14" ht="15.75" thickBot="1" x14ac:dyDescent="0.3">
      <c r="H41" s="35">
        <v>22</v>
      </c>
      <c r="I41" s="36">
        <f t="shared" si="4"/>
        <v>0.80339620658493804</v>
      </c>
      <c r="J41" s="36">
        <f t="shared" si="4"/>
        <v>0.64683903605157411</v>
      </c>
      <c r="K41" s="36">
        <f t="shared" si="4"/>
        <v>0.52189250088258554</v>
      </c>
      <c r="L41" s="36">
        <f t="shared" si="4"/>
        <v>0.42195538665060278</v>
      </c>
      <c r="M41" s="36">
        <f t="shared" si="4"/>
        <v>0.3418498710866219</v>
      </c>
      <c r="N41" s="36">
        <f t="shared" si="4"/>
        <v>0.27750509690822728</v>
      </c>
    </row>
    <row r="42" spans="8:14" ht="15.75" thickBot="1" x14ac:dyDescent="0.3">
      <c r="H42" s="35">
        <v>23</v>
      </c>
      <c r="I42" s="36">
        <f t="shared" si="4"/>
        <v>0.79544178869795856</v>
      </c>
      <c r="J42" s="36">
        <f t="shared" si="4"/>
        <v>0.63415591769762181</v>
      </c>
      <c r="K42" s="36">
        <f t="shared" si="4"/>
        <v>0.50669174842969467</v>
      </c>
      <c r="L42" s="36">
        <f t="shared" si="4"/>
        <v>0.40572633331788732</v>
      </c>
      <c r="M42" s="36">
        <f t="shared" si="4"/>
        <v>0.32557130579678267</v>
      </c>
      <c r="N42" s="36">
        <f t="shared" si="4"/>
        <v>0.26179726123417668</v>
      </c>
    </row>
    <row r="43" spans="8:14" ht="15.75" thickBot="1" x14ac:dyDescent="0.3">
      <c r="H43" s="35">
        <v>24</v>
      </c>
      <c r="I43" s="36">
        <f t="shared" si="4"/>
        <v>0.78756612742372123</v>
      </c>
      <c r="J43" s="36">
        <f t="shared" si="4"/>
        <v>0.62172148793884485</v>
      </c>
      <c r="K43" s="36">
        <f t="shared" si="4"/>
        <v>0.49193373633950943</v>
      </c>
      <c r="L43" s="36">
        <f t="shared" si="4"/>
        <v>0.39012147434412242</v>
      </c>
      <c r="M43" s="36">
        <f t="shared" si="4"/>
        <v>0.31006791028265024</v>
      </c>
      <c r="N43" s="36">
        <f t="shared" si="4"/>
        <v>0.24697854833412897</v>
      </c>
    </row>
    <row r="45" spans="8:14" ht="24" x14ac:dyDescent="0.25">
      <c r="N45" s="37" t="s">
        <v>22</v>
      </c>
    </row>
    <row r="49" spans="3:19" ht="15.75" thickBot="1" x14ac:dyDescent="0.3">
      <c r="C49" s="58" t="s">
        <v>23</v>
      </c>
      <c r="D49" s="58"/>
      <c r="E49" s="58"/>
      <c r="F49" s="58"/>
      <c r="G49" s="58"/>
      <c r="H49" s="58"/>
      <c r="I49" s="58"/>
      <c r="M49" t="s">
        <v>49</v>
      </c>
      <c r="N49">
        <v>4</v>
      </c>
      <c r="O49" t="s">
        <v>50</v>
      </c>
      <c r="P49">
        <v>2</v>
      </c>
    </row>
    <row r="50" spans="3:19" ht="51.75" thickBot="1" x14ac:dyDescent="0.3">
      <c r="C50" s="59" t="s">
        <v>37</v>
      </c>
      <c r="D50" s="60"/>
      <c r="E50" s="59" t="s">
        <v>38</v>
      </c>
      <c r="F50" s="60"/>
      <c r="G50" s="47" t="s">
        <v>39</v>
      </c>
      <c r="H50" s="59" t="s">
        <v>40</v>
      </c>
      <c r="I50" s="60"/>
      <c r="M50" s="54" t="s">
        <v>15</v>
      </c>
      <c r="N50" s="54" t="s">
        <v>1</v>
      </c>
      <c r="O50" s="54" t="s">
        <v>2</v>
      </c>
      <c r="P50" s="56"/>
      <c r="Q50" s="54" t="s">
        <v>48</v>
      </c>
    </row>
    <row r="51" spans="3:19" ht="15.75" thickBot="1" x14ac:dyDescent="0.3">
      <c r="C51" s="63">
        <v>0.1</v>
      </c>
      <c r="D51" s="64"/>
      <c r="E51" s="49" t="s">
        <v>41</v>
      </c>
      <c r="F51" s="50"/>
      <c r="G51" s="30">
        <v>1</v>
      </c>
      <c r="H51" s="62">
        <v>1</v>
      </c>
      <c r="I51" s="53"/>
      <c r="M51" s="55"/>
      <c r="N51" s="55"/>
      <c r="O51" s="55"/>
      <c r="P51" s="57"/>
      <c r="Q51" s="55"/>
      <c r="R51" s="8"/>
    </row>
    <row r="52" spans="3:19" ht="48" thickBot="1" x14ac:dyDescent="0.3">
      <c r="C52" s="63">
        <v>0.05</v>
      </c>
      <c r="D52" s="64"/>
      <c r="E52" s="49" t="s">
        <v>41</v>
      </c>
      <c r="F52" s="50"/>
      <c r="G52" s="30">
        <v>1</v>
      </c>
      <c r="H52" s="62">
        <v>1</v>
      </c>
      <c r="I52" s="53"/>
      <c r="M52" s="15">
        <v>500000000</v>
      </c>
      <c r="N52" s="5">
        <v>0.8</v>
      </c>
      <c r="O52" s="6">
        <v>2</v>
      </c>
      <c r="P52" s="6"/>
      <c r="Q52" s="19">
        <f>PMT(EFFECT(N52/2,2),2*O52,0,-M52,0)</f>
        <v>66670364.64955923</v>
      </c>
      <c r="R52" s="82"/>
    </row>
    <row r="53" spans="3:19" ht="16.5" thickBot="1" x14ac:dyDescent="0.3">
      <c r="C53" s="63">
        <v>0.04</v>
      </c>
      <c r="D53" s="64"/>
      <c r="E53" s="49" t="s">
        <v>41</v>
      </c>
      <c r="F53" s="50"/>
      <c r="G53" s="30">
        <v>1</v>
      </c>
      <c r="H53" s="62">
        <v>1</v>
      </c>
      <c r="I53" s="53"/>
      <c r="M53" s="15">
        <v>50000000</v>
      </c>
      <c r="N53" s="5">
        <v>0.75</v>
      </c>
      <c r="O53" s="6">
        <v>5</v>
      </c>
      <c r="P53" s="6"/>
      <c r="Q53" s="19">
        <f t="shared" ref="Q53:Q59" si="8">PMT(EFFECT(N53/2,2),2*O53,0,-M53,0)</f>
        <v>681465.36850183213</v>
      </c>
      <c r="R53" s="82"/>
    </row>
    <row r="54" spans="3:19" ht="16.5" thickBot="1" x14ac:dyDescent="0.3">
      <c r="C54" s="65"/>
      <c r="D54" s="65"/>
      <c r="E54" s="65"/>
      <c r="F54" s="65"/>
      <c r="G54" s="27"/>
      <c r="H54" s="65"/>
      <c r="I54" s="65"/>
      <c r="M54" s="15">
        <v>300000000</v>
      </c>
      <c r="N54" s="5">
        <v>0.8</v>
      </c>
      <c r="O54" s="6">
        <v>3</v>
      </c>
      <c r="P54" s="6"/>
      <c r="Q54" s="19">
        <f t="shared" si="8"/>
        <v>16674876.836496046</v>
      </c>
      <c r="R54" s="82"/>
      <c r="S54" s="8"/>
    </row>
    <row r="55" spans="3:19" ht="16.5" thickBot="1" x14ac:dyDescent="0.3">
      <c r="C55" s="58" t="s">
        <v>42</v>
      </c>
      <c r="D55" s="58"/>
      <c r="E55" s="58"/>
      <c r="F55" s="58"/>
      <c r="G55" s="58"/>
      <c r="H55" s="58"/>
      <c r="I55" s="41"/>
      <c r="M55" s="15">
        <v>30000000</v>
      </c>
      <c r="N55" s="5">
        <v>0.75</v>
      </c>
      <c r="O55" s="6">
        <v>5</v>
      </c>
      <c r="P55" s="6"/>
      <c r="Q55" s="19">
        <f t="shared" si="8"/>
        <v>408879.22110110021</v>
      </c>
      <c r="R55" s="82"/>
      <c r="S55" s="8"/>
    </row>
    <row r="56" spans="3:19" ht="39" thickBot="1" x14ac:dyDescent="0.3">
      <c r="C56" s="40" t="s">
        <v>43</v>
      </c>
      <c r="D56" s="59" t="s">
        <v>44</v>
      </c>
      <c r="E56" s="60"/>
      <c r="F56" s="59" t="s">
        <v>45</v>
      </c>
      <c r="G56" s="61"/>
      <c r="H56" s="60"/>
      <c r="I56" s="41"/>
      <c r="M56" s="15">
        <v>200000000</v>
      </c>
      <c r="N56" s="5">
        <v>0.8</v>
      </c>
      <c r="O56" s="6">
        <v>4</v>
      </c>
      <c r="P56" s="6"/>
      <c r="Q56" s="19">
        <f t="shared" si="8"/>
        <v>5031899.4148476515</v>
      </c>
      <c r="R56" s="82"/>
      <c r="S56" s="8"/>
    </row>
    <row r="57" spans="3:19" ht="16.5" thickBot="1" x14ac:dyDescent="0.3">
      <c r="C57" s="29">
        <v>5</v>
      </c>
      <c r="D57" s="62">
        <v>6105.1</v>
      </c>
      <c r="E57" s="53"/>
      <c r="F57" s="51">
        <f>FV(C51,C57,-1000,0,0)</f>
        <v>6105.1000000000058</v>
      </c>
      <c r="G57" s="52"/>
      <c r="H57" s="53"/>
      <c r="I57" s="41"/>
      <c r="M57" s="15">
        <v>20000000</v>
      </c>
      <c r="N57" s="5">
        <v>0.75</v>
      </c>
      <c r="O57" s="6">
        <v>5</v>
      </c>
      <c r="P57" s="6"/>
      <c r="Q57" s="19">
        <f t="shared" si="8"/>
        <v>272586.14740073343</v>
      </c>
      <c r="R57" s="82"/>
      <c r="S57" s="8"/>
    </row>
    <row r="58" spans="3:19" ht="16.5" thickBot="1" x14ac:dyDescent="0.3">
      <c r="C58" s="29">
        <v>5</v>
      </c>
      <c r="D58" s="49" t="s">
        <v>46</v>
      </c>
      <c r="E58" s="50"/>
      <c r="F58" s="51">
        <f>FV(C52,C58,-1000,-F57,0)</f>
        <v>13317.457817218761</v>
      </c>
      <c r="G58" s="52"/>
      <c r="H58" s="53"/>
      <c r="I58" s="41"/>
      <c r="M58" s="15">
        <v>100000000</v>
      </c>
      <c r="N58" s="5">
        <v>0.8</v>
      </c>
      <c r="O58" s="6">
        <v>5</v>
      </c>
      <c r="P58" s="6"/>
      <c r="Q58" s="19">
        <f t="shared" si="8"/>
        <v>1178436.752469406</v>
      </c>
      <c r="R58" s="82"/>
    </row>
    <row r="59" spans="3:19" ht="16.5" thickBot="1" x14ac:dyDescent="0.3">
      <c r="C59" s="29">
        <v>6</v>
      </c>
      <c r="D59" s="49" t="s">
        <v>47</v>
      </c>
      <c r="E59" s="50"/>
      <c r="F59" s="51">
        <f>FV(C53,C59,-1000,-F58,0)</f>
        <v>23483.80811654514</v>
      </c>
      <c r="G59" s="52"/>
      <c r="H59" s="53"/>
      <c r="I59" s="41"/>
      <c r="M59" s="15">
        <v>10000000</v>
      </c>
      <c r="N59" s="5">
        <v>0.75</v>
      </c>
      <c r="O59" s="6">
        <v>5</v>
      </c>
      <c r="P59" s="6" t="s">
        <v>56</v>
      </c>
      <c r="Q59" s="19">
        <f t="shared" si="8"/>
        <v>136293.07370036672</v>
      </c>
      <c r="R59" s="82"/>
    </row>
    <row r="68" spans="3:17" ht="15.75" thickBot="1" x14ac:dyDescent="0.3"/>
    <row r="69" spans="3:17" ht="15.75" thickBot="1" x14ac:dyDescent="0.3">
      <c r="C69" s="74" t="s">
        <v>23</v>
      </c>
      <c r="D69" s="75"/>
      <c r="E69" s="75"/>
      <c r="F69" s="75"/>
      <c r="G69" s="75"/>
      <c r="H69" s="75"/>
      <c r="I69" s="76"/>
    </row>
    <row r="70" spans="3:17" ht="26.25" customHeight="1" thickBot="1" x14ac:dyDescent="0.3">
      <c r="C70" s="38" t="s">
        <v>24</v>
      </c>
      <c r="D70" s="84" t="s">
        <v>57</v>
      </c>
      <c r="E70" s="85"/>
      <c r="F70" s="66" t="s">
        <v>26</v>
      </c>
      <c r="G70" s="67"/>
      <c r="H70" s="66" t="s">
        <v>27</v>
      </c>
      <c r="I70" s="67"/>
      <c r="J70" s="8"/>
      <c r="M70" s="58" t="s">
        <v>23</v>
      </c>
      <c r="N70" s="58"/>
      <c r="O70" s="58"/>
      <c r="P70" s="58"/>
      <c r="Q70" s="83"/>
    </row>
    <row r="71" spans="3:17" ht="25.5" customHeight="1" thickBot="1" x14ac:dyDescent="0.3">
      <c r="C71" s="40"/>
      <c r="D71" s="86"/>
      <c r="E71" s="87"/>
      <c r="F71" s="59"/>
      <c r="G71" s="60"/>
      <c r="H71" s="66" t="s">
        <v>28</v>
      </c>
      <c r="I71" s="67"/>
      <c r="J71" s="8"/>
      <c r="M71" s="38" t="s">
        <v>0</v>
      </c>
      <c r="N71" s="74" t="s">
        <v>1</v>
      </c>
      <c r="O71" s="75"/>
      <c r="P71" s="88"/>
      <c r="Q71" s="96" t="s">
        <v>7</v>
      </c>
    </row>
    <row r="72" spans="3:17" ht="15.75" thickBot="1" x14ac:dyDescent="0.3">
      <c r="C72" s="42">
        <v>0.1</v>
      </c>
      <c r="D72" s="92">
        <v>50000</v>
      </c>
      <c r="E72" s="93"/>
      <c r="F72" s="62">
        <v>4</v>
      </c>
      <c r="G72" s="53"/>
      <c r="H72" s="74">
        <v>0</v>
      </c>
      <c r="I72" s="88"/>
      <c r="J72" s="8"/>
      <c r="M72" s="94">
        <v>10000</v>
      </c>
      <c r="N72" s="63">
        <v>0.05</v>
      </c>
      <c r="O72" s="97"/>
      <c r="P72" s="64"/>
      <c r="Q72" s="30">
        <v>1</v>
      </c>
    </row>
    <row r="73" spans="3:17" ht="15.75" thickBot="1" x14ac:dyDescent="0.3">
      <c r="C73" s="42">
        <v>0.1</v>
      </c>
      <c r="D73" s="92">
        <v>50000</v>
      </c>
      <c r="E73" s="93"/>
      <c r="F73" s="62">
        <v>4</v>
      </c>
      <c r="G73" s="53"/>
      <c r="H73" s="74">
        <v>1</v>
      </c>
      <c r="I73" s="88"/>
      <c r="M73" s="91" t="s">
        <v>62</v>
      </c>
      <c r="N73" s="91"/>
      <c r="O73" s="91"/>
      <c r="P73" s="91"/>
      <c r="Q73" s="91"/>
    </row>
    <row r="74" spans="3:17" ht="51.75" thickBot="1" x14ac:dyDescent="0.3">
      <c r="C74" s="27"/>
      <c r="D74" s="75" t="s">
        <v>58</v>
      </c>
      <c r="E74" s="75"/>
      <c r="F74" s="75"/>
      <c r="G74" s="75"/>
      <c r="H74" s="75"/>
      <c r="I74" s="75"/>
      <c r="M74" s="59" t="s">
        <v>63</v>
      </c>
      <c r="N74" s="60"/>
      <c r="O74" s="48" t="s">
        <v>64</v>
      </c>
      <c r="P74" s="59" t="s">
        <v>65</v>
      </c>
      <c r="Q74" s="60"/>
    </row>
    <row r="75" spans="3:17" ht="15.75" thickBot="1" x14ac:dyDescent="0.3">
      <c r="C75" s="89" t="s">
        <v>59</v>
      </c>
      <c r="D75" s="66" t="s">
        <v>31</v>
      </c>
      <c r="E75" s="91"/>
      <c r="F75" s="67"/>
      <c r="G75" s="66" t="s">
        <v>32</v>
      </c>
      <c r="H75" s="91"/>
      <c r="I75" s="67"/>
      <c r="M75" s="49" t="s">
        <v>15</v>
      </c>
      <c r="N75" s="50"/>
      <c r="O75" s="26" t="s">
        <v>2</v>
      </c>
      <c r="P75" s="49" t="s">
        <v>2</v>
      </c>
      <c r="Q75" s="50"/>
    </row>
    <row r="76" spans="3:17" ht="15.75" thickBot="1" x14ac:dyDescent="0.3">
      <c r="C76" s="90"/>
      <c r="D76" s="26" t="s">
        <v>33</v>
      </c>
      <c r="E76" s="49" t="s">
        <v>34</v>
      </c>
      <c r="F76" s="50"/>
      <c r="G76" s="49" t="s">
        <v>33</v>
      </c>
      <c r="H76" s="50"/>
      <c r="I76" s="26" t="s">
        <v>34</v>
      </c>
      <c r="M76" s="92">
        <v>12762.82</v>
      </c>
      <c r="N76" s="93"/>
      <c r="O76" s="30">
        <f>NPER(5%,0,-$M$72,M76,0)</f>
        <v>5.0000070258554121</v>
      </c>
      <c r="P76" s="62">
        <f>LOG(M76/$M$72)/((LOG(100%+$N$72/$Q$72))*$Q$72)</f>
        <v>5.0000070258554086</v>
      </c>
      <c r="Q76" s="53"/>
    </row>
    <row r="77" spans="3:17" ht="15.75" thickBot="1" x14ac:dyDescent="0.3">
      <c r="C77" s="94">
        <v>10000</v>
      </c>
      <c r="D77" s="44">
        <f>FV($C$72,$F$72,-C77,-$D$72,$H$72)</f>
        <v>119615.00000000006</v>
      </c>
      <c r="E77" s="62" t="s">
        <v>60</v>
      </c>
      <c r="F77" s="53"/>
      <c r="G77" s="95">
        <f>FV($C$73,$F$73,-C77,-$D$73,$H$73)</f>
        <v>124256.00000000006</v>
      </c>
      <c r="H77" s="50"/>
      <c r="I77" s="30" t="s">
        <v>61</v>
      </c>
      <c r="M77" s="92">
        <v>15000</v>
      </c>
      <c r="N77" s="93"/>
      <c r="O77" s="30">
        <f t="shared" ref="O77:O81" si="9">NPER(5%,0,-$M$72,M77,0)</f>
        <v>8.3103862225205596</v>
      </c>
      <c r="P77" s="62">
        <f>LOG(M77/$M$72)/((LOG(100%+$N$72/$Q$72))*$Q$72)</f>
        <v>8.3103862225205596</v>
      </c>
      <c r="Q77" s="53"/>
    </row>
    <row r="78" spans="3:17" ht="15.75" thickBot="1" x14ac:dyDescent="0.3">
      <c r="C78" s="94">
        <v>20000</v>
      </c>
      <c r="D78" s="44">
        <f t="shared" ref="D78:D80" si="10">FV($C$72,$F$72,-C78,-$D$72,$H$72)</f>
        <v>166025.00000000009</v>
      </c>
      <c r="E78" s="49"/>
      <c r="F78" s="50"/>
      <c r="G78" s="95">
        <f t="shared" ref="G78:G80" si="11">FV($C$73,$F$73,-C78,-$D$73,$H$73)</f>
        <v>175307.00000000012</v>
      </c>
      <c r="H78" s="50"/>
      <c r="I78" s="26"/>
      <c r="M78" s="92">
        <v>17237.18</v>
      </c>
      <c r="N78" s="93"/>
      <c r="O78" s="30">
        <f t="shared" si="9"/>
        <v>11.159699809275237</v>
      </c>
      <c r="P78" s="62">
        <f t="shared" ref="P78:P81" si="12">LOG(M78/$M$72)/((LOG(100%+$N$72/$Q$72))*$Q$72)</f>
        <v>11.159699809275235</v>
      </c>
      <c r="Q78" s="53"/>
    </row>
    <row r="79" spans="3:17" ht="15.75" thickBot="1" x14ac:dyDescent="0.3">
      <c r="C79" s="94">
        <v>5000</v>
      </c>
      <c r="D79" s="44">
        <f t="shared" si="10"/>
        <v>96410.000000000029</v>
      </c>
      <c r="E79" s="49"/>
      <c r="F79" s="50"/>
      <c r="G79" s="95">
        <f t="shared" si="11"/>
        <v>98730.500000000029</v>
      </c>
      <c r="H79" s="50"/>
      <c r="I79" s="26"/>
      <c r="M79" s="92">
        <v>19474.36</v>
      </c>
      <c r="N79" s="93"/>
      <c r="O79" s="30">
        <f t="shared" si="9"/>
        <v>13.660819694391298</v>
      </c>
      <c r="P79" s="62">
        <f t="shared" si="12"/>
        <v>13.660819694391297</v>
      </c>
      <c r="Q79" s="53"/>
    </row>
    <row r="80" spans="3:17" ht="15.75" thickBot="1" x14ac:dyDescent="0.3">
      <c r="C80" s="94">
        <v>1000</v>
      </c>
      <c r="D80" s="44">
        <f t="shared" si="10"/>
        <v>77846.000000000015</v>
      </c>
      <c r="E80" s="49"/>
      <c r="F80" s="50"/>
      <c r="G80" s="95">
        <f t="shared" si="11"/>
        <v>78310.10000000002</v>
      </c>
      <c r="H80" s="50"/>
      <c r="I80" s="26"/>
      <c r="M80" s="92">
        <v>21711.54</v>
      </c>
      <c r="N80" s="93"/>
      <c r="O80" s="30">
        <f t="shared" si="9"/>
        <v>15.889653921662104</v>
      </c>
      <c r="P80" s="62">
        <f t="shared" si="12"/>
        <v>15.889653921662106</v>
      </c>
      <c r="Q80" s="53"/>
    </row>
    <row r="81" spans="3:17" ht="15.75" thickBot="1" x14ac:dyDescent="0.3">
      <c r="M81" s="92">
        <v>23948.720000000001</v>
      </c>
      <c r="N81" s="93"/>
      <c r="O81" s="30">
        <f t="shared" si="9"/>
        <v>17.899709903116282</v>
      </c>
      <c r="P81" s="62">
        <f t="shared" si="12"/>
        <v>17.899709903116282</v>
      </c>
      <c r="Q81" s="53"/>
    </row>
    <row r="82" spans="3:17" x14ac:dyDescent="0.25">
      <c r="M82" s="8"/>
    </row>
    <row r="84" spans="3:17" ht="15.75" thickBot="1" x14ac:dyDescent="0.3"/>
    <row r="85" spans="3:17" ht="15.75" thickBot="1" x14ac:dyDescent="0.3">
      <c r="C85" s="58" t="s">
        <v>23</v>
      </c>
      <c r="D85" s="58"/>
      <c r="E85" s="58"/>
      <c r="F85" s="83"/>
      <c r="K85" s="74" t="s">
        <v>71</v>
      </c>
      <c r="L85" s="75"/>
      <c r="M85" s="88"/>
      <c r="N85" s="100">
        <v>0.1211</v>
      </c>
    </row>
    <row r="86" spans="3:17" ht="39" thickBot="1" x14ac:dyDescent="0.3">
      <c r="C86" s="59" t="s">
        <v>66</v>
      </c>
      <c r="D86" s="60"/>
      <c r="E86" s="47" t="s">
        <v>67</v>
      </c>
      <c r="F86" s="27"/>
      <c r="K86" s="27"/>
      <c r="L86" s="27"/>
      <c r="M86" s="27"/>
      <c r="N86" s="27"/>
    </row>
    <row r="87" spans="3:17" ht="86.25" customHeight="1" thickBot="1" x14ac:dyDescent="0.3">
      <c r="C87" s="49" t="s">
        <v>68</v>
      </c>
      <c r="D87" s="50"/>
      <c r="E87" s="26" t="s">
        <v>1</v>
      </c>
      <c r="F87" s="27"/>
      <c r="K87" s="89" t="s">
        <v>72</v>
      </c>
      <c r="L87" s="89" t="s">
        <v>73</v>
      </c>
      <c r="M87" s="66" t="s">
        <v>74</v>
      </c>
      <c r="N87" s="67"/>
    </row>
    <row r="88" spans="3:17" ht="15.75" customHeight="1" thickBot="1" x14ac:dyDescent="0.3">
      <c r="C88" s="92">
        <v>16000000</v>
      </c>
      <c r="D88" s="93"/>
      <c r="E88" s="98">
        <v>0.1118</v>
      </c>
      <c r="F88" s="27"/>
      <c r="K88" s="102"/>
      <c r="L88" s="102"/>
      <c r="M88" s="26" t="s">
        <v>75</v>
      </c>
      <c r="N88" s="26" t="s">
        <v>76</v>
      </c>
    </row>
    <row r="89" spans="3:17" ht="15.75" thickBot="1" x14ac:dyDescent="0.3">
      <c r="C89" s="65"/>
      <c r="D89" s="65"/>
      <c r="E89" s="27"/>
      <c r="F89" s="27"/>
      <c r="K89" s="104">
        <v>33000000</v>
      </c>
      <c r="L89" s="106">
        <v>100000000</v>
      </c>
      <c r="M89" s="101"/>
      <c r="N89" s="101">
        <f>NPER($N$85,K89,-L89,0,0)</f>
        <v>3.9999615186920114</v>
      </c>
      <c r="O89" s="101">
        <v>3.9999615190000002</v>
      </c>
      <c r="P89" s="101">
        <v>4</v>
      </c>
    </row>
    <row r="90" spans="3:17" ht="15.75" thickBot="1" x14ac:dyDescent="0.3">
      <c r="C90" s="99" t="s">
        <v>62</v>
      </c>
      <c r="D90" s="99"/>
      <c r="E90" s="99"/>
      <c r="F90" s="99"/>
      <c r="K90" s="104">
        <v>45000000</v>
      </c>
      <c r="L90" s="106">
        <v>120000000</v>
      </c>
      <c r="M90" s="101"/>
      <c r="N90" s="101">
        <f t="shared" ref="N90:N104" si="13">NPER($N$85,K90,-L90,0,0)</f>
        <v>3.4116381438869623</v>
      </c>
    </row>
    <row r="91" spans="3:17" s="17" customFormat="1" ht="43.5" customHeight="1" thickBot="1" x14ac:dyDescent="0.3">
      <c r="C91" s="43" t="s">
        <v>69</v>
      </c>
      <c r="D91" s="59" t="s">
        <v>64</v>
      </c>
      <c r="E91" s="60"/>
      <c r="F91" s="48" t="s">
        <v>70</v>
      </c>
      <c r="K91" s="105">
        <v>57000000</v>
      </c>
      <c r="L91" s="107">
        <v>140000000</v>
      </c>
      <c r="M91" s="103"/>
      <c r="N91" s="101">
        <f t="shared" si="13"/>
        <v>3.0882810372754705</v>
      </c>
    </row>
    <row r="92" spans="3:17" ht="15.75" thickBot="1" x14ac:dyDescent="0.3">
      <c r="C92" s="31" t="s">
        <v>15</v>
      </c>
      <c r="D92" s="49" t="s">
        <v>2</v>
      </c>
      <c r="E92" s="50"/>
      <c r="F92" s="26" t="s">
        <v>2</v>
      </c>
      <c r="K92" s="104">
        <v>69000000</v>
      </c>
      <c r="L92" s="106">
        <v>160000000</v>
      </c>
      <c r="M92" s="101"/>
      <c r="N92" s="101">
        <f t="shared" si="13"/>
        <v>2.8836577610818424</v>
      </c>
    </row>
    <row r="93" spans="3:17" ht="15.75" thickBot="1" x14ac:dyDescent="0.3">
      <c r="C93" s="94">
        <v>100000000</v>
      </c>
      <c r="D93" s="62"/>
      <c r="E93" s="53"/>
      <c r="F93" s="30">
        <f>NPER($E$88,$C$88,0,-C93,0)</f>
        <v>4.9999157277252486</v>
      </c>
      <c r="K93" s="104">
        <v>81000000</v>
      </c>
      <c r="L93" s="106">
        <v>180000000</v>
      </c>
      <c r="M93" s="101"/>
      <c r="N93" s="101">
        <f t="shared" si="13"/>
        <v>2.7424799246326188</v>
      </c>
    </row>
    <row r="94" spans="3:17" ht="15.75" thickBot="1" x14ac:dyDescent="0.3">
      <c r="C94" s="94">
        <v>200000000</v>
      </c>
      <c r="D94" s="62"/>
      <c r="E94" s="53"/>
      <c r="F94" s="30">
        <f t="shared" ref="F94:F98" si="14">NPER($E$88,$C$88,0,-C94,0)</f>
        <v>8.2508384442538656</v>
      </c>
      <c r="K94" s="104">
        <v>93000000</v>
      </c>
      <c r="L94" s="106">
        <v>200000000</v>
      </c>
      <c r="M94" s="101"/>
      <c r="N94" s="101">
        <f t="shared" si="13"/>
        <v>2.6391879496271948</v>
      </c>
    </row>
    <row r="95" spans="3:17" ht="15.75" thickBot="1" x14ac:dyDescent="0.3">
      <c r="C95" s="94">
        <v>300000000</v>
      </c>
      <c r="D95" s="62"/>
      <c r="E95" s="53"/>
      <c r="F95" s="30">
        <f t="shared" si="14"/>
        <v>10.664165423352237</v>
      </c>
      <c r="K95" s="104">
        <v>105000000</v>
      </c>
      <c r="L95" s="106">
        <v>220000000</v>
      </c>
      <c r="M95" s="101"/>
      <c r="N95" s="101">
        <f t="shared" si="13"/>
        <v>2.560330629904767</v>
      </c>
    </row>
    <row r="96" spans="3:17" ht="15.75" thickBot="1" x14ac:dyDescent="0.3">
      <c r="C96" s="94">
        <v>400000000</v>
      </c>
      <c r="D96" s="62"/>
      <c r="E96" s="53"/>
      <c r="F96" s="30">
        <f t="shared" si="14"/>
        <v>12.584264383558486</v>
      </c>
      <c r="K96" s="104">
        <v>117000000</v>
      </c>
      <c r="L96" s="106">
        <v>240000000</v>
      </c>
      <c r="M96" s="101"/>
      <c r="N96" s="101">
        <f t="shared" si="13"/>
        <v>2.4981523299275761</v>
      </c>
    </row>
    <row r="97" spans="3:16" ht="15.75" thickBot="1" x14ac:dyDescent="0.3">
      <c r="C97" s="94">
        <v>500000000</v>
      </c>
      <c r="D97" s="62"/>
      <c r="E97" s="53"/>
      <c r="F97" s="30">
        <f t="shared" si="14"/>
        <v>14.178929562894858</v>
      </c>
      <c r="K97" s="104">
        <v>129000000</v>
      </c>
      <c r="L97" s="106">
        <v>260000000</v>
      </c>
      <c r="M97" s="101"/>
      <c r="N97" s="101">
        <f t="shared" si="13"/>
        <v>2.4478663242610024</v>
      </c>
    </row>
    <row r="98" spans="3:16" ht="15.75" thickBot="1" x14ac:dyDescent="0.3">
      <c r="C98" s="94">
        <v>600000000</v>
      </c>
      <c r="D98" s="62">
        <v>15.542651899999999</v>
      </c>
      <c r="E98" s="53"/>
      <c r="F98" s="30">
        <f t="shared" si="14"/>
        <v>15.542651897919965</v>
      </c>
      <c r="K98" s="104">
        <v>141000000</v>
      </c>
      <c r="L98" s="106">
        <v>280000000</v>
      </c>
      <c r="M98" s="101"/>
      <c r="N98" s="101">
        <f t="shared" si="13"/>
        <v>2.4063579672198867</v>
      </c>
    </row>
    <row r="99" spans="3:16" ht="15.75" thickBot="1" x14ac:dyDescent="0.3">
      <c r="K99" s="104">
        <v>153000000</v>
      </c>
      <c r="L99" s="106">
        <v>300000000</v>
      </c>
      <c r="M99" s="101"/>
      <c r="N99" s="101">
        <f t="shared" si="13"/>
        <v>2.3715131098976614</v>
      </c>
    </row>
    <row r="100" spans="3:16" ht="15.75" thickBot="1" x14ac:dyDescent="0.3">
      <c r="K100" s="104">
        <v>165000000</v>
      </c>
      <c r="L100" s="106">
        <v>320000000</v>
      </c>
      <c r="M100" s="101"/>
      <c r="N100" s="101">
        <f t="shared" si="13"/>
        <v>2.341846179341283</v>
      </c>
    </row>
    <row r="101" spans="3:16" ht="15.75" thickBot="1" x14ac:dyDescent="0.3">
      <c r="K101" s="104">
        <v>177000000</v>
      </c>
      <c r="L101" s="106">
        <v>340000000</v>
      </c>
      <c r="M101" s="101"/>
      <c r="N101" s="101">
        <f t="shared" si="13"/>
        <v>2.3162827040829623</v>
      </c>
    </row>
    <row r="102" spans="3:16" ht="15.75" thickBot="1" x14ac:dyDescent="0.3">
      <c r="K102" s="104">
        <v>189000000</v>
      </c>
      <c r="L102" s="106">
        <v>360000000</v>
      </c>
      <c r="M102" s="101"/>
      <c r="N102" s="101">
        <f t="shared" si="13"/>
        <v>2.2940262958811388</v>
      </c>
    </row>
    <row r="103" spans="3:16" ht="15.75" thickBot="1" x14ac:dyDescent="0.3">
      <c r="K103" s="104">
        <v>201000000</v>
      </c>
      <c r="L103" s="106">
        <v>380000000</v>
      </c>
      <c r="M103" s="101"/>
      <c r="N103" s="101">
        <f t="shared" si="13"/>
        <v>2.2744741452542629</v>
      </c>
    </row>
    <row r="104" spans="3:16" ht="15.75" thickBot="1" x14ac:dyDescent="0.3">
      <c r="K104" s="104">
        <v>213000000</v>
      </c>
      <c r="L104" s="106">
        <v>400000000</v>
      </c>
      <c r="M104" s="101"/>
      <c r="N104" s="101">
        <f t="shared" si="13"/>
        <v>2.2571615692973097</v>
      </c>
      <c r="O104" s="101">
        <v>2.257161569</v>
      </c>
      <c r="P104" s="101">
        <v>2.2599999999999998</v>
      </c>
    </row>
    <row r="109" spans="3:16" x14ac:dyDescent="0.25">
      <c r="C109" s="81" t="s">
        <v>77</v>
      </c>
      <c r="D109" s="81"/>
      <c r="E109" s="81"/>
      <c r="F109" s="81"/>
      <c r="G109" s="81"/>
      <c r="H109" s="81"/>
      <c r="J109" s="81" t="s">
        <v>78</v>
      </c>
      <c r="K109" s="81"/>
      <c r="L109" s="81"/>
      <c r="M109" s="81"/>
      <c r="N109" s="81"/>
      <c r="O109" s="81"/>
      <c r="P109" s="81"/>
    </row>
    <row r="110" spans="3:16" x14ac:dyDescent="0.25">
      <c r="C110" s="81"/>
      <c r="D110" s="81"/>
      <c r="E110" s="81"/>
      <c r="F110" s="81"/>
      <c r="G110" s="81"/>
      <c r="H110" s="81"/>
      <c r="J110" s="81"/>
      <c r="K110" s="81"/>
      <c r="L110" s="81"/>
      <c r="M110" s="81"/>
      <c r="N110" s="81"/>
      <c r="O110" s="81"/>
      <c r="P110" s="81"/>
    </row>
    <row r="111" spans="3:16" x14ac:dyDescent="0.25">
      <c r="C111" s="81"/>
      <c r="D111" s="81"/>
      <c r="E111" s="81"/>
      <c r="F111" s="81"/>
      <c r="G111" s="81"/>
      <c r="H111" s="81"/>
      <c r="J111" s="81"/>
      <c r="K111" s="81"/>
      <c r="L111" s="81"/>
      <c r="M111" s="81"/>
      <c r="N111" s="81"/>
      <c r="O111" s="81"/>
      <c r="P111" s="81"/>
    </row>
    <row r="112" spans="3:16" x14ac:dyDescent="0.25">
      <c r="C112" s="81"/>
      <c r="D112" s="81"/>
      <c r="E112" s="81"/>
      <c r="F112" s="81"/>
      <c r="G112" s="81"/>
      <c r="H112" s="81"/>
      <c r="J112" s="81"/>
      <c r="K112" s="81"/>
      <c r="L112" s="81"/>
      <c r="M112" s="81"/>
      <c r="N112" s="81"/>
      <c r="O112" s="81"/>
      <c r="P112" s="81"/>
    </row>
    <row r="113" spans="3:16" x14ac:dyDescent="0.25">
      <c r="C113" s="81"/>
      <c r="D113" s="81"/>
      <c r="E113" s="81"/>
      <c r="F113" s="81"/>
      <c r="G113" s="81"/>
      <c r="H113" s="81"/>
      <c r="J113" s="81"/>
      <c r="K113" s="81"/>
      <c r="L113" s="81"/>
      <c r="M113" s="81"/>
      <c r="N113" s="81"/>
      <c r="O113" s="81"/>
      <c r="P113" s="81"/>
    </row>
    <row r="115" spans="3:16" x14ac:dyDescent="0.25">
      <c r="C115" s="109">
        <f>100*1.1*1.2*1.2*1.25*1.25*1.25</f>
        <v>309.375</v>
      </c>
      <c r="D115">
        <f>FVSCHEDULE(100,C116:C121)</f>
        <v>309.375</v>
      </c>
      <c r="L115" s="108">
        <v>1546.88</v>
      </c>
      <c r="M115" s="108">
        <f>1546.88/1.25/1.25/1.25/1.2/1.2/1.1</f>
        <v>500.00161616161631</v>
      </c>
    </row>
    <row r="116" spans="3:16" x14ac:dyDescent="0.25">
      <c r="C116" s="4">
        <v>0.1</v>
      </c>
      <c r="K116" s="4">
        <v>0.25</v>
      </c>
      <c r="L116" s="8">
        <f>PV(K116,1,0,-L115,0)</f>
        <v>1237.5040000000001</v>
      </c>
    </row>
    <row r="117" spans="3:16" x14ac:dyDescent="0.25">
      <c r="C117" s="4">
        <v>0.2</v>
      </c>
      <c r="K117" s="4">
        <v>0.25</v>
      </c>
      <c r="L117" s="8">
        <f t="shared" ref="L117:L121" si="15">PV(K117,1,0,-L116,0)</f>
        <v>990.00320000000011</v>
      </c>
    </row>
    <row r="118" spans="3:16" x14ac:dyDescent="0.25">
      <c r="C118" s="4">
        <v>0.2</v>
      </c>
      <c r="K118" s="4">
        <v>0.25</v>
      </c>
      <c r="L118" s="8">
        <f t="shared" si="15"/>
        <v>792.00256000000013</v>
      </c>
    </row>
    <row r="119" spans="3:16" x14ac:dyDescent="0.25">
      <c r="C119" s="4">
        <v>0.25</v>
      </c>
      <c r="K119" s="4">
        <v>0.2</v>
      </c>
      <c r="L119" s="8">
        <f t="shared" si="15"/>
        <v>660.00213333333352</v>
      </c>
    </row>
    <row r="120" spans="3:16" x14ac:dyDescent="0.25">
      <c r="C120" s="4">
        <v>0.25</v>
      </c>
      <c r="K120" s="4">
        <v>0.2</v>
      </c>
      <c r="L120" s="8">
        <f t="shared" si="15"/>
        <v>550.00177777777799</v>
      </c>
    </row>
    <row r="121" spans="3:16" x14ac:dyDescent="0.25">
      <c r="C121" s="4">
        <v>0.25</v>
      </c>
      <c r="K121" s="4">
        <v>0.1</v>
      </c>
      <c r="L121" s="8">
        <f t="shared" si="15"/>
        <v>500.00161616161631</v>
      </c>
    </row>
    <row r="122" spans="3:16" x14ac:dyDescent="0.25">
      <c r="C122" s="4"/>
      <c r="K122" s="4"/>
      <c r="L122" s="8"/>
    </row>
    <row r="123" spans="3:16" x14ac:dyDescent="0.25">
      <c r="C123" s="4"/>
      <c r="K123" s="4"/>
      <c r="L123" s="8"/>
    </row>
    <row r="124" spans="3:16" x14ac:dyDescent="0.25">
      <c r="C124" s="4"/>
      <c r="K124" s="4"/>
      <c r="L124" s="8"/>
    </row>
    <row r="125" spans="3:16" x14ac:dyDescent="0.25">
      <c r="C125" s="4"/>
      <c r="K125" s="4"/>
      <c r="L125" s="8"/>
    </row>
    <row r="126" spans="3:16" x14ac:dyDescent="0.25">
      <c r="C126" s="4"/>
      <c r="K126" s="4"/>
      <c r="L126" s="8"/>
    </row>
    <row r="127" spans="3:16" x14ac:dyDescent="0.25">
      <c r="C127" s="4"/>
      <c r="K127" s="4"/>
      <c r="L127" s="8"/>
    </row>
    <row r="128" spans="3:16" x14ac:dyDescent="0.25">
      <c r="C128" s="4"/>
      <c r="K128" s="4"/>
      <c r="L128" s="8"/>
    </row>
    <row r="129" spans="3:12" x14ac:dyDescent="0.25">
      <c r="C129" s="4"/>
      <c r="K129" s="4"/>
      <c r="L129" s="8"/>
    </row>
    <row r="130" spans="3:12" ht="15.75" thickBot="1" x14ac:dyDescent="0.3"/>
    <row r="131" spans="3:12" ht="16.5" thickBot="1" x14ac:dyDescent="0.3">
      <c r="C131" s="110" t="s">
        <v>79</v>
      </c>
      <c r="D131" s="111"/>
      <c r="E131" s="111"/>
      <c r="F131" s="112"/>
    </row>
    <row r="132" spans="3:12" ht="16.5" thickBot="1" x14ac:dyDescent="0.3">
      <c r="C132" s="15">
        <v>1</v>
      </c>
      <c r="D132" s="6">
        <v>2</v>
      </c>
      <c r="E132" s="6">
        <v>3</v>
      </c>
      <c r="F132" s="6">
        <v>4</v>
      </c>
    </row>
    <row r="133" spans="3:12" ht="16.5" thickBot="1" x14ac:dyDescent="0.3">
      <c r="C133" s="15">
        <f>0.2/4</f>
        <v>0.05</v>
      </c>
      <c r="D133" s="6">
        <f>0.18/4</f>
        <v>4.4999999999999998E-2</v>
      </c>
      <c r="E133" s="6">
        <f>0.17/4</f>
        <v>4.2500000000000003E-2</v>
      </c>
      <c r="F133" s="6">
        <f>0.15/4</f>
        <v>3.7499999999999999E-2</v>
      </c>
    </row>
    <row r="135" spans="3:12" x14ac:dyDescent="0.25">
      <c r="C135">
        <f>FVSCHEDULE(1000,C133:F133)</f>
        <v>1186.7787421875003</v>
      </c>
    </row>
  </sheetData>
  <mergeCells count="111">
    <mergeCell ref="C131:F131"/>
    <mergeCell ref="K85:M85"/>
    <mergeCell ref="K87:K88"/>
    <mergeCell ref="L87:L88"/>
    <mergeCell ref="M87:N87"/>
    <mergeCell ref="C109:H113"/>
    <mergeCell ref="J109:P113"/>
    <mergeCell ref="D95:E95"/>
    <mergeCell ref="D96:E96"/>
    <mergeCell ref="D97:E97"/>
    <mergeCell ref="D98:E98"/>
    <mergeCell ref="C90:F90"/>
    <mergeCell ref="D91:E91"/>
    <mergeCell ref="D92:E92"/>
    <mergeCell ref="D93:E93"/>
    <mergeCell ref="D94:E94"/>
    <mergeCell ref="C85:E85"/>
    <mergeCell ref="C86:D86"/>
    <mergeCell ref="C87:D87"/>
    <mergeCell ref="C88:D88"/>
    <mergeCell ref="C89:D89"/>
    <mergeCell ref="M79:N79"/>
    <mergeCell ref="P79:Q79"/>
    <mergeCell ref="M80:N80"/>
    <mergeCell ref="P80:Q80"/>
    <mergeCell ref="M81:N81"/>
    <mergeCell ref="P81:Q81"/>
    <mergeCell ref="E80:F80"/>
    <mergeCell ref="G80:H80"/>
    <mergeCell ref="M70:P70"/>
    <mergeCell ref="N71:P71"/>
    <mergeCell ref="N72:P72"/>
    <mergeCell ref="M73:Q73"/>
    <mergeCell ref="M74:N74"/>
    <mergeCell ref="P74:Q74"/>
    <mergeCell ref="M75:N75"/>
    <mergeCell ref="P75:Q75"/>
    <mergeCell ref="M76:N76"/>
    <mergeCell ref="P76:Q76"/>
    <mergeCell ref="M77:N77"/>
    <mergeCell ref="P77:Q77"/>
    <mergeCell ref="M78:N78"/>
    <mergeCell ref="P78:Q78"/>
    <mergeCell ref="E77:F77"/>
    <mergeCell ref="G77:H77"/>
    <mergeCell ref="E78:F78"/>
    <mergeCell ref="G78:H78"/>
    <mergeCell ref="E79:F79"/>
    <mergeCell ref="G79:H79"/>
    <mergeCell ref="D74:I74"/>
    <mergeCell ref="C75:C76"/>
    <mergeCell ref="D75:F75"/>
    <mergeCell ref="G75:I75"/>
    <mergeCell ref="E76:F76"/>
    <mergeCell ref="G76:H76"/>
    <mergeCell ref="D72:E72"/>
    <mergeCell ref="F72:G72"/>
    <mergeCell ref="H72:I72"/>
    <mergeCell ref="D73:E73"/>
    <mergeCell ref="F73:G73"/>
    <mergeCell ref="H73:I73"/>
    <mergeCell ref="C69:I69"/>
    <mergeCell ref="D70:E70"/>
    <mergeCell ref="F70:G70"/>
    <mergeCell ref="H70:I70"/>
    <mergeCell ref="D71:E71"/>
    <mergeCell ref="F71:G71"/>
    <mergeCell ref="H71:I71"/>
    <mergeCell ref="Q17:U17"/>
    <mergeCell ref="T18:U18"/>
    <mergeCell ref="T19:U19"/>
    <mergeCell ref="T20:U20"/>
    <mergeCell ref="T21:U21"/>
    <mergeCell ref="A20:A21"/>
    <mergeCell ref="B20:B21"/>
    <mergeCell ref="C20:C21"/>
    <mergeCell ref="H17:N17"/>
    <mergeCell ref="I18:N18"/>
    <mergeCell ref="R23:U23"/>
    <mergeCell ref="R24:S24"/>
    <mergeCell ref="T24:U24"/>
    <mergeCell ref="C49:I49"/>
    <mergeCell ref="C50:D50"/>
    <mergeCell ref="E50:F50"/>
    <mergeCell ref="H50:I50"/>
    <mergeCell ref="Q50:Q51"/>
    <mergeCell ref="P50:P51"/>
    <mergeCell ref="C55:H55"/>
    <mergeCell ref="D56:E56"/>
    <mergeCell ref="F56:H56"/>
    <mergeCell ref="D57:E57"/>
    <mergeCell ref="F57:H57"/>
    <mergeCell ref="C53:D53"/>
    <mergeCell ref="E53:F53"/>
    <mergeCell ref="H53:I53"/>
    <mergeCell ref="C54:D54"/>
    <mergeCell ref="E54:F54"/>
    <mergeCell ref="H54:I54"/>
    <mergeCell ref="C51:D51"/>
    <mergeCell ref="E51:F51"/>
    <mergeCell ref="H51:I51"/>
    <mergeCell ref="C52:D52"/>
    <mergeCell ref="D59:E59"/>
    <mergeCell ref="F59:H59"/>
    <mergeCell ref="M50:M51"/>
    <mergeCell ref="N50:N51"/>
    <mergeCell ref="O50:O51"/>
    <mergeCell ref="D58:E58"/>
    <mergeCell ref="F58:H58"/>
    <mergeCell ref="E52:F52"/>
    <mergeCell ref="H52:I5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0</xdr:col>
                <xdr:colOff>409575</xdr:colOff>
                <xdr:row>8</xdr:row>
                <xdr:rowOff>38100</xdr:rowOff>
              </from>
              <to>
                <xdr:col>4</xdr:col>
                <xdr:colOff>133350</xdr:colOff>
                <xdr:row>10</xdr:row>
                <xdr:rowOff>47625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8</xdr:col>
                <xdr:colOff>104775</xdr:colOff>
                <xdr:row>11</xdr:row>
                <xdr:rowOff>28575</xdr:rowOff>
              </from>
              <to>
                <xdr:col>10</xdr:col>
                <xdr:colOff>476250</xdr:colOff>
                <xdr:row>13</xdr:row>
                <xdr:rowOff>38100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 sizeWithCells="1">
              <from>
                <xdr:col>16</xdr:col>
                <xdr:colOff>285750</xdr:colOff>
                <xdr:row>5</xdr:row>
                <xdr:rowOff>95250</xdr:rowOff>
              </from>
              <to>
                <xdr:col>16</xdr:col>
                <xdr:colOff>2057400</xdr:colOff>
                <xdr:row>7</xdr:row>
                <xdr:rowOff>66675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autoPict="0" r:id="rId11">
            <anchor moveWithCells="1" sizeWithCells="1">
              <from>
                <xdr:col>3</xdr:col>
                <xdr:colOff>180975</xdr:colOff>
                <xdr:row>27</xdr:row>
                <xdr:rowOff>180975</xdr:rowOff>
              </from>
              <to>
                <xdr:col>3</xdr:col>
                <xdr:colOff>1066800</xdr:colOff>
                <xdr:row>30</xdr:row>
                <xdr:rowOff>38100</xdr:rowOff>
              </to>
            </anchor>
          </objectPr>
        </oleObject>
      </mc:Choice>
      <mc:Fallback>
        <oleObject progId="Equation.3" shapeId="1028" r:id="rId10"/>
      </mc:Fallback>
    </mc:AlternateContent>
    <mc:AlternateContent xmlns:mc="http://schemas.openxmlformats.org/markup-compatibility/2006">
      <mc:Choice Requires="x14">
        <oleObject progId="Equation.3" shapeId="1029" r:id="rId12">
          <objectPr defaultSize="0" autoPict="0" r:id="rId13">
            <anchor moveWithCells="1" sizeWithCells="1">
              <from>
                <xdr:col>14</xdr:col>
                <xdr:colOff>152400</xdr:colOff>
                <xdr:row>60</xdr:row>
                <xdr:rowOff>133350</xdr:rowOff>
              </from>
              <to>
                <xdr:col>16</xdr:col>
                <xdr:colOff>638175</xdr:colOff>
                <xdr:row>63</xdr:row>
                <xdr:rowOff>85725</xdr:rowOff>
              </to>
            </anchor>
          </objectPr>
        </oleObject>
      </mc:Choice>
      <mc:Fallback>
        <oleObject progId="Equation.3" shapeId="1029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5"/>
  <sheetViews>
    <sheetView workbookViewId="0">
      <selection activeCell="L25" sqref="L25"/>
    </sheetView>
  </sheetViews>
  <sheetFormatPr defaultRowHeight="15" x14ac:dyDescent="0.25"/>
  <cols>
    <col min="10" max="10" width="11.5703125" bestFit="1" customWidth="1"/>
    <col min="11" max="11" width="11.28515625" bestFit="1" customWidth="1"/>
    <col min="12" max="12" width="10.5703125" bestFit="1" customWidth="1"/>
  </cols>
  <sheetData>
    <row r="2" spans="2:12" x14ac:dyDescent="0.25">
      <c r="B2" s="81" t="s">
        <v>51</v>
      </c>
      <c r="C2" s="81"/>
      <c r="D2" s="81"/>
      <c r="E2" s="81"/>
      <c r="F2" s="81"/>
      <c r="G2" s="81"/>
    </row>
    <row r="3" spans="2:12" x14ac:dyDescent="0.25">
      <c r="B3" s="81"/>
      <c r="C3" s="81"/>
      <c r="D3" s="81"/>
      <c r="E3" s="81"/>
      <c r="F3" s="81"/>
      <c r="G3" s="81"/>
      <c r="I3" s="4">
        <v>0.12</v>
      </c>
      <c r="J3" s="8"/>
      <c r="K3" s="4">
        <f>EFFECT(I3,1)*100%</f>
        <v>0.12000000000000011</v>
      </c>
      <c r="L3" s="8"/>
    </row>
    <row r="4" spans="2:12" x14ac:dyDescent="0.25">
      <c r="B4" s="81"/>
      <c r="C4" s="81"/>
      <c r="D4" s="81"/>
      <c r="E4" s="81"/>
      <c r="F4" s="81"/>
      <c r="G4" s="81"/>
      <c r="I4" s="11">
        <v>0.115</v>
      </c>
      <c r="J4" s="8"/>
      <c r="K4" s="11">
        <f>EFFECT(I4,2)*100%</f>
        <v>0.11830625000000028</v>
      </c>
      <c r="L4" s="8"/>
    </row>
    <row r="5" spans="2:12" x14ac:dyDescent="0.25">
      <c r="B5" s="81"/>
      <c r="C5" s="81"/>
      <c r="D5" s="81"/>
      <c r="E5" s="81"/>
      <c r="F5" s="81"/>
      <c r="G5" s="81"/>
    </row>
    <row r="6" spans="2:12" x14ac:dyDescent="0.25">
      <c r="B6" s="81"/>
      <c r="C6" s="81"/>
      <c r="D6" s="81"/>
      <c r="E6" s="81"/>
      <c r="F6" s="81"/>
      <c r="G6" s="81"/>
      <c r="J6" s="8"/>
    </row>
    <row r="7" spans="2:12" x14ac:dyDescent="0.25">
      <c r="B7" s="81"/>
      <c r="C7" s="81"/>
      <c r="D7" s="81"/>
      <c r="E7" s="81"/>
      <c r="F7" s="81"/>
      <c r="G7" s="81"/>
    </row>
    <row r="8" spans="2:12" x14ac:dyDescent="0.25">
      <c r="B8" s="81"/>
      <c r="C8" s="81"/>
      <c r="D8" s="81"/>
      <c r="E8" s="81"/>
      <c r="F8" s="81"/>
      <c r="G8" s="81"/>
    </row>
    <row r="9" spans="2:12" x14ac:dyDescent="0.25">
      <c r="B9" s="81"/>
      <c r="C9" s="81"/>
      <c r="D9" s="81"/>
      <c r="E9" s="81"/>
      <c r="F9" s="81"/>
      <c r="G9" s="81"/>
    </row>
    <row r="11" spans="2:12" x14ac:dyDescent="0.25">
      <c r="B11" s="81" t="s">
        <v>52</v>
      </c>
      <c r="C11" s="81"/>
      <c r="D11" s="81"/>
      <c r="E11" s="81"/>
      <c r="F11" s="81"/>
      <c r="G11" s="81"/>
      <c r="I11" s="4">
        <v>0.05</v>
      </c>
      <c r="K11" s="8">
        <f>PV(I11,5,0,-20000,0)</f>
        <v>15670.523329369178</v>
      </c>
    </row>
    <row r="12" spans="2:12" x14ac:dyDescent="0.25">
      <c r="B12" s="81"/>
      <c r="C12" s="81"/>
      <c r="D12" s="81"/>
      <c r="E12" s="81"/>
      <c r="F12" s="81"/>
      <c r="G12" s="81"/>
      <c r="I12" s="4">
        <v>0.1</v>
      </c>
      <c r="K12" s="8">
        <f t="shared" ref="K12:K14" si="0">PV(I12,5,0,-20000,0)</f>
        <v>12418.426461183099</v>
      </c>
    </row>
    <row r="13" spans="2:12" x14ac:dyDescent="0.25">
      <c r="B13" s="81"/>
      <c r="C13" s="81"/>
      <c r="D13" s="81"/>
      <c r="E13" s="81"/>
      <c r="F13" s="81"/>
      <c r="G13" s="81"/>
      <c r="I13" s="4">
        <v>0.15</v>
      </c>
      <c r="K13" s="8">
        <f t="shared" si="0"/>
        <v>9943.5347059657979</v>
      </c>
    </row>
    <row r="14" spans="2:12" x14ac:dyDescent="0.25">
      <c r="B14" s="81"/>
      <c r="C14" s="81"/>
      <c r="D14" s="81"/>
      <c r="E14" s="81"/>
      <c r="F14" s="81"/>
      <c r="G14" s="81"/>
      <c r="I14" s="4">
        <v>0.2</v>
      </c>
      <c r="K14" s="8">
        <f t="shared" si="0"/>
        <v>8037.5514403292182</v>
      </c>
    </row>
    <row r="15" spans="2:12" x14ac:dyDescent="0.25">
      <c r="B15" s="81"/>
      <c r="C15" s="81"/>
      <c r="D15" s="81"/>
      <c r="E15" s="81"/>
      <c r="F15" s="81"/>
      <c r="G15" s="81"/>
    </row>
    <row r="16" spans="2:12" x14ac:dyDescent="0.25">
      <c r="B16" s="81"/>
      <c r="C16" s="81"/>
      <c r="D16" s="81"/>
      <c r="E16" s="81"/>
      <c r="F16" s="81"/>
      <c r="G16" s="81"/>
    </row>
    <row r="17" spans="2:10" x14ac:dyDescent="0.25">
      <c r="B17" s="81"/>
      <c r="C17" s="81"/>
      <c r="D17" s="81"/>
      <c r="E17" s="81"/>
      <c r="F17" s="81"/>
      <c r="G17" s="81"/>
    </row>
    <row r="19" spans="2:10" x14ac:dyDescent="0.25">
      <c r="B19" s="81" t="s">
        <v>53</v>
      </c>
      <c r="C19" s="81"/>
      <c r="D19" s="81"/>
      <c r="E19" s="81"/>
      <c r="F19" s="81"/>
      <c r="G19" s="81"/>
    </row>
    <row r="20" spans="2:10" x14ac:dyDescent="0.25">
      <c r="B20" s="81"/>
      <c r="C20" s="81"/>
      <c r="D20" s="81"/>
      <c r="E20" s="81"/>
      <c r="F20" s="81"/>
      <c r="G20" s="81"/>
      <c r="J20" s="11">
        <f>EFFECT(8%,4)*100%</f>
        <v>8.2432159999999977E-2</v>
      </c>
    </row>
    <row r="21" spans="2:10" x14ac:dyDescent="0.25">
      <c r="B21" s="81"/>
      <c r="C21" s="81"/>
      <c r="D21" s="81"/>
      <c r="E21" s="81"/>
      <c r="F21" s="81"/>
      <c r="G21" s="81"/>
    </row>
    <row r="22" spans="2:10" x14ac:dyDescent="0.25">
      <c r="B22" s="81"/>
      <c r="C22" s="81"/>
      <c r="D22" s="81"/>
      <c r="E22" s="81"/>
      <c r="F22" s="81"/>
      <c r="G22" s="81"/>
    </row>
    <row r="23" spans="2:10" x14ac:dyDescent="0.25">
      <c r="B23" s="81"/>
      <c r="C23" s="81"/>
      <c r="D23" s="81"/>
      <c r="E23" s="81"/>
      <c r="F23" s="81"/>
      <c r="G23" s="81"/>
    </row>
    <row r="24" spans="2:10" x14ac:dyDescent="0.25">
      <c r="B24" s="81"/>
      <c r="C24" s="81"/>
      <c r="D24" s="81"/>
      <c r="E24" s="81"/>
      <c r="F24" s="81"/>
      <c r="G24" s="81"/>
    </row>
    <row r="25" spans="2:10" x14ac:dyDescent="0.25">
      <c r="B25" s="81"/>
      <c r="C25" s="81"/>
      <c r="D25" s="81"/>
      <c r="E25" s="81"/>
      <c r="F25" s="81"/>
      <c r="G25" s="81"/>
    </row>
    <row r="26" spans="2:10" x14ac:dyDescent="0.25">
      <c r="B26" s="81"/>
      <c r="C26" s="81"/>
      <c r="D26" s="81"/>
      <c r="E26" s="81"/>
      <c r="F26" s="81"/>
      <c r="G26" s="81"/>
    </row>
    <row r="27" spans="2:10" x14ac:dyDescent="0.25">
      <c r="B27" s="81"/>
      <c r="C27" s="81"/>
      <c r="D27" s="81"/>
      <c r="E27" s="81"/>
      <c r="F27" s="81"/>
      <c r="G27" s="81"/>
    </row>
    <row r="29" spans="2:10" x14ac:dyDescent="0.25">
      <c r="B29" s="81" t="s">
        <v>54</v>
      </c>
      <c r="C29" s="81"/>
      <c r="D29" s="81"/>
      <c r="E29" s="81"/>
      <c r="F29" s="81"/>
      <c r="G29" s="81"/>
      <c r="I29">
        <v>5</v>
      </c>
      <c r="J29" s="8">
        <f>FV(10%,I29,-10000,0,0)</f>
        <v>61051.000000000058</v>
      </c>
    </row>
    <row r="30" spans="2:10" x14ac:dyDescent="0.25">
      <c r="B30" s="81"/>
      <c r="C30" s="81"/>
      <c r="D30" s="81"/>
      <c r="E30" s="81"/>
      <c r="F30" s="81"/>
      <c r="G30" s="81"/>
      <c r="I30">
        <v>10</v>
      </c>
      <c r="J30" s="8">
        <f t="shared" ref="J30:J32" si="1">FV(10%,I30,-10000,0,0)</f>
        <v>159374.24601000018</v>
      </c>
    </row>
    <row r="31" spans="2:10" x14ac:dyDescent="0.25">
      <c r="B31" s="81"/>
      <c r="C31" s="81"/>
      <c r="D31" s="81"/>
      <c r="E31" s="81"/>
      <c r="F31" s="81"/>
      <c r="G31" s="81"/>
      <c r="I31">
        <v>12</v>
      </c>
      <c r="J31" s="8">
        <f t="shared" si="1"/>
        <v>213842.83767210026</v>
      </c>
    </row>
    <row r="32" spans="2:10" x14ac:dyDescent="0.25">
      <c r="B32" s="81"/>
      <c r="C32" s="81"/>
      <c r="D32" s="81"/>
      <c r="E32" s="81"/>
      <c r="F32" s="81"/>
      <c r="G32" s="81"/>
      <c r="I32">
        <v>15</v>
      </c>
      <c r="J32" s="8">
        <f t="shared" si="1"/>
        <v>317724.81694156554</v>
      </c>
    </row>
    <row r="33" spans="2:11" x14ac:dyDescent="0.25">
      <c r="B33" s="81"/>
      <c r="C33" s="81"/>
      <c r="D33" s="81"/>
      <c r="E33" s="81"/>
      <c r="F33" s="81"/>
      <c r="G33" s="81"/>
    </row>
    <row r="34" spans="2:11" x14ac:dyDescent="0.25">
      <c r="B34" s="81"/>
      <c r="C34" s="81"/>
      <c r="D34" s="81"/>
      <c r="E34" s="81"/>
      <c r="F34" s="81"/>
      <c r="G34" s="81"/>
    </row>
    <row r="35" spans="2:11" x14ac:dyDescent="0.25">
      <c r="B35" s="81"/>
      <c r="C35" s="81"/>
      <c r="D35" s="81"/>
      <c r="E35" s="81"/>
      <c r="F35" s="81"/>
      <c r="G35" s="81"/>
    </row>
    <row r="36" spans="2:11" x14ac:dyDescent="0.25">
      <c r="B36" s="81"/>
      <c r="C36" s="81"/>
      <c r="D36" s="81"/>
      <c r="E36" s="81"/>
      <c r="F36" s="81"/>
      <c r="G36" s="81"/>
    </row>
    <row r="37" spans="2:11" x14ac:dyDescent="0.25">
      <c r="B37" s="81"/>
      <c r="C37" s="81"/>
      <c r="D37" s="81"/>
      <c r="E37" s="81"/>
      <c r="F37" s="81"/>
      <c r="G37" s="81"/>
    </row>
    <row r="39" spans="2:11" x14ac:dyDescent="0.25">
      <c r="B39" s="81" t="s">
        <v>55</v>
      </c>
      <c r="C39" s="81"/>
      <c r="D39" s="81"/>
      <c r="E39" s="81"/>
      <c r="F39" s="81"/>
      <c r="G39" s="81"/>
    </row>
    <row r="40" spans="2:11" x14ac:dyDescent="0.25">
      <c r="B40" s="81"/>
      <c r="C40" s="81"/>
      <c r="D40" s="81"/>
      <c r="E40" s="81"/>
      <c r="F40" s="81"/>
      <c r="G40" s="81"/>
      <c r="J40" s="8">
        <f>PV(5%,8,-10000,0,0)</f>
        <v>64632.127594262565</v>
      </c>
      <c r="K40" s="8">
        <f>PMT(5%,8,-J40,0,0)</f>
        <v>10000</v>
      </c>
    </row>
    <row r="41" spans="2:11" x14ac:dyDescent="0.25">
      <c r="B41" s="81"/>
      <c r="C41" s="81"/>
      <c r="D41" s="81"/>
      <c r="E41" s="81"/>
      <c r="F41" s="81"/>
      <c r="G41" s="81"/>
    </row>
    <row r="42" spans="2:11" x14ac:dyDescent="0.25">
      <c r="B42" s="81"/>
      <c r="C42" s="81"/>
      <c r="D42" s="81"/>
      <c r="E42" s="81"/>
      <c r="F42" s="81"/>
      <c r="G42" s="81"/>
    </row>
    <row r="43" spans="2:11" x14ac:dyDescent="0.25">
      <c r="B43" s="81"/>
      <c r="C43" s="81"/>
      <c r="D43" s="81"/>
      <c r="E43" s="81"/>
      <c r="F43" s="81"/>
      <c r="G43" s="81"/>
    </row>
    <row r="44" spans="2:11" x14ac:dyDescent="0.25">
      <c r="B44" s="81"/>
      <c r="C44" s="81"/>
      <c r="D44" s="81"/>
      <c r="E44" s="81"/>
      <c r="F44" s="81"/>
      <c r="G44" s="81"/>
    </row>
    <row r="45" spans="2:11" x14ac:dyDescent="0.25">
      <c r="B45" s="81"/>
      <c r="C45" s="81"/>
      <c r="D45" s="81"/>
      <c r="E45" s="81"/>
      <c r="F45" s="81"/>
      <c r="G45" s="81"/>
    </row>
  </sheetData>
  <mergeCells count="5">
    <mergeCell ref="B2:G9"/>
    <mergeCell ref="B11:G17"/>
    <mergeCell ref="B19:G27"/>
    <mergeCell ref="B29:G37"/>
    <mergeCell ref="B39:G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Задания</vt:lpstr>
      <vt:lpstr>Контрольная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Борисов Никита Алексеевич</dc:creator>
  <cp:lastModifiedBy>Даниил Борисов</cp:lastModifiedBy>
  <dcterms:created xsi:type="dcterms:W3CDTF">2021-10-12T05:43:39Z</dcterms:created>
  <dcterms:modified xsi:type="dcterms:W3CDTF">2021-10-12T11:27:07Z</dcterms:modified>
</cp:coreProperties>
</file>