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опционщик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Q40" i="1"/>
  <c r="O40" i="1"/>
  <c r="N40" i="1"/>
  <c r="M40" i="1"/>
  <c r="L40" i="1"/>
  <c r="K40" i="1"/>
  <c r="J40" i="1"/>
  <c r="L33" i="1"/>
  <c r="K33" i="1"/>
  <c r="K32" i="1"/>
  <c r="J33" i="1"/>
  <c r="K38" i="1"/>
  <c r="L38" i="1"/>
  <c r="J38" i="1"/>
  <c r="I40" i="1"/>
  <c r="G36" i="1"/>
  <c r="B18" i="1"/>
  <c r="L26" i="1"/>
  <c r="K26" i="1"/>
  <c r="J26" i="1"/>
  <c r="L11" i="1"/>
  <c r="K11" i="1"/>
  <c r="J11" i="1"/>
  <c r="O11" i="1" s="1"/>
  <c r="M8" i="1"/>
  <c r="L8" i="1"/>
  <c r="K8" i="1"/>
  <c r="J8" i="1"/>
  <c r="I26" i="1"/>
  <c r="M23" i="1"/>
  <c r="J23" i="1"/>
  <c r="K23" i="1"/>
  <c r="L23" i="1"/>
  <c r="I23" i="1"/>
  <c r="P26" i="1"/>
  <c r="P23" i="1"/>
  <c r="P17" i="1"/>
  <c r="P11" i="1"/>
  <c r="P8" i="1"/>
  <c r="I11" i="1"/>
  <c r="I8" i="1"/>
  <c r="N23" i="1" l="1"/>
  <c r="O8" i="1"/>
  <c r="Q8" i="1" s="1"/>
  <c r="Q11" i="1"/>
  <c r="J19" i="1"/>
  <c r="L19" i="1"/>
  <c r="O26" i="1"/>
  <c r="Q26" i="1" s="1"/>
  <c r="N11" i="1"/>
  <c r="O23" i="1"/>
  <c r="Q23" i="1" s="1"/>
  <c r="K19" i="1"/>
  <c r="N26" i="1"/>
  <c r="N8" i="1"/>
  <c r="G2" i="1"/>
  <c r="D30" i="1"/>
  <c r="M29" i="1" s="1"/>
  <c r="O29" i="1" s="1"/>
  <c r="I17" i="1"/>
  <c r="M17" i="1" s="1"/>
  <c r="B2" i="1"/>
  <c r="F2" i="1" s="1"/>
  <c r="H2" i="1" s="1"/>
  <c r="D15" i="1"/>
  <c r="F30" i="1" l="1"/>
  <c r="F15" i="1"/>
  <c r="O17" i="1"/>
  <c r="Q17" i="1" s="1"/>
  <c r="I29" i="1" l="1"/>
  <c r="B33" i="1"/>
  <c r="I32" i="1" s="1"/>
  <c r="N29" i="1"/>
  <c r="Q29" i="1"/>
  <c r="N17" i="1"/>
  <c r="M19" i="1"/>
  <c r="O19" i="1" s="1"/>
  <c r="I19" i="1"/>
  <c r="J32" i="1" l="1"/>
  <c r="N19" i="1"/>
  <c r="Q19" i="1"/>
  <c r="L32" i="1" l="1"/>
  <c r="M32" i="1" l="1"/>
</calcChain>
</file>

<file path=xl/sharedStrings.xml><?xml version="1.0" encoding="utf-8"?>
<sst xmlns="http://schemas.openxmlformats.org/spreadsheetml/2006/main" count="114" uniqueCount="48">
  <si>
    <t>срок, в годах</t>
  </si>
  <si>
    <t>сумма</t>
  </si>
  <si>
    <t>депозит</t>
  </si>
  <si>
    <t>ставка</t>
  </si>
  <si>
    <t>доходность</t>
  </si>
  <si>
    <t>риск</t>
  </si>
  <si>
    <t>сумма счета</t>
  </si>
  <si>
    <t>предложение 1</t>
  </si>
  <si>
    <t>предложение 2</t>
  </si>
  <si>
    <t>капитализация</t>
  </si>
  <si>
    <t>портфель</t>
  </si>
  <si>
    <t>облигации</t>
  </si>
  <si>
    <t>предложение 3</t>
  </si>
  <si>
    <t>акции</t>
  </si>
  <si>
    <t>цена за акцию</t>
  </si>
  <si>
    <t>кол-во акций</t>
  </si>
  <si>
    <t>предложение 4</t>
  </si>
  <si>
    <t>инвестиционный счет</t>
  </si>
  <si>
    <t>да</t>
  </si>
  <si>
    <t>период</t>
  </si>
  <si>
    <t>ежемесячно</t>
  </si>
  <si>
    <t>остатки инв. счета</t>
  </si>
  <si>
    <t>год</t>
  </si>
  <si>
    <t>нет</t>
  </si>
  <si>
    <t>цена пута, за акцию</t>
  </si>
  <si>
    <t>стоимость пута</t>
  </si>
  <si>
    <t>цена исполнения</t>
  </si>
  <si>
    <t>Предложение брокера</t>
  </si>
  <si>
    <t>Принятое инвестором предложение</t>
  </si>
  <si>
    <t>(цена на момент продажи 8500, проданы были по цене исполнения)</t>
  </si>
  <si>
    <t>найти:</t>
  </si>
  <si>
    <t>эффективная ставка инвестиций</t>
  </si>
  <si>
    <t>внутреннюю норму доходности по агрегированному потоку платежей</t>
  </si>
  <si>
    <t>доход</t>
  </si>
  <si>
    <t>ЭПС</t>
  </si>
  <si>
    <t>ВНД(IRR(ВСД))</t>
  </si>
  <si>
    <t>Денежные потоки (cash float)</t>
  </si>
  <si>
    <t>-</t>
  </si>
  <si>
    <t>Общий итог</t>
  </si>
  <si>
    <t>Дополнительные обязательства</t>
  </si>
  <si>
    <t xml:space="preserve">обязательства </t>
  </si>
  <si>
    <t>ежегодно</t>
  </si>
  <si>
    <t>выплаты</t>
  </si>
  <si>
    <t>в конце года</t>
  </si>
  <si>
    <t>платеж</t>
  </si>
  <si>
    <t>ИТОГ</t>
  </si>
  <si>
    <t>на счету к концу года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</si>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</sst>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₽&quot;;[Red]\-#,##0.00\ &quot;₽&quot;"/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1" fillId="0" borderId="2" xfId="0" applyFont="1" applyFill="1" applyBorder="1" applyAlignment="1">
      <alignment horizontal="right" vertical="center"/>
    </xf>
    <xf numFmtId="10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8" fontId="0" fillId="0" borderId="1" xfId="0" applyNumberFormat="1" applyBorder="1"/>
    <xf numFmtId="10" fontId="0" fillId="0" borderId="1" xfId="0" applyNumberFormat="1" applyBorder="1"/>
    <xf numFmtId="0" fontId="1" fillId="0" borderId="20" xfId="0" applyFont="1" applyFill="1" applyBorder="1" applyAlignment="1">
      <alignment horizontal="center" vertical="center"/>
    </xf>
    <xf numFmtId="164" fontId="0" fillId="0" borderId="15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8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horizontal="center" vertical="center" wrapText="1"/>
    </xf>
    <xf numFmtId="10" fontId="0" fillId="0" borderId="24" xfId="0" applyNumberFormat="1" applyBorder="1"/>
    <xf numFmtId="10" fontId="0" fillId="0" borderId="25" xfId="0" applyNumberFormat="1" applyBorder="1"/>
    <xf numFmtId="164" fontId="0" fillId="0" borderId="14" xfId="0" applyNumberFormat="1" applyBorder="1"/>
    <xf numFmtId="164" fontId="0" fillId="0" borderId="30" xfId="0" applyNumberFormat="1" applyBorder="1"/>
    <xf numFmtId="0" fontId="0" fillId="0" borderId="26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31" xfId="0" applyNumberFormat="1" applyBorder="1"/>
    <xf numFmtId="0" fontId="0" fillId="0" borderId="28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164" fontId="0" fillId="4" borderId="22" xfId="0" applyNumberFormat="1" applyFill="1" applyBorder="1"/>
    <xf numFmtId="164" fontId="0" fillId="4" borderId="15" xfId="0" applyNumberFormat="1" applyFill="1" applyBorder="1"/>
    <xf numFmtId="10" fontId="0" fillId="4" borderId="24" xfId="0" applyNumberFormat="1" applyFill="1" applyBorder="1"/>
    <xf numFmtId="8" fontId="0" fillId="4" borderId="1" xfId="0" applyNumberFormat="1" applyFill="1" applyBorder="1" applyAlignment="1">
      <alignment wrapText="1"/>
    </xf>
    <xf numFmtId="10" fontId="0" fillId="4" borderId="1" xfId="0" applyNumberFormat="1" applyFill="1" applyBorder="1" applyAlignment="1">
      <alignment wrapText="1"/>
    </xf>
    <xf numFmtId="164" fontId="0" fillId="4" borderId="23" xfId="0" applyNumberFormat="1" applyFill="1" applyBorder="1"/>
    <xf numFmtId="164" fontId="0" fillId="4" borderId="21" xfId="0" applyNumberFormat="1" applyFill="1" applyBorder="1"/>
    <xf numFmtId="10" fontId="0" fillId="4" borderId="25" xfId="0" applyNumberFormat="1" applyFill="1" applyBorder="1"/>
    <xf numFmtId="164" fontId="0" fillId="4" borderId="0" xfId="0" applyNumberFormat="1" applyFill="1"/>
    <xf numFmtId="10" fontId="0" fillId="4" borderId="0" xfId="0" applyNumberFormat="1" applyFill="1"/>
    <xf numFmtId="10" fontId="0" fillId="4" borderId="1" xfId="0" applyNumberFormat="1" applyFill="1" applyBorder="1" applyAlignment="1">
      <alignment horizontal="center" vertical="center" wrapText="1"/>
    </xf>
    <xf numFmtId="164" fontId="0" fillId="4" borderId="19" xfId="0" applyNumberFormat="1" applyFill="1" applyBorder="1"/>
    <xf numFmtId="164" fontId="0" fillId="4" borderId="0" xfId="0" applyNumberFormat="1" applyFill="1" applyBorder="1"/>
    <xf numFmtId="10" fontId="0" fillId="4" borderId="27" xfId="0" applyNumberFormat="1" applyFill="1" applyBorder="1"/>
    <xf numFmtId="0" fontId="0" fillId="4" borderId="2" xfId="0" applyFill="1" applyBorder="1"/>
    <xf numFmtId="164" fontId="0" fillId="4" borderId="28" xfId="0" applyNumberFormat="1" applyFill="1" applyBorder="1"/>
    <xf numFmtId="164" fontId="0" fillId="4" borderId="29" xfId="0" applyNumberFormat="1" applyFill="1" applyBorder="1"/>
    <xf numFmtId="10" fontId="0" fillId="4" borderId="2" xfId="0" applyNumberFormat="1" applyFill="1" applyBorder="1"/>
    <xf numFmtId="0" fontId="3" fillId="0" borderId="0" xfId="0" applyFont="1" applyAlignment="1">
      <alignment horizontal="center" vertical="center"/>
    </xf>
    <xf numFmtId="164" fontId="3" fillId="0" borderId="23" xfId="0" applyNumberFormat="1" applyFont="1" applyBorder="1"/>
    <xf numFmtId="164" fontId="3" fillId="0" borderId="21" xfId="0" applyNumberFormat="1" applyFont="1" applyBorder="1"/>
    <xf numFmtId="164" fontId="0" fillId="5" borderId="31" xfId="0" applyNumberFormat="1" applyFill="1" applyBorder="1"/>
    <xf numFmtId="10" fontId="0" fillId="0" borderId="2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8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J4" sqref="J4"/>
    </sheetView>
  </sheetViews>
  <sheetFormatPr defaultRowHeight="15" x14ac:dyDescent="0.25"/>
  <cols>
    <col min="1" max="1" width="23.42578125" bestFit="1" customWidth="1"/>
    <col min="2" max="2" width="16.42578125" bestFit="1" customWidth="1"/>
    <col min="3" max="3" width="15.85546875" bestFit="1" customWidth="1"/>
    <col min="4" max="4" width="16.28515625" bestFit="1" customWidth="1"/>
    <col min="5" max="5" width="21.7109375" bestFit="1" customWidth="1"/>
    <col min="6" max="6" width="16.42578125" bestFit="1" customWidth="1"/>
    <col min="7" max="7" width="18.85546875" bestFit="1" customWidth="1"/>
    <col min="8" max="8" width="21.7109375" bestFit="1" customWidth="1"/>
    <col min="9" max="9" width="12.28515625" bestFit="1" customWidth="1"/>
    <col min="10" max="11" width="11.28515625" bestFit="1" customWidth="1"/>
    <col min="12" max="12" width="11.5703125" bestFit="1" customWidth="1"/>
    <col min="13" max="13" width="12.28515625" bestFit="1" customWidth="1"/>
    <col min="14" max="14" width="15.42578125" bestFit="1" customWidth="1"/>
    <col min="15" max="15" width="11.5703125" bestFit="1" customWidth="1"/>
    <col min="17" max="17" width="22.7109375" customWidth="1"/>
  </cols>
  <sheetData>
    <row r="1" spans="1:17" ht="31.5" x14ac:dyDescent="0.25">
      <c r="A1" s="5" t="s">
        <v>2</v>
      </c>
      <c r="B1" s="5" t="s">
        <v>6</v>
      </c>
      <c r="C1" s="5" t="s">
        <v>3</v>
      </c>
      <c r="D1" s="5" t="s">
        <v>19</v>
      </c>
      <c r="E1" s="5" t="s">
        <v>9</v>
      </c>
      <c r="F1" s="29" t="s">
        <v>33</v>
      </c>
      <c r="G1" s="29" t="s">
        <v>34</v>
      </c>
      <c r="H1" s="37" t="s">
        <v>31</v>
      </c>
    </row>
    <row r="2" spans="1:17" x14ac:dyDescent="0.25">
      <c r="A2" s="6"/>
      <c r="B2" s="7">
        <f>420000-C5</f>
        <v>20000</v>
      </c>
      <c r="C2" s="8">
        <v>0.08</v>
      </c>
      <c r="D2" s="9" t="s">
        <v>20</v>
      </c>
      <c r="E2" s="9" t="s">
        <v>18</v>
      </c>
      <c r="F2" s="30">
        <f>FV(C2/12,B5*12,0,-B2,0)</f>
        <v>27513.322008675819</v>
      </c>
      <c r="G2" s="31">
        <f>EFFECT(8%,12)</f>
        <v>8.2999506807510004E-2</v>
      </c>
      <c r="H2" s="31">
        <f>(F2/B2-1)/4</f>
        <v>9.3916525108447724E-2</v>
      </c>
    </row>
    <row r="3" spans="1:17" ht="15.75" thickBot="1" x14ac:dyDescent="0.3">
      <c r="B3" s="3"/>
      <c r="C3" s="4"/>
      <c r="D3" s="2"/>
    </row>
    <row r="4" spans="1:17" ht="16.5" thickBot="1" x14ac:dyDescent="0.3">
      <c r="A4" s="5" t="s">
        <v>17</v>
      </c>
      <c r="B4" s="5" t="s">
        <v>0</v>
      </c>
      <c r="C4" s="5" t="s">
        <v>6</v>
      </c>
      <c r="E4" s="27" t="s">
        <v>30</v>
      </c>
      <c r="F4" s="94" t="s">
        <v>31</v>
      </c>
      <c r="G4" s="95"/>
    </row>
    <row r="5" spans="1:17" x14ac:dyDescent="0.25">
      <c r="A5" s="6"/>
      <c r="B5" s="9">
        <v>4</v>
      </c>
      <c r="C5" s="7">
        <v>400000</v>
      </c>
      <c r="F5" s="96" t="s">
        <v>32</v>
      </c>
      <c r="G5" s="97"/>
    </row>
    <row r="6" spans="1:17" ht="15.75" thickBot="1" x14ac:dyDescent="0.3">
      <c r="F6" s="98"/>
      <c r="G6" s="99"/>
    </row>
    <row r="7" spans="1:17" ht="32.25" hidden="1" thickBot="1" x14ac:dyDescent="0.3">
      <c r="A7" s="87" t="s">
        <v>27</v>
      </c>
      <c r="B7" s="87"/>
      <c r="C7" s="87"/>
      <c r="D7" s="87"/>
      <c r="E7" s="87"/>
      <c r="F7" s="87"/>
      <c r="G7" s="87"/>
      <c r="H7" s="56" t="s">
        <v>36</v>
      </c>
      <c r="I7" s="57">
        <v>0</v>
      </c>
      <c r="J7" s="58">
        <v>1</v>
      </c>
      <c r="K7" s="58">
        <v>2</v>
      </c>
      <c r="L7" s="58">
        <v>3</v>
      </c>
      <c r="M7" s="58">
        <v>4</v>
      </c>
      <c r="N7" s="59" t="s">
        <v>35</v>
      </c>
      <c r="O7" s="60" t="s">
        <v>33</v>
      </c>
      <c r="P7" s="60" t="s">
        <v>34</v>
      </c>
      <c r="Q7" s="60" t="s">
        <v>31</v>
      </c>
    </row>
    <row r="8" spans="1:17" ht="15.75" hidden="1" x14ac:dyDescent="0.25">
      <c r="A8" s="10" t="s">
        <v>7</v>
      </c>
      <c r="B8" s="11" t="s">
        <v>1</v>
      </c>
      <c r="C8" s="11" t="s">
        <v>4</v>
      </c>
      <c r="D8" s="11" t="s">
        <v>5</v>
      </c>
      <c r="E8" s="11" t="s">
        <v>19</v>
      </c>
      <c r="F8" s="11" t="s">
        <v>9</v>
      </c>
      <c r="G8" s="12"/>
      <c r="H8" s="61"/>
      <c r="I8" s="62">
        <f>-B9</f>
        <v>-100000</v>
      </c>
      <c r="J8" s="63">
        <f>$B9*$C9</f>
        <v>10000</v>
      </c>
      <c r="K8" s="63">
        <f t="shared" ref="K8" si="0">$B9*$C9</f>
        <v>10000</v>
      </c>
      <c r="L8" s="63">
        <f t="shared" ref="L8" si="1">$B9*$C9</f>
        <v>10000</v>
      </c>
      <c r="M8" s="63">
        <f>$B9*$C9+B9</f>
        <v>110000</v>
      </c>
      <c r="N8" s="64">
        <f>IRR(I8:M8)</f>
        <v>0.10000000000000009</v>
      </c>
      <c r="O8" s="65">
        <f>SUM(J8:M8)</f>
        <v>140000</v>
      </c>
      <c r="P8" s="66">
        <f>EFFECT(C9,1)</f>
        <v>0.10000000000000009</v>
      </c>
      <c r="Q8" s="66">
        <f>(O8/-I8-1)/4</f>
        <v>9.9999999999999978E-2</v>
      </c>
    </row>
    <row r="9" spans="1:17" ht="15.75" hidden="1" thickBot="1" x14ac:dyDescent="0.3">
      <c r="A9" s="13" t="s">
        <v>10</v>
      </c>
      <c r="B9" s="7">
        <v>100000</v>
      </c>
      <c r="C9" s="8">
        <v>0.1</v>
      </c>
      <c r="D9" s="8">
        <v>0.25</v>
      </c>
      <c r="E9" s="9" t="s">
        <v>22</v>
      </c>
      <c r="F9" s="9" t="s">
        <v>23</v>
      </c>
      <c r="G9" s="14"/>
      <c r="H9" s="61"/>
      <c r="I9" s="67"/>
      <c r="J9" s="68"/>
      <c r="K9" s="68"/>
      <c r="L9" s="68"/>
      <c r="M9" s="68"/>
      <c r="N9" s="69"/>
      <c r="O9" s="61"/>
      <c r="P9" s="61"/>
      <c r="Q9" s="61"/>
    </row>
    <row r="10" spans="1:17" ht="15.75" hidden="1" thickBot="1" x14ac:dyDescent="0.3">
      <c r="A10" s="15"/>
      <c r="B10" s="16"/>
      <c r="C10" s="16"/>
      <c r="D10" s="16"/>
      <c r="E10" s="16"/>
      <c r="F10" s="16"/>
      <c r="G10" s="14"/>
      <c r="H10" s="61"/>
      <c r="I10" s="70"/>
      <c r="J10" s="70"/>
      <c r="K10" s="70"/>
      <c r="L10" s="70"/>
      <c r="M10" s="70"/>
      <c r="N10" s="71"/>
      <c r="O10" s="61"/>
      <c r="P10" s="61"/>
      <c r="Q10" s="61"/>
    </row>
    <row r="11" spans="1:17" ht="15.75" hidden="1" x14ac:dyDescent="0.25">
      <c r="A11" s="17" t="s">
        <v>8</v>
      </c>
      <c r="B11" s="5" t="s">
        <v>1</v>
      </c>
      <c r="C11" s="5" t="s">
        <v>4</v>
      </c>
      <c r="D11" s="5" t="s">
        <v>0</v>
      </c>
      <c r="E11" s="5" t="s">
        <v>19</v>
      </c>
      <c r="F11" s="5" t="s">
        <v>9</v>
      </c>
      <c r="G11" s="14"/>
      <c r="H11" s="61"/>
      <c r="I11" s="62">
        <f>-B12</f>
        <v>-100000</v>
      </c>
      <c r="J11" s="63">
        <f>$C12*$B12</f>
        <v>4000</v>
      </c>
      <c r="K11" s="63">
        <f>$C12*$B12</f>
        <v>4000</v>
      </c>
      <c r="L11" s="63">
        <f>$C12*$B12+B12</f>
        <v>104000</v>
      </c>
      <c r="M11" s="63">
        <v>0</v>
      </c>
      <c r="N11" s="64">
        <f>IRR(I11:M11)</f>
        <v>4.0000000000000036E-2</v>
      </c>
      <c r="O11" s="65">
        <f>SUM(J11:M11)</f>
        <v>112000</v>
      </c>
      <c r="P11" s="66">
        <f>EFFECT(C12,1)</f>
        <v>4.0000000000000036E-2</v>
      </c>
      <c r="Q11" s="66">
        <f>(O11/-I11-1)/4</f>
        <v>3.0000000000000027E-2</v>
      </c>
    </row>
    <row r="12" spans="1:17" ht="15.75" hidden="1" thickBot="1" x14ac:dyDescent="0.3">
      <c r="A12" s="13" t="s">
        <v>11</v>
      </c>
      <c r="B12" s="7">
        <v>100000</v>
      </c>
      <c r="C12" s="8">
        <v>0.04</v>
      </c>
      <c r="D12" s="9">
        <v>3</v>
      </c>
      <c r="E12" s="9" t="s">
        <v>22</v>
      </c>
      <c r="F12" s="9" t="s">
        <v>23</v>
      </c>
      <c r="G12" s="14"/>
      <c r="H12" s="61"/>
      <c r="I12" s="67"/>
      <c r="J12" s="68"/>
      <c r="K12" s="68"/>
      <c r="L12" s="68"/>
      <c r="M12" s="68"/>
      <c r="N12" s="69"/>
      <c r="O12" s="61"/>
      <c r="P12" s="61"/>
      <c r="Q12" s="61"/>
    </row>
    <row r="13" spans="1:17" ht="15.75" hidden="1" thickBot="1" x14ac:dyDescent="0.3">
      <c r="A13" s="15"/>
      <c r="B13" s="16"/>
      <c r="C13" s="16"/>
      <c r="D13" s="16"/>
      <c r="E13" s="16"/>
      <c r="F13" s="16"/>
      <c r="G13" s="14"/>
      <c r="H13" s="61"/>
      <c r="I13" s="70"/>
      <c r="J13" s="70"/>
      <c r="K13" s="70"/>
      <c r="L13" s="70"/>
      <c r="M13" s="70"/>
      <c r="N13" s="71"/>
      <c r="O13" s="61"/>
      <c r="P13" s="61"/>
      <c r="Q13" s="61"/>
    </row>
    <row r="14" spans="1:17" ht="15.75" hidden="1" x14ac:dyDescent="0.25">
      <c r="A14" s="17" t="s">
        <v>12</v>
      </c>
      <c r="B14" s="5" t="s">
        <v>1</v>
      </c>
      <c r="C14" s="5" t="s">
        <v>14</v>
      </c>
      <c r="D14" s="5" t="s">
        <v>15</v>
      </c>
      <c r="E14" s="5" t="s">
        <v>24</v>
      </c>
      <c r="F14" s="5" t="s">
        <v>25</v>
      </c>
      <c r="G14" s="18" t="s">
        <v>26</v>
      </c>
      <c r="H14" s="61"/>
      <c r="I14" s="62"/>
      <c r="J14" s="63"/>
      <c r="K14" s="63"/>
      <c r="L14" s="63"/>
      <c r="M14" s="63"/>
      <c r="N14" s="64"/>
      <c r="O14" s="65"/>
      <c r="P14" s="72"/>
      <c r="Q14" s="66"/>
    </row>
    <row r="15" spans="1:17" ht="15.75" hidden="1" thickBot="1" x14ac:dyDescent="0.3">
      <c r="A15" s="13" t="s">
        <v>13</v>
      </c>
      <c r="B15" s="7">
        <v>100000</v>
      </c>
      <c r="C15" s="7">
        <v>10000</v>
      </c>
      <c r="D15" s="9">
        <f>B15/C15</f>
        <v>10</v>
      </c>
      <c r="E15" s="7">
        <v>500</v>
      </c>
      <c r="F15" s="7">
        <f>E15*D15</f>
        <v>5000</v>
      </c>
      <c r="G15" s="19">
        <v>9000</v>
      </c>
      <c r="H15" s="61"/>
      <c r="I15" s="67"/>
      <c r="J15" s="68"/>
      <c r="K15" s="68"/>
      <c r="L15" s="68"/>
      <c r="M15" s="68"/>
      <c r="N15" s="69"/>
      <c r="O15" s="61"/>
      <c r="P15" s="61"/>
      <c r="Q15" s="61"/>
    </row>
    <row r="16" spans="1:17" ht="15.75" hidden="1" thickBot="1" x14ac:dyDescent="0.3">
      <c r="A16" s="15"/>
      <c r="B16" s="16"/>
      <c r="C16" s="16"/>
      <c r="D16" s="16"/>
      <c r="E16" s="16"/>
      <c r="F16" s="16"/>
      <c r="G16" s="14"/>
      <c r="H16" s="61"/>
      <c r="I16" s="70"/>
      <c r="J16" s="70"/>
      <c r="K16" s="70"/>
      <c r="L16" s="70"/>
      <c r="M16" s="70"/>
      <c r="N16" s="71"/>
      <c r="O16" s="61"/>
      <c r="P16" s="61"/>
      <c r="Q16" s="61"/>
    </row>
    <row r="17" spans="1:17" ht="15.75" hidden="1" x14ac:dyDescent="0.25">
      <c r="A17" s="17" t="s">
        <v>16</v>
      </c>
      <c r="B17" s="5" t="s">
        <v>1</v>
      </c>
      <c r="C17" s="5" t="s">
        <v>3</v>
      </c>
      <c r="D17" s="5" t="s">
        <v>19</v>
      </c>
      <c r="E17" s="5" t="s">
        <v>9</v>
      </c>
      <c r="F17" s="16"/>
      <c r="G17" s="14"/>
      <c r="H17" s="61"/>
      <c r="I17" s="62">
        <f>-B18</f>
        <v>-100000</v>
      </c>
      <c r="J17" s="63">
        <v>0</v>
      </c>
      <c r="K17" s="63">
        <v>0</v>
      </c>
      <c r="L17" s="63">
        <v>0</v>
      </c>
      <c r="M17" s="63">
        <f>FV(C18/12,$B$5*12,0,I17,0)</f>
        <v>122089.53550254209</v>
      </c>
      <c r="N17" s="64">
        <f>IRR(I17:M17)</f>
        <v>5.1161897881734086E-2</v>
      </c>
      <c r="O17" s="65">
        <f>SUM(J17:M17)</f>
        <v>122089.53550254209</v>
      </c>
      <c r="P17" s="72">
        <f>EFFECT(C18,12)</f>
        <v>5.116189788173342E-2</v>
      </c>
      <c r="Q17" s="66">
        <f>(O17/-I17-1)/4</f>
        <v>5.5223838756355226E-2</v>
      </c>
    </row>
    <row r="18" spans="1:17" ht="15.75" hidden="1" thickBot="1" x14ac:dyDescent="0.3">
      <c r="A18" s="20" t="s">
        <v>21</v>
      </c>
      <c r="B18" s="21">
        <f>$C$5-B9-B12-B15</f>
        <v>100000</v>
      </c>
      <c r="C18" s="22">
        <v>0.05</v>
      </c>
      <c r="D18" s="23" t="s">
        <v>20</v>
      </c>
      <c r="E18" s="23" t="s">
        <v>18</v>
      </c>
      <c r="F18" s="24"/>
      <c r="G18" s="25"/>
      <c r="H18" s="61"/>
      <c r="I18" s="73"/>
      <c r="J18" s="74"/>
      <c r="K18" s="74"/>
      <c r="L18" s="74"/>
      <c r="M18" s="74"/>
      <c r="N18" s="75"/>
      <c r="O18" s="61"/>
      <c r="P18" s="61"/>
      <c r="Q18" s="61"/>
    </row>
    <row r="19" spans="1:17" ht="15.75" hidden="1" thickBot="1" x14ac:dyDescent="0.3">
      <c r="H19" s="76" t="s">
        <v>38</v>
      </c>
      <c r="I19" s="77">
        <f>SUM(I8:I18)</f>
        <v>-300000</v>
      </c>
      <c r="J19" s="78">
        <f t="shared" ref="J19:M19" si="2">SUM(J8:J18)</f>
        <v>14000</v>
      </c>
      <c r="K19" s="78">
        <f t="shared" si="2"/>
        <v>14000</v>
      </c>
      <c r="L19" s="78">
        <f t="shared" si="2"/>
        <v>114000</v>
      </c>
      <c r="M19" s="78">
        <f t="shared" si="2"/>
        <v>232089.5355025421</v>
      </c>
      <c r="N19" s="79">
        <f>IRR(I19:M19)</f>
        <v>6.527813895460266E-2</v>
      </c>
      <c r="O19" s="65">
        <f>SUM(J19:M19)</f>
        <v>374089.5355025421</v>
      </c>
      <c r="P19" s="72" t="s">
        <v>37</v>
      </c>
      <c r="Q19" s="66">
        <f>(O19/-I19-1)/4</f>
        <v>6.1741279585451725E-2</v>
      </c>
    </row>
    <row r="20" spans="1:17" hidden="1" x14ac:dyDescent="0.25">
      <c r="I20" s="1"/>
      <c r="J20" s="1"/>
      <c r="K20" s="1"/>
      <c r="L20" s="1"/>
      <c r="M20" s="1"/>
    </row>
    <row r="21" spans="1:17" ht="15.75" thickBot="1" x14ac:dyDescent="0.3"/>
    <row r="22" spans="1:17" ht="32.25" thickBot="1" x14ac:dyDescent="0.3">
      <c r="A22" s="87" t="s">
        <v>28</v>
      </c>
      <c r="B22" s="87"/>
      <c r="C22" s="87"/>
      <c r="D22" s="87"/>
      <c r="E22" s="87"/>
      <c r="F22" s="87"/>
      <c r="G22" s="87"/>
      <c r="H22" s="39" t="s">
        <v>36</v>
      </c>
      <c r="I22" s="38">
        <v>0</v>
      </c>
      <c r="J22" s="29">
        <v>1</v>
      </c>
      <c r="K22" s="29">
        <v>2</v>
      </c>
      <c r="L22" s="29">
        <v>3</v>
      </c>
      <c r="M22" s="29">
        <v>4</v>
      </c>
      <c r="N22" s="32" t="s">
        <v>35</v>
      </c>
      <c r="O22" s="37" t="s">
        <v>33</v>
      </c>
      <c r="P22" s="37" t="s">
        <v>34</v>
      </c>
      <c r="Q22" s="37" t="s">
        <v>31</v>
      </c>
    </row>
    <row r="23" spans="1:17" ht="15.75" x14ac:dyDescent="0.25">
      <c r="A23" s="10" t="s">
        <v>7</v>
      </c>
      <c r="B23" s="11" t="s">
        <v>1</v>
      </c>
      <c r="C23" s="11" t="s">
        <v>4</v>
      </c>
      <c r="D23" s="11" t="s">
        <v>5</v>
      </c>
      <c r="E23" s="11" t="s">
        <v>19</v>
      </c>
      <c r="F23" s="11" t="s">
        <v>9</v>
      </c>
      <c r="G23" s="12"/>
      <c r="I23" s="35">
        <f>-B24</f>
        <v>-100000</v>
      </c>
      <c r="J23" s="33">
        <f>$B24*$C24</f>
        <v>5000</v>
      </c>
      <c r="K23" s="33">
        <f t="shared" ref="K23:L23" si="3">$B24*$C24</f>
        <v>5000</v>
      </c>
      <c r="L23" s="33">
        <f t="shared" si="3"/>
        <v>5000</v>
      </c>
      <c r="M23" s="33">
        <f>$B24*$C24+B24</f>
        <v>105000</v>
      </c>
      <c r="N23" s="44">
        <f>IRR(I23:M23)</f>
        <v>5.0000000000000711E-2</v>
      </c>
      <c r="O23" s="41">
        <f>SUM(J23:M23)</f>
        <v>120000</v>
      </c>
      <c r="P23" s="42">
        <f>EFFECT(C24,1)</f>
        <v>5.0000000000000044E-2</v>
      </c>
      <c r="Q23" s="42">
        <f>(O23/-I23-1)/4</f>
        <v>4.9999999999999989E-2</v>
      </c>
    </row>
    <row r="24" spans="1:17" ht="15.75" thickBot="1" x14ac:dyDescent="0.3">
      <c r="A24" s="13" t="s">
        <v>10</v>
      </c>
      <c r="B24" s="7">
        <v>100000</v>
      </c>
      <c r="C24" s="8">
        <v>0.05</v>
      </c>
      <c r="D24" s="8">
        <v>0.1</v>
      </c>
      <c r="E24" s="9" t="s">
        <v>22</v>
      </c>
      <c r="F24" s="9" t="s">
        <v>23</v>
      </c>
      <c r="G24" s="14"/>
      <c r="I24" s="36"/>
      <c r="J24" s="34"/>
      <c r="K24" s="34"/>
      <c r="L24" s="34"/>
      <c r="M24" s="34"/>
      <c r="N24" s="45"/>
    </row>
    <row r="25" spans="1:17" ht="15.75" thickBot="1" x14ac:dyDescent="0.3">
      <c r="A25" s="15"/>
      <c r="B25" s="16"/>
      <c r="C25" s="16"/>
      <c r="D25" s="16"/>
      <c r="E25" s="16"/>
      <c r="F25" s="16"/>
      <c r="G25" s="14"/>
      <c r="I25" s="1"/>
      <c r="J25" s="1"/>
      <c r="K25" s="1"/>
      <c r="L25" s="1"/>
      <c r="M25" s="1"/>
      <c r="N25" s="28"/>
    </row>
    <row r="26" spans="1:17" ht="15.75" x14ac:dyDescent="0.25">
      <c r="A26" s="17" t="s">
        <v>8</v>
      </c>
      <c r="B26" s="5" t="s">
        <v>1</v>
      </c>
      <c r="C26" s="5" t="s">
        <v>4</v>
      </c>
      <c r="D26" s="5" t="s">
        <v>0</v>
      </c>
      <c r="E26" s="5" t="s">
        <v>19</v>
      </c>
      <c r="F26" s="5" t="s">
        <v>9</v>
      </c>
      <c r="G26" s="14"/>
      <c r="I26" s="35">
        <f>-B27</f>
        <v>-100000</v>
      </c>
      <c r="J26" s="33">
        <f>$C27*$B27</f>
        <v>4000</v>
      </c>
      <c r="K26" s="33">
        <f>$C27*$B27</f>
        <v>4000</v>
      </c>
      <c r="L26" s="33">
        <f>$C27*$B27+B27</f>
        <v>104000</v>
      </c>
      <c r="M26" s="33">
        <v>0</v>
      </c>
      <c r="N26" s="44">
        <f>IRR(I26:M26)</f>
        <v>4.0000000000000036E-2</v>
      </c>
      <c r="O26" s="41">
        <f>SUM(J26:M26)</f>
        <v>112000</v>
      </c>
      <c r="P26" s="42">
        <f>EFFECT(C27,1)</f>
        <v>4.0000000000000036E-2</v>
      </c>
      <c r="Q26" s="42">
        <f>(O26/-I26-1)/4</f>
        <v>3.0000000000000027E-2</v>
      </c>
    </row>
    <row r="27" spans="1:17" ht="15.75" thickBot="1" x14ac:dyDescent="0.3">
      <c r="A27" s="13" t="s">
        <v>11</v>
      </c>
      <c r="B27" s="7">
        <v>100000</v>
      </c>
      <c r="C27" s="8">
        <v>0.04</v>
      </c>
      <c r="D27" s="9">
        <v>3</v>
      </c>
      <c r="E27" s="9" t="s">
        <v>22</v>
      </c>
      <c r="F27" s="9" t="s">
        <v>23</v>
      </c>
      <c r="G27" s="14"/>
      <c r="I27" s="36"/>
      <c r="J27" s="34"/>
      <c r="K27" s="34"/>
      <c r="L27" s="34"/>
      <c r="M27" s="34"/>
      <c r="N27" s="45"/>
    </row>
    <row r="28" spans="1:17" ht="15.75" thickBot="1" x14ac:dyDescent="0.3">
      <c r="A28" s="15"/>
      <c r="B28" s="16"/>
      <c r="C28" s="16"/>
      <c r="D28" s="16"/>
      <c r="E28" s="16"/>
      <c r="F28" s="16"/>
      <c r="G28" s="14"/>
      <c r="I28" s="1"/>
      <c r="J28" s="1"/>
      <c r="K28" s="1"/>
      <c r="L28" s="1"/>
      <c r="M28" s="1"/>
      <c r="N28" s="28"/>
    </row>
    <row r="29" spans="1:17" ht="15.75" x14ac:dyDescent="0.25">
      <c r="A29" s="17" t="s">
        <v>12</v>
      </c>
      <c r="B29" s="5" t="s">
        <v>1</v>
      </c>
      <c r="C29" s="5" t="s">
        <v>14</v>
      </c>
      <c r="D29" s="5" t="s">
        <v>15</v>
      </c>
      <c r="E29" s="5" t="s">
        <v>24</v>
      </c>
      <c r="F29" s="5" t="s">
        <v>25</v>
      </c>
      <c r="G29" s="18" t="s">
        <v>26</v>
      </c>
      <c r="I29" s="35">
        <f>-B30-F30</f>
        <v>-105000</v>
      </c>
      <c r="J29" s="33">
        <v>0</v>
      </c>
      <c r="K29" s="33">
        <v>0</v>
      </c>
      <c r="L29" s="33">
        <v>0</v>
      </c>
      <c r="M29" s="33">
        <f>G30*D30</f>
        <v>90000</v>
      </c>
      <c r="N29" s="44">
        <f>IRR(I29:M29)</f>
        <v>-3.7804541804234981E-2</v>
      </c>
      <c r="O29" s="41">
        <f>SUM(J29:M29)</f>
        <v>90000</v>
      </c>
      <c r="P29" s="43" t="s">
        <v>37</v>
      </c>
      <c r="Q29" s="42">
        <f>(O29/-I29-1)/4</f>
        <v>-3.5714285714285726E-2</v>
      </c>
    </row>
    <row r="30" spans="1:17" ht="15.75" thickBot="1" x14ac:dyDescent="0.3">
      <c r="A30" s="13" t="s">
        <v>13</v>
      </c>
      <c r="B30" s="7">
        <v>100000</v>
      </c>
      <c r="C30" s="7">
        <v>10000</v>
      </c>
      <c r="D30" s="9">
        <f>B30/C30</f>
        <v>10</v>
      </c>
      <c r="E30" s="7">
        <v>500</v>
      </c>
      <c r="F30" s="7">
        <f>E30*D30</f>
        <v>5000</v>
      </c>
      <c r="G30" s="19">
        <v>9000</v>
      </c>
      <c r="I30" s="36"/>
      <c r="J30" s="34"/>
      <c r="K30" s="34"/>
      <c r="L30" s="34"/>
      <c r="M30" s="34"/>
      <c r="N30" s="45"/>
    </row>
    <row r="31" spans="1:17" ht="15" customHeight="1" thickBot="1" x14ac:dyDescent="0.3">
      <c r="A31" s="15"/>
      <c r="B31" s="16"/>
      <c r="C31" s="16"/>
      <c r="D31" s="16"/>
      <c r="E31" s="16"/>
      <c r="F31" s="88" t="s">
        <v>29</v>
      </c>
      <c r="G31" s="89"/>
      <c r="I31" s="1"/>
      <c r="J31" s="1"/>
      <c r="K31" s="1"/>
      <c r="L31" s="1"/>
      <c r="M31" s="1"/>
      <c r="N31" s="28"/>
    </row>
    <row r="32" spans="1:17" ht="15.75" x14ac:dyDescent="0.25">
      <c r="A32" s="17" t="s">
        <v>16</v>
      </c>
      <c r="B32" s="5" t="s">
        <v>1</v>
      </c>
      <c r="C32" s="5" t="s">
        <v>3</v>
      </c>
      <c r="D32" s="5" t="s">
        <v>19</v>
      </c>
      <c r="E32" s="5" t="s">
        <v>9</v>
      </c>
      <c r="F32" s="90"/>
      <c r="G32" s="91"/>
      <c r="I32" s="35">
        <f>-B33</f>
        <v>-95000</v>
      </c>
      <c r="J32" s="33">
        <f>FV($C$33/12,12,0,I32,0)+I32</f>
        <v>4860.3802987646777</v>
      </c>
      <c r="K32" s="33">
        <f>FV($C$33/12,12,0,-J33,0)-J33</f>
        <v>2751.4405974678157</v>
      </c>
      <c r="L32" s="33">
        <f>FV($C$33/12,12,0,-K33,0)-K33</f>
        <v>534.60353853446759</v>
      </c>
      <c r="M32" s="46">
        <f>FV($C$33/12,12,0,-L33,0)</f>
        <v>68223.109027251558</v>
      </c>
      <c r="N32" s="44">
        <f>IRR(I32:M32)</f>
        <v>-5.6576489035195299E-2</v>
      </c>
      <c r="O32" s="41">
        <f>SUM(J32:M32)</f>
        <v>76369.533462018517</v>
      </c>
      <c r="P32" s="43">
        <f>EFFECT(C33,12)</f>
        <v>5.116189788173342E-2</v>
      </c>
      <c r="Q32" s="42">
        <f>(O32/-I32-1)/4</f>
        <v>-4.9027543521003913E-2</v>
      </c>
    </row>
    <row r="33" spans="1:17" ht="15.75" thickBot="1" x14ac:dyDescent="0.3">
      <c r="A33" s="20" t="s">
        <v>21</v>
      </c>
      <c r="B33" s="21">
        <f>$C$5-B24-B27-B30-F30</f>
        <v>95000</v>
      </c>
      <c r="C33" s="22">
        <v>0.05</v>
      </c>
      <c r="D33" s="23" t="s">
        <v>20</v>
      </c>
      <c r="E33" s="23" t="s">
        <v>18</v>
      </c>
      <c r="F33" s="92"/>
      <c r="G33" s="93"/>
      <c r="H33" s="80" t="s">
        <v>46</v>
      </c>
      <c r="I33" s="81"/>
      <c r="J33" s="82">
        <f>-I32+J32+J29+J26+J23-J38</f>
        <v>53779.09560407792</v>
      </c>
      <c r="K33" s="82">
        <f>J33+K32+K29+K26+K23-K38</f>
        <v>10449.251506858978</v>
      </c>
      <c r="L33" s="82">
        <f>K33+L32+L29+L26+L23-L38</f>
        <v>64902.570350706686</v>
      </c>
      <c r="M33" s="47"/>
      <c r="N33" s="45"/>
    </row>
    <row r="34" spans="1:17" ht="15.75" thickBot="1" x14ac:dyDescent="0.3">
      <c r="H34" s="40" t="s">
        <v>47</v>
      </c>
    </row>
    <row r="35" spans="1:17" ht="16.5" thickBot="1" x14ac:dyDescent="0.3">
      <c r="A35" s="50" t="s">
        <v>40</v>
      </c>
      <c r="B35" s="50" t="s">
        <v>1</v>
      </c>
      <c r="C35" s="50" t="s">
        <v>3</v>
      </c>
      <c r="D35" s="50" t="s">
        <v>19</v>
      </c>
      <c r="E35" s="50" t="s">
        <v>42</v>
      </c>
      <c r="F35" s="50" t="s">
        <v>0</v>
      </c>
      <c r="G35" s="52" t="s">
        <v>44</v>
      </c>
      <c r="I35" s="53"/>
      <c r="J35" s="53"/>
      <c r="K35" s="53"/>
      <c r="L35" s="53"/>
      <c r="M35" s="54"/>
      <c r="N35" s="40"/>
      <c r="O35" s="48"/>
      <c r="P35" s="6"/>
      <c r="Q35" s="6"/>
    </row>
    <row r="36" spans="1:17" ht="15.75" thickBot="1" x14ac:dyDescent="0.3">
      <c r="A36" s="26"/>
      <c r="B36" s="49">
        <v>150000</v>
      </c>
      <c r="C36" s="51">
        <v>0.05</v>
      </c>
      <c r="D36" s="49" t="s">
        <v>41</v>
      </c>
      <c r="E36" s="49" t="s">
        <v>43</v>
      </c>
      <c r="F36" s="49">
        <v>3</v>
      </c>
      <c r="G36" s="30">
        <f>PMT(C36,F36,-B36,0,0)</f>
        <v>55081.284694686758</v>
      </c>
    </row>
    <row r="37" spans="1:17" ht="32.25" thickBot="1" x14ac:dyDescent="0.3">
      <c r="H37" s="39" t="s">
        <v>39</v>
      </c>
    </row>
    <row r="38" spans="1:17" x14ac:dyDescent="0.25">
      <c r="I38" s="53">
        <v>0</v>
      </c>
      <c r="J38" s="53">
        <f>$G$36</f>
        <v>55081.284694686758</v>
      </c>
      <c r="K38" s="53">
        <f t="shared" ref="K38:L38" si="4">$G$36</f>
        <v>55081.284694686758</v>
      </c>
      <c r="L38" s="53">
        <f t="shared" si="4"/>
        <v>55081.284694686758</v>
      </c>
      <c r="M38" s="53">
        <v>0</v>
      </c>
    </row>
    <row r="39" spans="1:17" ht="15.75" thickBot="1" x14ac:dyDescent="0.3"/>
    <row r="40" spans="1:17" ht="15.75" thickBot="1" x14ac:dyDescent="0.3">
      <c r="H40" s="55" t="s">
        <v>45</v>
      </c>
      <c r="I40" s="53">
        <f>SUM(I32,I29,I26,I23,I38)</f>
        <v>-400000</v>
      </c>
      <c r="J40" s="53">
        <f>J38</f>
        <v>55081.284694686758</v>
      </c>
      <c r="K40" s="53">
        <f>K38</f>
        <v>55081.284694686758</v>
      </c>
      <c r="L40" s="53">
        <f>L38</f>
        <v>55081.284694686758</v>
      </c>
      <c r="M40" s="83">
        <f>SUM(M23,M26,M29,M32)</f>
        <v>263223.10902725154</v>
      </c>
      <c r="N40" s="84">
        <f>IRR(I40:M40)</f>
        <v>2.1609438798433578E-2</v>
      </c>
      <c r="O40" s="85">
        <f>SUM(J40:M40)</f>
        <v>428466.96311131178</v>
      </c>
      <c r="P40" s="9" t="s">
        <v>37</v>
      </c>
      <c r="Q40" s="86">
        <f>(O40/-I40-1)/4</f>
        <v>1.7791851944569836E-2</v>
      </c>
    </row>
  </sheetData>
  <mergeCells count="5">
    <mergeCell ref="A7:G7"/>
    <mergeCell ref="A22:G22"/>
    <mergeCell ref="F31:G33"/>
    <mergeCell ref="F4:G4"/>
    <mergeCell ref="F5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опционщики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2021-11-08T20:01:52Z</dcterms:modified>
</cp:coreProperties>
</file>