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comments1.xml" ContentType="application/vnd.openxmlformats-officedocument.spreadsheetml.comments+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comments2.xml" ContentType="application/vnd.openxmlformats-officedocument.spreadsheetml.comments+xml"/>
  <Override PartName="/xl/tables/table29.xml" ContentType="application/vnd.openxmlformats-officedocument.spreadsheetml.table+xml"/>
  <Override PartName="/xl/tables/table30.xml" ContentType="application/vnd.openxmlformats-officedocument.spreadsheetml.table+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defaultThemeVersion="166925"/>
  <mc:AlternateContent xmlns:mc="http://schemas.openxmlformats.org/markup-compatibility/2006">
    <mc:Choice Requires="x15">
      <x15ac:absPath xmlns:x15ac="http://schemas.microsoft.com/office/spreadsheetml/2010/11/ac" url="Z:\CIS-RAM\RAM 2.1\"/>
    </mc:Choice>
  </mc:AlternateContent>
  <xr:revisionPtr revIDLastSave="0" documentId="8_{6FA3F190-375D-48B6-830C-4798C25AB2C4}" xr6:coauthVersionLast="47" xr6:coauthVersionMax="47" xr10:uidLastSave="{00000000-0000-0000-0000-000000000000}"/>
  <bookViews>
    <workbookView xWindow="4155" yWindow="1665" windowWidth="13890" windowHeight="12735" tabRatio="945" xr2:uid="{5FB309F1-118B-4514-8FE1-25A01A609E8C}"/>
  </bookViews>
  <sheets>
    <sheet name="Cover" sheetId="17" r:id="rId1"/>
    <sheet name="Read_Me" sheetId="38" r:id="rId2"/>
    <sheet name="CIS Controls Resources" sheetId="39" r:id="rId3"/>
    <sheet name="1. Impact Criteria Survey " sheetId="14" r:id="rId4"/>
    <sheet name="2. Enterprise Parameters" sheetId="13" r:id="rId5"/>
    <sheet name="3a. Risk Register Controls v7.1" sheetId="27" r:id="rId6"/>
    <sheet name="3b. Risk Register Controls v8" sheetId="26" r:id="rId7"/>
    <sheet name="Legend" sheetId="18" r:id="rId8"/>
    <sheet name="Lookup Tables" sheetId="6" r:id="rId9"/>
    <sheet name="CIS CSAT Pro" sheetId="33" r:id="rId10"/>
    <sheet name="CIS-Hosted CSAT" sheetId="34" r:id="rId11"/>
    <sheet name="Impact Criteria Survey -EXAMPLE" sheetId="16" r:id="rId12"/>
    <sheet name="Enterprise Parameters  -EXAMPLE" sheetId="28" r:id="rId13"/>
    <sheet name="Risk Register Controls v8 - EX" sheetId="32" r:id="rId14"/>
    <sheet name="CIS-Hosted CSAT - EXAMPLE" sheetId="35" r:id="rId15"/>
    <sheet name="CIS CSAT Pro - EXAMPLE" sheetId="36" r:id="rId16"/>
  </sheets>
  <definedNames>
    <definedName name="_ftn1" localSheetId="9">'CIS CSAT Pro'!$L$20</definedName>
    <definedName name="_ftnref1" localSheetId="9">'CIS CSAT Pro'!$L$9</definedName>
    <definedName name="_Hlk82606169" localSheetId="9">'CIS CSAT Pro'!$L$16</definedName>
    <definedName name="_Hlk82606169" localSheetId="15">'CIS CSAT Pro - EXAMPLE'!#REF!</definedName>
    <definedName name="AcceptableRisk">'2. Enterprise Parameters'!$E$35</definedName>
    <definedName name="AcceptableRisk1">'Enterprise Parameters  -EXAMPLE'!$E$35</definedName>
    <definedName name="Asset_Classes" localSheetId="1">Table10[[#Data],[Asset Classes]]</definedName>
    <definedName name="Asset_Classes">Table10[[#Data],[Asset Classes]]</definedName>
    <definedName name="Industry" localSheetId="5">tblVCDBIndex[Asset Class]</definedName>
    <definedName name="Industry" localSheetId="6">tblVCDBIndex[Asset Class]</definedName>
    <definedName name="Industry" localSheetId="12">tblVCDBIndex[Asset Class]</definedName>
    <definedName name="Industry" localSheetId="11">tblVCDBIndex[Asset Class]</definedName>
    <definedName name="Industry" localSheetId="1">tblVCDBIndex[Asset Class]</definedName>
    <definedName name="Industry" localSheetId="13">tblVCDBIndex[Asset Class]</definedName>
    <definedName name="Industry">tblVCDBIndex[Asset Class]</definedName>
    <definedName name="Maturity_Score" localSheetId="5">tblMaturityScores[Maturity Scores]</definedName>
    <definedName name="Maturity_Score" localSheetId="6">tblMaturityScores[Maturity Scores]</definedName>
    <definedName name="Maturity_Score" localSheetId="12">tblMaturityScores[Maturity Scores]</definedName>
    <definedName name="Maturity_Score" localSheetId="11">tblMaturityScores[Maturity Scores]</definedName>
    <definedName name="Maturity_Score" localSheetId="1">tblMaturityScores[Maturity Scores]</definedName>
    <definedName name="Maturity_Score" localSheetId="13">tblMaturityScores[Maturity Scores]</definedName>
    <definedName name="Maturity_Score">tblMaturityScores[Maturity Scores]</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12" i="32" l="1"/>
  <c r="AE13" i="32"/>
  <c r="AE14" i="32"/>
  <c r="AE15" i="32"/>
  <c r="AE16" i="32"/>
  <c r="AE17" i="32"/>
  <c r="AE18" i="32"/>
  <c r="AE19" i="32"/>
  <c r="AE20" i="32"/>
  <c r="AE21" i="32"/>
  <c r="AE11" i="32"/>
  <c r="AD12" i="32"/>
  <c r="AD13" i="32"/>
  <c r="AD14" i="32"/>
  <c r="AD15" i="32"/>
  <c r="AD16" i="32"/>
  <c r="AD17" i="32"/>
  <c r="AD18" i="32"/>
  <c r="AD19" i="32"/>
  <c r="AD20" i="32"/>
  <c r="AD21" i="32"/>
  <c r="AD11" i="32"/>
  <c r="AE12" i="26"/>
  <c r="AE13" i="26"/>
  <c r="AE14" i="26"/>
  <c r="AE15" i="26"/>
  <c r="AE16" i="26"/>
  <c r="AE17" i="26"/>
  <c r="AE18" i="26"/>
  <c r="AE19" i="26"/>
  <c r="AE20" i="26"/>
  <c r="AE21" i="26"/>
  <c r="AE22" i="26"/>
  <c r="AE23" i="26"/>
  <c r="AE24" i="26"/>
  <c r="AE25" i="26"/>
  <c r="AE26" i="26"/>
  <c r="AE27" i="26"/>
  <c r="AE28" i="26"/>
  <c r="AE29" i="26"/>
  <c r="AE30" i="26"/>
  <c r="AE31" i="26"/>
  <c r="AE32" i="26"/>
  <c r="AE33" i="26"/>
  <c r="AE34" i="26"/>
  <c r="AE35" i="26"/>
  <c r="AE36" i="26"/>
  <c r="AE37" i="26"/>
  <c r="AE38" i="26"/>
  <c r="AE39" i="26"/>
  <c r="AE40" i="26"/>
  <c r="AE41" i="26"/>
  <c r="AE42" i="26"/>
  <c r="AE43" i="26"/>
  <c r="AE44" i="26"/>
  <c r="AE45" i="26"/>
  <c r="AE46" i="26"/>
  <c r="AE47" i="26"/>
  <c r="AE48" i="26"/>
  <c r="AE49" i="26"/>
  <c r="AE50" i="26"/>
  <c r="AE51" i="26"/>
  <c r="AE52" i="26"/>
  <c r="AE53" i="26"/>
  <c r="AE54" i="26"/>
  <c r="AE55" i="26"/>
  <c r="AE56" i="26"/>
  <c r="AE57" i="26"/>
  <c r="AE58" i="26"/>
  <c r="AE59" i="26"/>
  <c r="AE60" i="26"/>
  <c r="AE61" i="26"/>
  <c r="AE62" i="26"/>
  <c r="AE63" i="26"/>
  <c r="AE64" i="26"/>
  <c r="AE65" i="26"/>
  <c r="AE66" i="26"/>
  <c r="AE67" i="26"/>
  <c r="AE68" i="26"/>
  <c r="AE69" i="26"/>
  <c r="AE70" i="26"/>
  <c r="AE71" i="26"/>
  <c r="AE72" i="26"/>
  <c r="AE73" i="26"/>
  <c r="AE74" i="26"/>
  <c r="AE75" i="26"/>
  <c r="AE76" i="26"/>
  <c r="AE77" i="26"/>
  <c r="AE78" i="26"/>
  <c r="AE79" i="26"/>
  <c r="AE80" i="26"/>
  <c r="AE81" i="26"/>
  <c r="AE82" i="26"/>
  <c r="AE83" i="26"/>
  <c r="AE84" i="26"/>
  <c r="AE85" i="26"/>
  <c r="AE86" i="26"/>
  <c r="AE87" i="26"/>
  <c r="AE88" i="26"/>
  <c r="AE89" i="26"/>
  <c r="AE90" i="26"/>
  <c r="AE91" i="26"/>
  <c r="AE92" i="26"/>
  <c r="AE93" i="26"/>
  <c r="AE94" i="26"/>
  <c r="AE95" i="26"/>
  <c r="AE96" i="26"/>
  <c r="AE97" i="26"/>
  <c r="AE98" i="26"/>
  <c r="AE99" i="26"/>
  <c r="AE100" i="26"/>
  <c r="AE101" i="26"/>
  <c r="AE102" i="26"/>
  <c r="AE103" i="26"/>
  <c r="AE104" i="26"/>
  <c r="AE105" i="26"/>
  <c r="AE106" i="26"/>
  <c r="AE107" i="26"/>
  <c r="AE108" i="26"/>
  <c r="AE109" i="26"/>
  <c r="AE110" i="26"/>
  <c r="AE111" i="26"/>
  <c r="AE112" i="26"/>
  <c r="AE113" i="26"/>
  <c r="AE114" i="26"/>
  <c r="AE115" i="26"/>
  <c r="AE116" i="26"/>
  <c r="AE117" i="26"/>
  <c r="AE118" i="26"/>
  <c r="AE119" i="26"/>
  <c r="AE120" i="26"/>
  <c r="AE121" i="26"/>
  <c r="AE122" i="26"/>
  <c r="AE123" i="26"/>
  <c r="AE124" i="26"/>
  <c r="AE125" i="26"/>
  <c r="AE126" i="26"/>
  <c r="AE127" i="26"/>
  <c r="AE128" i="26"/>
  <c r="AE129" i="26"/>
  <c r="AE130" i="26"/>
  <c r="AE131" i="26"/>
  <c r="AE132" i="26"/>
  <c r="AE133" i="26"/>
  <c r="AE134" i="26"/>
  <c r="AE135" i="26"/>
  <c r="AE136" i="26"/>
  <c r="AE137" i="26"/>
  <c r="AE138" i="26"/>
  <c r="AE139" i="26"/>
  <c r="AE140" i="26"/>
  <c r="AE11" i="26"/>
  <c r="AD12" i="26"/>
  <c r="AD13" i="26"/>
  <c r="AD14" i="26"/>
  <c r="AD15" i="26"/>
  <c r="AD16" i="26"/>
  <c r="AD17" i="26"/>
  <c r="AD18" i="26"/>
  <c r="AD19" i="26"/>
  <c r="AD20" i="26"/>
  <c r="AD21" i="26"/>
  <c r="AD22" i="26"/>
  <c r="AD23" i="26"/>
  <c r="AD24" i="26"/>
  <c r="AD25" i="26"/>
  <c r="AD26" i="26"/>
  <c r="AD27" i="26"/>
  <c r="AD28" i="26"/>
  <c r="AD29" i="26"/>
  <c r="AD30" i="26"/>
  <c r="AD31" i="26"/>
  <c r="AD32" i="26"/>
  <c r="AD33" i="26"/>
  <c r="AD34" i="26"/>
  <c r="AD35" i="26"/>
  <c r="AD36" i="26"/>
  <c r="AD37" i="26"/>
  <c r="AD38" i="26"/>
  <c r="AD39" i="26"/>
  <c r="AD40" i="26"/>
  <c r="AD41" i="26"/>
  <c r="AD42" i="26"/>
  <c r="AD43" i="26"/>
  <c r="AD44" i="26"/>
  <c r="AD45" i="26"/>
  <c r="AD46" i="26"/>
  <c r="AD47" i="26"/>
  <c r="AD48" i="26"/>
  <c r="AD49" i="26"/>
  <c r="AD50" i="26"/>
  <c r="AD51" i="26"/>
  <c r="AD52" i="26"/>
  <c r="AD53" i="26"/>
  <c r="AD54" i="26"/>
  <c r="AD55" i="26"/>
  <c r="AD56" i="26"/>
  <c r="AD57" i="26"/>
  <c r="AD58" i="26"/>
  <c r="AD59" i="26"/>
  <c r="AD60" i="26"/>
  <c r="AD61" i="26"/>
  <c r="AD62" i="26"/>
  <c r="AD63" i="26"/>
  <c r="AD64" i="26"/>
  <c r="AD65" i="26"/>
  <c r="AD66" i="26"/>
  <c r="AD67" i="26"/>
  <c r="AD68" i="26"/>
  <c r="AD69" i="26"/>
  <c r="AD70" i="26"/>
  <c r="AD71" i="26"/>
  <c r="AD72" i="26"/>
  <c r="AD73" i="26"/>
  <c r="AD74" i="26"/>
  <c r="AD75" i="26"/>
  <c r="AD76" i="26"/>
  <c r="AD77" i="26"/>
  <c r="AD78" i="26"/>
  <c r="AD79" i="26"/>
  <c r="AD80" i="26"/>
  <c r="AD81" i="26"/>
  <c r="AD82" i="26"/>
  <c r="AD83" i="26"/>
  <c r="AD84" i="26"/>
  <c r="AD85" i="26"/>
  <c r="AD86" i="26"/>
  <c r="AD87" i="26"/>
  <c r="AD88" i="26"/>
  <c r="AD89" i="26"/>
  <c r="AD90" i="26"/>
  <c r="AD91" i="26"/>
  <c r="AD92" i="26"/>
  <c r="AD93" i="26"/>
  <c r="AD94" i="26"/>
  <c r="AD95" i="26"/>
  <c r="AD96" i="26"/>
  <c r="AD97" i="26"/>
  <c r="AD98" i="26"/>
  <c r="AD99" i="26"/>
  <c r="AD100" i="26"/>
  <c r="AD101" i="26"/>
  <c r="AD102" i="26"/>
  <c r="AD103" i="26"/>
  <c r="AD104" i="26"/>
  <c r="AD105" i="26"/>
  <c r="AD106" i="26"/>
  <c r="AD107" i="26"/>
  <c r="AD108" i="26"/>
  <c r="AD109" i="26"/>
  <c r="AD110" i="26"/>
  <c r="AD111" i="26"/>
  <c r="AD112" i="26"/>
  <c r="AD113" i="26"/>
  <c r="AD114" i="26"/>
  <c r="AD115" i="26"/>
  <c r="AD116" i="26"/>
  <c r="AD117" i="26"/>
  <c r="AD118" i="26"/>
  <c r="AD119" i="26"/>
  <c r="AD120" i="26"/>
  <c r="AD121" i="26"/>
  <c r="AD122" i="26"/>
  <c r="AD123" i="26"/>
  <c r="AD124" i="26"/>
  <c r="AD125" i="26"/>
  <c r="AD126" i="26"/>
  <c r="AD127" i="26"/>
  <c r="AD128" i="26"/>
  <c r="AD129" i="26"/>
  <c r="AD130" i="26"/>
  <c r="AD131" i="26"/>
  <c r="AD132" i="26"/>
  <c r="AD133" i="26"/>
  <c r="AD134" i="26"/>
  <c r="AD135" i="26"/>
  <c r="AD136" i="26"/>
  <c r="AD137" i="26"/>
  <c r="AD138" i="26"/>
  <c r="AD139" i="26"/>
  <c r="AD140" i="26"/>
  <c r="AD11" i="26"/>
  <c r="AE12" i="27"/>
  <c r="AE13" i="27"/>
  <c r="AE14" i="27"/>
  <c r="AE15" i="27"/>
  <c r="AE16" i="27"/>
  <c r="AE17" i="27"/>
  <c r="AE18" i="27"/>
  <c r="AE19" i="27"/>
  <c r="AE20" i="27"/>
  <c r="AE21" i="27"/>
  <c r="AE22" i="27"/>
  <c r="AE23" i="27"/>
  <c r="AE24" i="27"/>
  <c r="AE25" i="27"/>
  <c r="AE26" i="27"/>
  <c r="AE27" i="27"/>
  <c r="AE28" i="27"/>
  <c r="AE29" i="27"/>
  <c r="AE30" i="27"/>
  <c r="AE31" i="27"/>
  <c r="AE32" i="27"/>
  <c r="AE33" i="27"/>
  <c r="AE34" i="27"/>
  <c r="AE35" i="27"/>
  <c r="AE36" i="27"/>
  <c r="AE37" i="27"/>
  <c r="AE38" i="27"/>
  <c r="AE39" i="27"/>
  <c r="AE40" i="27"/>
  <c r="AE41" i="27"/>
  <c r="AE42" i="27"/>
  <c r="AE43" i="27"/>
  <c r="AE44" i="27"/>
  <c r="AE45" i="27"/>
  <c r="AE46" i="27"/>
  <c r="AE47" i="27"/>
  <c r="AE48" i="27"/>
  <c r="AE49" i="27"/>
  <c r="AE50" i="27"/>
  <c r="AE51" i="27"/>
  <c r="AE52" i="27"/>
  <c r="AE53" i="27"/>
  <c r="AE54" i="27"/>
  <c r="AE55" i="27"/>
  <c r="AE56" i="27"/>
  <c r="AE57" i="27"/>
  <c r="AE58" i="27"/>
  <c r="AE59" i="27"/>
  <c r="AE60" i="27"/>
  <c r="AE61" i="27"/>
  <c r="AE62" i="27"/>
  <c r="AE63" i="27"/>
  <c r="AE64" i="27"/>
  <c r="AE65" i="27"/>
  <c r="AE66" i="27"/>
  <c r="AE67" i="27"/>
  <c r="AE68" i="27"/>
  <c r="AE69" i="27"/>
  <c r="AE70" i="27"/>
  <c r="AE71" i="27"/>
  <c r="AE72" i="27"/>
  <c r="AE73" i="27"/>
  <c r="AE74" i="27"/>
  <c r="AE75" i="27"/>
  <c r="AE76" i="27"/>
  <c r="AE77" i="27"/>
  <c r="AE78" i="27"/>
  <c r="AE79" i="27"/>
  <c r="AE80" i="27"/>
  <c r="AE81" i="27"/>
  <c r="AE82" i="27"/>
  <c r="AE83" i="27"/>
  <c r="AE84" i="27"/>
  <c r="AE85" i="27"/>
  <c r="AE86" i="27"/>
  <c r="AE87" i="27"/>
  <c r="AE88" i="27"/>
  <c r="AE89" i="27"/>
  <c r="AE90" i="27"/>
  <c r="AE91" i="27"/>
  <c r="AE92" i="27"/>
  <c r="AE93" i="27"/>
  <c r="AE94" i="27"/>
  <c r="AE95" i="27"/>
  <c r="AE96" i="27"/>
  <c r="AE97" i="27"/>
  <c r="AE98" i="27"/>
  <c r="AE99" i="27"/>
  <c r="AE100" i="27"/>
  <c r="AE101" i="27"/>
  <c r="AE102" i="27"/>
  <c r="AE103" i="27"/>
  <c r="AE104" i="27"/>
  <c r="AE105" i="27"/>
  <c r="AE106" i="27"/>
  <c r="AE107" i="27"/>
  <c r="AE108" i="27"/>
  <c r="AE109" i="27"/>
  <c r="AE110" i="27"/>
  <c r="AE111" i="27"/>
  <c r="AE112" i="27"/>
  <c r="AE113" i="27"/>
  <c r="AE114" i="27"/>
  <c r="AE115" i="27"/>
  <c r="AE116" i="27"/>
  <c r="AE117" i="27"/>
  <c r="AE118" i="27"/>
  <c r="AE119" i="27"/>
  <c r="AE120" i="27"/>
  <c r="AE121" i="27"/>
  <c r="AE122" i="27"/>
  <c r="AE123" i="27"/>
  <c r="AE124" i="27"/>
  <c r="AE125" i="27"/>
  <c r="AE126" i="27"/>
  <c r="AE127" i="27"/>
  <c r="AE128" i="27"/>
  <c r="AE129" i="27"/>
  <c r="AE130" i="27"/>
  <c r="AE131" i="27"/>
  <c r="AE132" i="27"/>
  <c r="AE133" i="27"/>
  <c r="AE134" i="27"/>
  <c r="AE135" i="27"/>
  <c r="AE136" i="27"/>
  <c r="AE137" i="27"/>
  <c r="AE138" i="27"/>
  <c r="AE139" i="27"/>
  <c r="AE140" i="27"/>
  <c r="AE141" i="27"/>
  <c r="AE142" i="27"/>
  <c r="AE143" i="27"/>
  <c r="AE144" i="27"/>
  <c r="AE145" i="27"/>
  <c r="AE146" i="27"/>
  <c r="AE147" i="27"/>
  <c r="AE148" i="27"/>
  <c r="AE149" i="27"/>
  <c r="AE150" i="27"/>
  <c r="AE151" i="27"/>
  <c r="AE152" i="27"/>
  <c r="AE11" i="27"/>
  <c r="AD12" i="27"/>
  <c r="AD13" i="27"/>
  <c r="AD14" i="27"/>
  <c r="AD15" i="27"/>
  <c r="AD16" i="27"/>
  <c r="AD17" i="27"/>
  <c r="AD18" i="27"/>
  <c r="AD19" i="27"/>
  <c r="AD20" i="27"/>
  <c r="AD21" i="27"/>
  <c r="AD22" i="27"/>
  <c r="AD23" i="27"/>
  <c r="AD24" i="27"/>
  <c r="AD25" i="27"/>
  <c r="AD26" i="27"/>
  <c r="AD27" i="27"/>
  <c r="AD28" i="27"/>
  <c r="AD29" i="27"/>
  <c r="AD30" i="27"/>
  <c r="AD31" i="27"/>
  <c r="AD32" i="27"/>
  <c r="AD33" i="27"/>
  <c r="AD34" i="27"/>
  <c r="AD35" i="27"/>
  <c r="AD36" i="27"/>
  <c r="AD37" i="27"/>
  <c r="AD38" i="27"/>
  <c r="AD39" i="27"/>
  <c r="AD40" i="27"/>
  <c r="AD41" i="27"/>
  <c r="AD42" i="27"/>
  <c r="AD43" i="27"/>
  <c r="AD44" i="27"/>
  <c r="AD45" i="27"/>
  <c r="AD46" i="27"/>
  <c r="AD47" i="27"/>
  <c r="AD48" i="27"/>
  <c r="AD49" i="27"/>
  <c r="AD50" i="27"/>
  <c r="AD51" i="27"/>
  <c r="AD52" i="27"/>
  <c r="AD53" i="27"/>
  <c r="AD54" i="27"/>
  <c r="AD55" i="27"/>
  <c r="AD56" i="27"/>
  <c r="AD57" i="27"/>
  <c r="AD58" i="27"/>
  <c r="AD59" i="27"/>
  <c r="AD60" i="27"/>
  <c r="AD61" i="27"/>
  <c r="AD62" i="27"/>
  <c r="AD63" i="27"/>
  <c r="AD64" i="27"/>
  <c r="AD65" i="27"/>
  <c r="AD66" i="27"/>
  <c r="AD67" i="27"/>
  <c r="AD68" i="27"/>
  <c r="AD69" i="27"/>
  <c r="AD70" i="27"/>
  <c r="AD71" i="27"/>
  <c r="AD72" i="27"/>
  <c r="AD73" i="27"/>
  <c r="AD74" i="27"/>
  <c r="AD75" i="27"/>
  <c r="AD76" i="27"/>
  <c r="AD77" i="27"/>
  <c r="AD78" i="27"/>
  <c r="AD79" i="27"/>
  <c r="AD80" i="27"/>
  <c r="AD81" i="27"/>
  <c r="AD82" i="27"/>
  <c r="AD83" i="27"/>
  <c r="AD84" i="27"/>
  <c r="AD85" i="27"/>
  <c r="AD86" i="27"/>
  <c r="AD87" i="27"/>
  <c r="AD88" i="27"/>
  <c r="AD89" i="27"/>
  <c r="AD90" i="27"/>
  <c r="AD91" i="27"/>
  <c r="AD92" i="27"/>
  <c r="AD93" i="27"/>
  <c r="AD94" i="27"/>
  <c r="AD95" i="27"/>
  <c r="AD96" i="27"/>
  <c r="AD97" i="27"/>
  <c r="AD98" i="27"/>
  <c r="AD99" i="27"/>
  <c r="AD100" i="27"/>
  <c r="AD101" i="27"/>
  <c r="AD102" i="27"/>
  <c r="AD103" i="27"/>
  <c r="AD104" i="27"/>
  <c r="AD105" i="27"/>
  <c r="AD106" i="27"/>
  <c r="AD107" i="27"/>
  <c r="AD108" i="27"/>
  <c r="AD109" i="27"/>
  <c r="AD110" i="27"/>
  <c r="AD111" i="27"/>
  <c r="AD112" i="27"/>
  <c r="AD113" i="27"/>
  <c r="AD114" i="27"/>
  <c r="AD115" i="27"/>
  <c r="AD116" i="27"/>
  <c r="AD117" i="27"/>
  <c r="AD118" i="27"/>
  <c r="AD119" i="27"/>
  <c r="AD120" i="27"/>
  <c r="AD121" i="27"/>
  <c r="AD122" i="27"/>
  <c r="AD123" i="27"/>
  <c r="AD124" i="27"/>
  <c r="AD125" i="27"/>
  <c r="AD126" i="27"/>
  <c r="AD127" i="27"/>
  <c r="AD128" i="27"/>
  <c r="AD129" i="27"/>
  <c r="AD130" i="27"/>
  <c r="AD131" i="27"/>
  <c r="AD132" i="27"/>
  <c r="AD133" i="27"/>
  <c r="AD134" i="27"/>
  <c r="AD135" i="27"/>
  <c r="AD136" i="27"/>
  <c r="AD137" i="27"/>
  <c r="AD138" i="27"/>
  <c r="AD139" i="27"/>
  <c r="AD140" i="27"/>
  <c r="AD141" i="27"/>
  <c r="AD142" i="27"/>
  <c r="AD143" i="27"/>
  <c r="AD144" i="27"/>
  <c r="AD145" i="27"/>
  <c r="AD146" i="27"/>
  <c r="AD147" i="27"/>
  <c r="AD148" i="27"/>
  <c r="AD149" i="27"/>
  <c r="AD150" i="27"/>
  <c r="AD151" i="27"/>
  <c r="AD152" i="27"/>
  <c r="AD11" i="27"/>
  <c r="AC12" i="27"/>
  <c r="AC13" i="27"/>
  <c r="AC14" i="27"/>
  <c r="AC15" i="27"/>
  <c r="AC16" i="27"/>
  <c r="AC17" i="27"/>
  <c r="AC18" i="27"/>
  <c r="AC19" i="27"/>
  <c r="AC20" i="27"/>
  <c r="AC21" i="27"/>
  <c r="AC22" i="27"/>
  <c r="AC23" i="27"/>
  <c r="AC24" i="27"/>
  <c r="AC25" i="27"/>
  <c r="AC26" i="27"/>
  <c r="AC27" i="27"/>
  <c r="AC28" i="27"/>
  <c r="AC29" i="27"/>
  <c r="AC30" i="27"/>
  <c r="AC31" i="27"/>
  <c r="AC32" i="27"/>
  <c r="AC33" i="27"/>
  <c r="AC34" i="27"/>
  <c r="AC35" i="27"/>
  <c r="AC36" i="27"/>
  <c r="AC37" i="27"/>
  <c r="AC38" i="27"/>
  <c r="AC39" i="27"/>
  <c r="AC40" i="27"/>
  <c r="AC41" i="27"/>
  <c r="AC42" i="27"/>
  <c r="AC43" i="27"/>
  <c r="AC44" i="27"/>
  <c r="AC45" i="27"/>
  <c r="AC46" i="27"/>
  <c r="AC47" i="27"/>
  <c r="AC48" i="27"/>
  <c r="AC49" i="27"/>
  <c r="AC50" i="27"/>
  <c r="AC51" i="27"/>
  <c r="AC52" i="27"/>
  <c r="AC53" i="27"/>
  <c r="AC54" i="27"/>
  <c r="AC55" i="27"/>
  <c r="AC56" i="27"/>
  <c r="AC57" i="27"/>
  <c r="AC58" i="27"/>
  <c r="AC59" i="27"/>
  <c r="AC60" i="27"/>
  <c r="AC61" i="27"/>
  <c r="AC62" i="27"/>
  <c r="AC63" i="27"/>
  <c r="AC64" i="27"/>
  <c r="AC65" i="27"/>
  <c r="AC66" i="27"/>
  <c r="AC67" i="27"/>
  <c r="AC68" i="27"/>
  <c r="AC69" i="27"/>
  <c r="AC70" i="27"/>
  <c r="AC71" i="27"/>
  <c r="AC72" i="27"/>
  <c r="AC73" i="27"/>
  <c r="AC74" i="27"/>
  <c r="AC75" i="27"/>
  <c r="AC76" i="27"/>
  <c r="AC77" i="27"/>
  <c r="AC78" i="27"/>
  <c r="AC79" i="27"/>
  <c r="AC80" i="27"/>
  <c r="AC81" i="27"/>
  <c r="AC82" i="27"/>
  <c r="AC83" i="27"/>
  <c r="AC84" i="27"/>
  <c r="AC85" i="27"/>
  <c r="AC86" i="27"/>
  <c r="AC87" i="27"/>
  <c r="AC88" i="27"/>
  <c r="AC89" i="27"/>
  <c r="AC90" i="27"/>
  <c r="AC91" i="27"/>
  <c r="AC92" i="27"/>
  <c r="AC93" i="27"/>
  <c r="AC94" i="27"/>
  <c r="AC95" i="27"/>
  <c r="AC96" i="27"/>
  <c r="AC97" i="27"/>
  <c r="AC98" i="27"/>
  <c r="AC99" i="27"/>
  <c r="AC100" i="27"/>
  <c r="AC101" i="27"/>
  <c r="AC102" i="27"/>
  <c r="AC103" i="27"/>
  <c r="AC104" i="27"/>
  <c r="AC105" i="27"/>
  <c r="AC106" i="27"/>
  <c r="AC107" i="27"/>
  <c r="AC108" i="27"/>
  <c r="AC109" i="27"/>
  <c r="AC110" i="27"/>
  <c r="AC111" i="27"/>
  <c r="AC112" i="27"/>
  <c r="AC113" i="27"/>
  <c r="AC114" i="27"/>
  <c r="AC115" i="27"/>
  <c r="AC116" i="27"/>
  <c r="AC117" i="27"/>
  <c r="AC118" i="27"/>
  <c r="AC119" i="27"/>
  <c r="AC120" i="27"/>
  <c r="AC121" i="27"/>
  <c r="AC122" i="27"/>
  <c r="AC123" i="27"/>
  <c r="AC124" i="27"/>
  <c r="AC125" i="27"/>
  <c r="AC126" i="27"/>
  <c r="AC127" i="27"/>
  <c r="AC128" i="27"/>
  <c r="AC129" i="27"/>
  <c r="AC130" i="27"/>
  <c r="AC131" i="27"/>
  <c r="AC132" i="27"/>
  <c r="AC133" i="27"/>
  <c r="AC134" i="27"/>
  <c r="AC135" i="27"/>
  <c r="AC136" i="27"/>
  <c r="AC137" i="27"/>
  <c r="AC138" i="27"/>
  <c r="AC139" i="27"/>
  <c r="AC140" i="27"/>
  <c r="AC141" i="27"/>
  <c r="AC142" i="27"/>
  <c r="AC143" i="27"/>
  <c r="AC144" i="27"/>
  <c r="AC145" i="27"/>
  <c r="AC146" i="27"/>
  <c r="AC147" i="27"/>
  <c r="AC148" i="27"/>
  <c r="AC149" i="27"/>
  <c r="AC150" i="27"/>
  <c r="AC151" i="27"/>
  <c r="AC152" i="27"/>
  <c r="AC11" i="27"/>
  <c r="D47" i="13" l="1"/>
  <c r="D46" i="13" s="1"/>
  <c r="AB152" i="27" l="1"/>
  <c r="AB140" i="27"/>
  <c r="AB141" i="27"/>
  <c r="AB142" i="27"/>
  <c r="AB139" i="27"/>
  <c r="AB150" i="27"/>
  <c r="AB148" i="27"/>
  <c r="AB147" i="27"/>
  <c r="AB135" i="27"/>
  <c r="AB130" i="27"/>
  <c r="AB138" i="27"/>
  <c r="AB146" i="27"/>
  <c r="AB134" i="27"/>
  <c r="AB151" i="27"/>
  <c r="AB137" i="27"/>
  <c r="AB145" i="27"/>
  <c r="AB133" i="27"/>
  <c r="AB136" i="27"/>
  <c r="AB144" i="27"/>
  <c r="AB132" i="27"/>
  <c r="AB149" i="27"/>
  <c r="AB143" i="27"/>
  <c r="AB131" i="27"/>
  <c r="D45" i="13"/>
  <c r="AB30" i="27" s="1"/>
  <c r="AB99" i="27"/>
  <c r="AB111" i="27"/>
  <c r="AB123" i="27"/>
  <c r="AB100" i="27"/>
  <c r="AB112" i="27"/>
  <c r="AB124" i="27"/>
  <c r="AB101" i="27"/>
  <c r="AB113" i="27"/>
  <c r="AB125" i="27"/>
  <c r="AB119" i="27"/>
  <c r="AB102" i="27"/>
  <c r="AB114" i="27"/>
  <c r="AB126" i="27"/>
  <c r="AB103" i="27"/>
  <c r="AB115" i="27"/>
  <c r="AB127" i="27"/>
  <c r="AB104" i="27"/>
  <c r="AB116" i="27"/>
  <c r="AB128" i="27"/>
  <c r="AB105" i="27"/>
  <c r="AB117" i="27"/>
  <c r="AB129" i="27"/>
  <c r="AB94" i="27"/>
  <c r="AB106" i="27"/>
  <c r="AB118" i="27"/>
  <c r="AB107" i="27"/>
  <c r="AB96" i="27"/>
  <c r="AB108" i="27"/>
  <c r="AB120" i="27"/>
  <c r="AB95" i="27"/>
  <c r="AB97" i="27"/>
  <c r="AB109" i="27"/>
  <c r="AB121" i="27"/>
  <c r="AB98" i="27"/>
  <c r="AB110" i="27"/>
  <c r="AB122" i="27"/>
  <c r="AC12" i="32"/>
  <c r="AC13" i="32"/>
  <c r="AC14" i="32"/>
  <c r="AC15" i="32"/>
  <c r="AC16" i="32"/>
  <c r="AC17" i="32"/>
  <c r="AC18" i="32"/>
  <c r="AC19" i="32"/>
  <c r="AC20" i="32"/>
  <c r="AC21" i="32"/>
  <c r="AB12" i="32"/>
  <c r="AB13" i="32"/>
  <c r="AB14" i="32"/>
  <c r="AB15" i="32"/>
  <c r="AB16" i="32"/>
  <c r="AB17" i="32"/>
  <c r="AB18" i="32"/>
  <c r="AB19" i="32"/>
  <c r="AB20" i="32"/>
  <c r="AB21" i="32"/>
  <c r="AC16" i="26"/>
  <c r="AC17" i="26"/>
  <c r="AC18" i="26"/>
  <c r="AC19" i="26"/>
  <c r="AC20" i="26"/>
  <c r="AC33" i="26"/>
  <c r="AC57" i="26"/>
  <c r="AC58" i="26"/>
  <c r="AC59" i="26"/>
  <c r="AC60" i="26"/>
  <c r="AC61" i="26"/>
  <c r="AC62" i="26"/>
  <c r="AC63" i="26"/>
  <c r="AC75" i="26"/>
  <c r="AC78" i="26"/>
  <c r="AC119" i="26"/>
  <c r="AC120" i="26"/>
  <c r="AC121" i="26"/>
  <c r="AC122" i="26"/>
  <c r="AC123" i="26"/>
  <c r="AC124" i="26"/>
  <c r="AC125" i="26"/>
  <c r="AC126" i="26"/>
  <c r="AC127" i="26"/>
  <c r="AC128" i="26"/>
  <c r="AC129" i="26"/>
  <c r="AC21" i="26"/>
  <c r="AC22" i="26"/>
  <c r="AC23" i="26"/>
  <c r="AC24" i="26"/>
  <c r="AC25" i="26"/>
  <c r="AC27" i="26"/>
  <c r="AC28" i="26"/>
  <c r="AC29" i="26"/>
  <c r="AC30" i="26"/>
  <c r="AC31" i="26"/>
  <c r="AC88" i="26"/>
  <c r="AC89" i="26"/>
  <c r="AC90" i="26"/>
  <c r="AC91" i="26"/>
  <c r="AC92" i="26"/>
  <c r="AC11" i="26"/>
  <c r="AC12" i="26"/>
  <c r="AC13" i="26"/>
  <c r="AC14" i="26"/>
  <c r="AC26" i="26"/>
  <c r="AC36" i="26"/>
  <c r="AC37" i="26"/>
  <c r="AC40" i="26"/>
  <c r="AC41" i="26"/>
  <c r="AC42" i="26"/>
  <c r="AC43" i="26"/>
  <c r="AC72" i="26"/>
  <c r="AC81" i="26"/>
  <c r="AC82" i="26"/>
  <c r="AC83" i="26"/>
  <c r="AC84" i="26"/>
  <c r="AC85" i="26"/>
  <c r="AC86" i="26"/>
  <c r="AC87" i="26"/>
  <c r="AC99" i="26"/>
  <c r="AC101" i="26"/>
  <c r="AC104" i="26"/>
  <c r="AC32" i="26"/>
  <c r="AC34" i="26"/>
  <c r="AC38" i="26"/>
  <c r="AC64" i="26"/>
  <c r="AC66" i="26"/>
  <c r="AC67" i="26"/>
  <c r="AC68" i="26"/>
  <c r="AC69" i="26"/>
  <c r="AC70" i="26"/>
  <c r="AC71" i="26"/>
  <c r="AC73" i="26"/>
  <c r="AC74" i="26"/>
  <c r="AC65" i="26"/>
  <c r="AC76" i="26"/>
  <c r="AC77" i="26"/>
  <c r="AC79" i="26"/>
  <c r="AC80" i="26"/>
  <c r="AC93" i="26"/>
  <c r="AC94" i="26"/>
  <c r="AC95" i="26"/>
  <c r="AC96" i="26"/>
  <c r="AC97" i="26"/>
  <c r="AC98" i="26"/>
  <c r="AC100" i="26"/>
  <c r="AC102" i="26"/>
  <c r="AC103" i="26"/>
  <c r="AC105" i="26"/>
  <c r="AC139" i="26"/>
  <c r="AC140" i="26"/>
  <c r="AC35" i="26"/>
  <c r="AC39" i="26"/>
  <c r="AC44" i="26"/>
  <c r="AC45" i="26"/>
  <c r="AC46" i="26"/>
  <c r="AC47" i="26"/>
  <c r="AC48" i="26"/>
  <c r="AC49" i="26"/>
  <c r="AC50" i="26"/>
  <c r="AC51" i="26"/>
  <c r="AC52" i="26"/>
  <c r="AC53" i="26"/>
  <c r="AC54" i="26"/>
  <c r="AC55" i="26"/>
  <c r="AC56" i="26"/>
  <c r="AC15" i="26"/>
  <c r="AB23" i="26"/>
  <c r="AB92" i="26"/>
  <c r="AB32" i="26"/>
  <c r="AB34" i="26"/>
  <c r="AB38" i="26"/>
  <c r="AB64" i="26"/>
  <c r="AB66" i="26"/>
  <c r="AB67" i="26"/>
  <c r="AB68" i="26"/>
  <c r="AB69" i="26"/>
  <c r="AB70" i="26"/>
  <c r="AB71" i="26"/>
  <c r="AB73" i="26"/>
  <c r="AB74" i="26"/>
  <c r="AB65" i="26"/>
  <c r="AB76" i="26"/>
  <c r="AB77" i="26"/>
  <c r="AB79" i="26"/>
  <c r="AB80" i="26"/>
  <c r="AB93" i="26"/>
  <c r="AB94" i="26"/>
  <c r="AB95" i="26"/>
  <c r="AB96" i="26"/>
  <c r="AB97" i="26"/>
  <c r="AB98" i="26"/>
  <c r="AB100" i="26"/>
  <c r="AB102" i="26"/>
  <c r="AB103" i="26"/>
  <c r="AB105" i="26"/>
  <c r="AB139" i="26"/>
  <c r="AB140" i="26"/>
  <c r="AB35" i="26"/>
  <c r="AB39" i="26"/>
  <c r="AB44" i="26"/>
  <c r="AB45" i="26"/>
  <c r="AB46" i="26"/>
  <c r="AB47" i="26"/>
  <c r="AB48" i="26"/>
  <c r="AB49" i="26"/>
  <c r="AB50" i="26"/>
  <c r="AB51" i="26"/>
  <c r="AB52" i="26"/>
  <c r="AB53" i="26"/>
  <c r="AB54" i="26"/>
  <c r="AB55" i="26"/>
  <c r="AB56" i="26"/>
  <c r="AB24" i="26" l="1"/>
  <c r="AB38" i="27"/>
  <c r="AB90" i="26"/>
  <c r="AB21" i="26"/>
  <c r="AB36" i="27"/>
  <c r="AB91" i="26"/>
  <c r="AB89" i="26"/>
  <c r="AB88" i="26"/>
  <c r="AB34" i="27"/>
  <c r="AB31" i="26"/>
  <c r="AB30" i="26"/>
  <c r="AB41" i="27"/>
  <c r="AB29" i="26"/>
  <c r="AB40" i="27"/>
  <c r="AB22" i="26"/>
  <c r="AB37" i="27"/>
  <c r="AB28" i="26"/>
  <c r="AB27" i="26"/>
  <c r="AB39" i="27"/>
  <c r="D44" i="13"/>
  <c r="AB14" i="27" s="1"/>
  <c r="AB25" i="26"/>
  <c r="AB33" i="27"/>
  <c r="AB32" i="27"/>
  <c r="AB35" i="27"/>
  <c r="AB31" i="27"/>
  <c r="AB22" i="27"/>
  <c r="AB13" i="27"/>
  <c r="G42" i="28"/>
  <c r="F42" i="28"/>
  <c r="E42" i="28"/>
  <c r="D42" i="28"/>
  <c r="G42" i="13"/>
  <c r="F42" i="13"/>
  <c r="E42" i="13"/>
  <c r="AB15" i="27" l="1"/>
  <c r="AB21" i="27"/>
  <c r="AB24" i="27"/>
  <c r="AB17" i="27"/>
  <c r="AB12" i="27"/>
  <c r="AB26" i="27"/>
  <c r="AB57" i="26"/>
  <c r="AB122" i="26"/>
  <c r="AB58" i="26"/>
  <c r="AB123" i="26"/>
  <c r="AB59" i="26"/>
  <c r="AB124" i="26"/>
  <c r="AB60" i="26"/>
  <c r="AB125" i="26"/>
  <c r="AB61" i="26"/>
  <c r="AB126" i="26"/>
  <c r="AB62" i="26"/>
  <c r="AB127" i="26"/>
  <c r="AB16" i="26"/>
  <c r="AB63" i="26"/>
  <c r="AB128" i="26"/>
  <c r="AB19" i="26"/>
  <c r="AB17" i="26"/>
  <c r="AB75" i="26"/>
  <c r="AB129" i="26"/>
  <c r="AB15" i="26"/>
  <c r="AB18" i="26"/>
  <c r="AB78" i="26"/>
  <c r="AB119" i="26"/>
  <c r="AB120" i="26"/>
  <c r="AB33" i="26"/>
  <c r="AB121" i="26"/>
  <c r="AB20" i="26"/>
  <c r="AB20" i="27"/>
  <c r="AB23" i="27"/>
  <c r="D43" i="13"/>
  <c r="D42" i="13" s="1"/>
  <c r="AB27" i="27"/>
  <c r="AB19" i="27"/>
  <c r="AB16" i="27"/>
  <c r="AB28" i="27"/>
  <c r="AB18" i="27"/>
  <c r="AB29" i="27"/>
  <c r="AB25" i="27"/>
  <c r="AC113" i="26"/>
  <c r="AC136" i="26"/>
  <c r="AC114" i="26"/>
  <c r="AC137" i="26"/>
  <c r="AC115" i="26"/>
  <c r="AC138" i="26"/>
  <c r="AC116" i="26"/>
  <c r="AC135" i="26"/>
  <c r="AC117" i="26"/>
  <c r="AC106" i="26"/>
  <c r="AC118" i="26"/>
  <c r="AC107" i="26"/>
  <c r="AC130" i="26"/>
  <c r="AC131" i="26"/>
  <c r="AC112" i="26"/>
  <c r="AC108" i="26"/>
  <c r="AC109" i="26"/>
  <c r="AC132" i="26"/>
  <c r="AC110" i="26"/>
  <c r="AC133" i="26"/>
  <c r="AC111" i="26"/>
  <c r="AC134" i="26"/>
  <c r="AB43" i="27"/>
  <c r="AB57" i="27"/>
  <c r="AB58" i="27"/>
  <c r="AB50" i="27"/>
  <c r="AB43" i="26"/>
  <c r="AB11" i="26"/>
  <c r="AB81" i="26"/>
  <c r="AB26" i="26"/>
  <c r="AB86" i="26"/>
  <c r="AB40" i="26"/>
  <c r="O14" i="32"/>
  <c r="P14" i="32"/>
  <c r="Q14" i="32"/>
  <c r="R14" i="32"/>
  <c r="AB36" i="26" l="1"/>
  <c r="AB72" i="26"/>
  <c r="AB49" i="27"/>
  <c r="AB84" i="26"/>
  <c r="AB87" i="26"/>
  <c r="AB60" i="27"/>
  <c r="AB45" i="27"/>
  <c r="AB53" i="27"/>
  <c r="AB55" i="27"/>
  <c r="AB14" i="26"/>
  <c r="AB42" i="26"/>
  <c r="AB85" i="26"/>
  <c r="AB101" i="26"/>
  <c r="AB46" i="27"/>
  <c r="AB54" i="27"/>
  <c r="AB48" i="27"/>
  <c r="AB59" i="27"/>
  <c r="AB42" i="27"/>
  <c r="AB104" i="26"/>
  <c r="AB37" i="26"/>
  <c r="AB41" i="26"/>
  <c r="AB13" i="26"/>
  <c r="AB56" i="27"/>
  <c r="AB83" i="26"/>
  <c r="AB52" i="27"/>
  <c r="AB47" i="27"/>
  <c r="AB82" i="26"/>
  <c r="AB51" i="27"/>
  <c r="AB44" i="27"/>
  <c r="AB99" i="26"/>
  <c r="AB12" i="26"/>
  <c r="AB63" i="27"/>
  <c r="AB66" i="27"/>
  <c r="AB69" i="27"/>
  <c r="AB72" i="27"/>
  <c r="AB75" i="27"/>
  <c r="AB78" i="27"/>
  <c r="AB81" i="27"/>
  <c r="AB84" i="27"/>
  <c r="AB87" i="27"/>
  <c r="AB90" i="27"/>
  <c r="AB93" i="27"/>
  <c r="AB74" i="27"/>
  <c r="AB61" i="27"/>
  <c r="AB64" i="27"/>
  <c r="AB67" i="27"/>
  <c r="AB70" i="27"/>
  <c r="AB73" i="27"/>
  <c r="AB76" i="27"/>
  <c r="AB79" i="27"/>
  <c r="AB82" i="27"/>
  <c r="AB85" i="27"/>
  <c r="AB88" i="27"/>
  <c r="AB91" i="27"/>
  <c r="AB83" i="27"/>
  <c r="AB65" i="27"/>
  <c r="AB80" i="27"/>
  <c r="AB92" i="27"/>
  <c r="AB62" i="27"/>
  <c r="AB77" i="27"/>
  <c r="AB89" i="27"/>
  <c r="AB68" i="27"/>
  <c r="AB71" i="27"/>
  <c r="AB86" i="27"/>
  <c r="AB116" i="26"/>
  <c r="AB135" i="26"/>
  <c r="AB117" i="26"/>
  <c r="AB132" i="26"/>
  <c r="AB112" i="26"/>
  <c r="AB106" i="26"/>
  <c r="AB118" i="26"/>
  <c r="AB107" i="26"/>
  <c r="AB130" i="26"/>
  <c r="AB109" i="26"/>
  <c r="AB114" i="26"/>
  <c r="AB108" i="26"/>
  <c r="AB131" i="26"/>
  <c r="AB110" i="26"/>
  <c r="AB133" i="26"/>
  <c r="AB111" i="26"/>
  <c r="AB134" i="26"/>
  <c r="AB137" i="26"/>
  <c r="AB113" i="26"/>
  <c r="AB136" i="26"/>
  <c r="AB115" i="26"/>
  <c r="AB138" i="26"/>
  <c r="O12" i="32" l="1"/>
  <c r="P12" i="32"/>
  <c r="Q12" i="32"/>
  <c r="R12" i="32"/>
  <c r="AL11" i="32" l="1"/>
  <c r="D3" i="26" l="1"/>
  <c r="D4" i="26"/>
  <c r="D2" i="26"/>
  <c r="D3" i="27"/>
  <c r="D4" i="27"/>
  <c r="D2" i="27"/>
  <c r="R142" i="32" l="1"/>
  <c r="R141" i="32"/>
  <c r="R140" i="32"/>
  <c r="R139" i="32"/>
  <c r="R138" i="32"/>
  <c r="R137" i="32"/>
  <c r="R136" i="32"/>
  <c r="R135" i="32"/>
  <c r="R134" i="32"/>
  <c r="R133" i="32"/>
  <c r="R132" i="32"/>
  <c r="R131" i="32"/>
  <c r="R130" i="32"/>
  <c r="R129" i="32"/>
  <c r="R128" i="32"/>
  <c r="R127" i="32"/>
  <c r="R126" i="32"/>
  <c r="R125" i="32"/>
  <c r="R124" i="32"/>
  <c r="R123" i="32"/>
  <c r="R122" i="32"/>
  <c r="R121" i="32"/>
  <c r="R120" i="32"/>
  <c r="R119" i="32"/>
  <c r="R118" i="32"/>
  <c r="R117" i="32"/>
  <c r="R116" i="32"/>
  <c r="R115" i="32"/>
  <c r="R114" i="32"/>
  <c r="R113" i="32"/>
  <c r="R112" i="32"/>
  <c r="R111" i="32"/>
  <c r="R110" i="32"/>
  <c r="R109" i="32"/>
  <c r="R108" i="32"/>
  <c r="R107" i="32"/>
  <c r="R106" i="32"/>
  <c r="R105" i="32"/>
  <c r="R104" i="32"/>
  <c r="R103" i="32"/>
  <c r="R102" i="32"/>
  <c r="R101" i="32"/>
  <c r="R100" i="32"/>
  <c r="R99" i="32"/>
  <c r="R76" i="32"/>
  <c r="R75" i="32"/>
  <c r="R74" i="32"/>
  <c r="R73" i="32"/>
  <c r="R72" i="32"/>
  <c r="R71" i="32"/>
  <c r="R70" i="32"/>
  <c r="R69" i="32"/>
  <c r="R68" i="32"/>
  <c r="R67" i="32"/>
  <c r="R66" i="32"/>
  <c r="R65" i="32"/>
  <c r="R64" i="32"/>
  <c r="R63" i="32"/>
  <c r="R62" i="32"/>
  <c r="R61" i="32"/>
  <c r="R60" i="32"/>
  <c r="R59" i="32"/>
  <c r="R58" i="32"/>
  <c r="R57" i="32"/>
  <c r="R56" i="32"/>
  <c r="R55" i="32"/>
  <c r="R54" i="32"/>
  <c r="R53" i="32"/>
  <c r="R52" i="32"/>
  <c r="R51" i="32"/>
  <c r="R50" i="32"/>
  <c r="R49" i="32"/>
  <c r="R48" i="32"/>
  <c r="R47" i="32"/>
  <c r="R46" i="32"/>
  <c r="R45" i="32"/>
  <c r="R44" i="32"/>
  <c r="R43" i="32"/>
  <c r="R42" i="32"/>
  <c r="R41" i="32"/>
  <c r="R40" i="32"/>
  <c r="R39" i="32"/>
  <c r="R38" i="32"/>
  <c r="R37" i="32"/>
  <c r="R36" i="32"/>
  <c r="R35" i="32"/>
  <c r="R34" i="32"/>
  <c r="R33" i="32"/>
  <c r="R32" i="32"/>
  <c r="R31" i="32"/>
  <c r="R30" i="32"/>
  <c r="R29" i="32"/>
  <c r="R28" i="32"/>
  <c r="R27" i="32"/>
  <c r="R26" i="32"/>
  <c r="R25" i="32"/>
  <c r="R24" i="32"/>
  <c r="R23" i="32"/>
  <c r="R22" i="32"/>
  <c r="R21" i="32"/>
  <c r="R20" i="32"/>
  <c r="R19" i="32"/>
  <c r="R18" i="32"/>
  <c r="R17" i="32"/>
  <c r="R16" i="32"/>
  <c r="R15" i="32"/>
  <c r="R13" i="32"/>
  <c r="F13" i="13" l="1"/>
  <c r="AC11" i="32" l="1"/>
  <c r="AB11" i="32"/>
  <c r="R11" i="32"/>
  <c r="Q13" i="32"/>
  <c r="Q15" i="32"/>
  <c r="Q16" i="32"/>
  <c r="Q17" i="32"/>
  <c r="Q18" i="32"/>
  <c r="Q19" i="32"/>
  <c r="Q20" i="32"/>
  <c r="Q21" i="32"/>
  <c r="Q22" i="32"/>
  <c r="Q23" i="32"/>
  <c r="Q24" i="32"/>
  <c r="Q25" i="32"/>
  <c r="Q26" i="32"/>
  <c r="Q27" i="32"/>
  <c r="Q28" i="32"/>
  <c r="Q29" i="32"/>
  <c r="Q30" i="32"/>
  <c r="Q31" i="32"/>
  <c r="Q32" i="32"/>
  <c r="Q33" i="32"/>
  <c r="Q34" i="32"/>
  <c r="Q35" i="32"/>
  <c r="Q36" i="32"/>
  <c r="Q37" i="32"/>
  <c r="Q38" i="32"/>
  <c r="Q39" i="32"/>
  <c r="Q40" i="32"/>
  <c r="Q41" i="32"/>
  <c r="Q42" i="32"/>
  <c r="Q43" i="32"/>
  <c r="Q44" i="32"/>
  <c r="Q45" i="32"/>
  <c r="Q46" i="32"/>
  <c r="Q47" i="32"/>
  <c r="Q48" i="32"/>
  <c r="Q49" i="32"/>
  <c r="Q50" i="32"/>
  <c r="Q51" i="32"/>
  <c r="Q52" i="32"/>
  <c r="Q53" i="32"/>
  <c r="Q54" i="32"/>
  <c r="Q55" i="32"/>
  <c r="Q56" i="32"/>
  <c r="Q57" i="32"/>
  <c r="Q58" i="32"/>
  <c r="Q59" i="32"/>
  <c r="Q60" i="32"/>
  <c r="Q61" i="32"/>
  <c r="Q62" i="32"/>
  <c r="Q63" i="32"/>
  <c r="Q64" i="32"/>
  <c r="Q65" i="32"/>
  <c r="Q66" i="32"/>
  <c r="Q67" i="32"/>
  <c r="Q68" i="32"/>
  <c r="Q69" i="32"/>
  <c r="Q70" i="32"/>
  <c r="Q71" i="32"/>
  <c r="Q72" i="32"/>
  <c r="Q73" i="32"/>
  <c r="Q74" i="32"/>
  <c r="Q75" i="32"/>
  <c r="Q76" i="32"/>
  <c r="Q99" i="32"/>
  <c r="Q100" i="32"/>
  <c r="Q101" i="32"/>
  <c r="Q102" i="32"/>
  <c r="Q103" i="32"/>
  <c r="Q104" i="32"/>
  <c r="Q105" i="32"/>
  <c r="Q106" i="32"/>
  <c r="Q107" i="32"/>
  <c r="Q108" i="32"/>
  <c r="Q109" i="32"/>
  <c r="Q110" i="32"/>
  <c r="Q111" i="32"/>
  <c r="Q112" i="32"/>
  <c r="Q113" i="32"/>
  <c r="Q114" i="32"/>
  <c r="Q115" i="32"/>
  <c r="Q116" i="32"/>
  <c r="Q117" i="32"/>
  <c r="Q118" i="32"/>
  <c r="Q119" i="32"/>
  <c r="Q120" i="32"/>
  <c r="Q121" i="32"/>
  <c r="Q122" i="32"/>
  <c r="Q123" i="32"/>
  <c r="Q124" i="32"/>
  <c r="Q125" i="32"/>
  <c r="Q126" i="32"/>
  <c r="Q127" i="32"/>
  <c r="Q128" i="32"/>
  <c r="Q129" i="32"/>
  <c r="Q130" i="32"/>
  <c r="Q131" i="32"/>
  <c r="Q132" i="32"/>
  <c r="Q133" i="32"/>
  <c r="Q134" i="32"/>
  <c r="Q135" i="32"/>
  <c r="Q136" i="32"/>
  <c r="Q137" i="32"/>
  <c r="Q138" i="32"/>
  <c r="Q139" i="32"/>
  <c r="Q140" i="32"/>
  <c r="Q141" i="32"/>
  <c r="Q142" i="32"/>
  <c r="Q11" i="32"/>
  <c r="P13" i="32"/>
  <c r="P15" i="32"/>
  <c r="P16" i="32"/>
  <c r="P17" i="32"/>
  <c r="P18" i="32"/>
  <c r="P19" i="32"/>
  <c r="P20" i="32"/>
  <c r="P21" i="32"/>
  <c r="P22" i="32"/>
  <c r="P23" i="32"/>
  <c r="P24" i="32"/>
  <c r="P25" i="32"/>
  <c r="P26" i="32"/>
  <c r="P27" i="32"/>
  <c r="P28" i="32"/>
  <c r="P29" i="32"/>
  <c r="P30" i="32"/>
  <c r="P31" i="32"/>
  <c r="P32" i="32"/>
  <c r="P33" i="32"/>
  <c r="P34" i="32"/>
  <c r="P35" i="32"/>
  <c r="P36" i="32"/>
  <c r="P37" i="32"/>
  <c r="P38" i="32"/>
  <c r="P39" i="32"/>
  <c r="P40" i="32"/>
  <c r="P41" i="32"/>
  <c r="P42" i="32"/>
  <c r="P43" i="32"/>
  <c r="P44" i="32"/>
  <c r="P45" i="32"/>
  <c r="P46" i="32"/>
  <c r="P47" i="32"/>
  <c r="P48" i="32"/>
  <c r="P49" i="32"/>
  <c r="P50" i="32"/>
  <c r="P51" i="32"/>
  <c r="P52" i="32"/>
  <c r="P53" i="32"/>
  <c r="P54" i="32"/>
  <c r="P55" i="32"/>
  <c r="P56" i="32"/>
  <c r="P57" i="32"/>
  <c r="P58" i="32"/>
  <c r="P59" i="32"/>
  <c r="P60" i="32"/>
  <c r="P61" i="32"/>
  <c r="P62" i="32"/>
  <c r="P63" i="32"/>
  <c r="P64" i="32"/>
  <c r="P65" i="32"/>
  <c r="P66" i="32"/>
  <c r="P67" i="32"/>
  <c r="P68" i="32"/>
  <c r="P69" i="32"/>
  <c r="P70" i="32"/>
  <c r="P71" i="32"/>
  <c r="P72" i="32"/>
  <c r="P73" i="32"/>
  <c r="P74" i="32"/>
  <c r="P75" i="32"/>
  <c r="P76" i="32"/>
  <c r="P99" i="32"/>
  <c r="P100" i="32"/>
  <c r="P101" i="32"/>
  <c r="P102" i="32"/>
  <c r="P103" i="32"/>
  <c r="P104" i="32"/>
  <c r="P105" i="32"/>
  <c r="P106" i="32"/>
  <c r="P107" i="32"/>
  <c r="P108" i="32"/>
  <c r="P109" i="32"/>
  <c r="P110" i="32"/>
  <c r="P111" i="32"/>
  <c r="P112" i="32"/>
  <c r="P113" i="32"/>
  <c r="P114" i="32"/>
  <c r="P115" i="32"/>
  <c r="P116" i="32"/>
  <c r="P117" i="32"/>
  <c r="P118" i="32"/>
  <c r="P119" i="32"/>
  <c r="P120" i="32"/>
  <c r="P121" i="32"/>
  <c r="P122" i="32"/>
  <c r="P123" i="32"/>
  <c r="P124" i="32"/>
  <c r="P125" i="32"/>
  <c r="P126" i="32"/>
  <c r="P127" i="32"/>
  <c r="P128" i="32"/>
  <c r="P129" i="32"/>
  <c r="P130" i="32"/>
  <c r="P131" i="32"/>
  <c r="P132" i="32"/>
  <c r="P133" i="32"/>
  <c r="P134" i="32"/>
  <c r="P135" i="32"/>
  <c r="P136" i="32"/>
  <c r="P137" i="32"/>
  <c r="P138" i="32"/>
  <c r="P139" i="32"/>
  <c r="P140" i="32"/>
  <c r="P141" i="32"/>
  <c r="P142" i="32"/>
  <c r="P11" i="32"/>
  <c r="O13" i="32"/>
  <c r="O15" i="32"/>
  <c r="O16" i="32"/>
  <c r="O17" i="32"/>
  <c r="O18" i="32"/>
  <c r="O19" i="32"/>
  <c r="O20" i="32"/>
  <c r="O21" i="32"/>
  <c r="O22" i="32"/>
  <c r="O23" i="32"/>
  <c r="O24" i="32"/>
  <c r="O25" i="32"/>
  <c r="O26" i="32"/>
  <c r="O27" i="32"/>
  <c r="O28" i="32"/>
  <c r="O29" i="32"/>
  <c r="O30" i="32"/>
  <c r="O31" i="32"/>
  <c r="O32" i="32"/>
  <c r="O33" i="32"/>
  <c r="O34" i="32"/>
  <c r="O35" i="32"/>
  <c r="O36" i="32"/>
  <c r="O37" i="32"/>
  <c r="O38" i="32"/>
  <c r="O39" i="32"/>
  <c r="O40" i="32"/>
  <c r="O41" i="32"/>
  <c r="O42" i="32"/>
  <c r="O43" i="32"/>
  <c r="O44" i="32"/>
  <c r="O45" i="32"/>
  <c r="O46" i="32"/>
  <c r="O47" i="32"/>
  <c r="O48" i="32"/>
  <c r="O49" i="32"/>
  <c r="O50" i="32"/>
  <c r="O51" i="32"/>
  <c r="O52" i="32"/>
  <c r="O53" i="32"/>
  <c r="O54" i="32"/>
  <c r="O55" i="32"/>
  <c r="O56" i="32"/>
  <c r="O57" i="32"/>
  <c r="O58" i="32"/>
  <c r="O59" i="32"/>
  <c r="O60" i="32"/>
  <c r="O61" i="32"/>
  <c r="O62" i="32"/>
  <c r="O63" i="32"/>
  <c r="O64" i="32"/>
  <c r="O65" i="32"/>
  <c r="O66" i="32"/>
  <c r="O67" i="32"/>
  <c r="O68" i="32"/>
  <c r="O69" i="32"/>
  <c r="O70" i="32"/>
  <c r="O71" i="32"/>
  <c r="O72" i="32"/>
  <c r="O73" i="32"/>
  <c r="O74" i="32"/>
  <c r="O75" i="32"/>
  <c r="O76" i="32"/>
  <c r="O99" i="32"/>
  <c r="O100" i="32"/>
  <c r="O101" i="32"/>
  <c r="O102" i="32"/>
  <c r="O103" i="32"/>
  <c r="O104" i="32"/>
  <c r="O105" i="32"/>
  <c r="O106" i="32"/>
  <c r="O107" i="32"/>
  <c r="O108" i="32"/>
  <c r="O109" i="32"/>
  <c r="O110" i="32"/>
  <c r="O111" i="32"/>
  <c r="O112" i="32"/>
  <c r="O113" i="32"/>
  <c r="O114" i="32"/>
  <c r="O115" i="32"/>
  <c r="O116" i="32"/>
  <c r="O117" i="32"/>
  <c r="O118" i="32"/>
  <c r="O119" i="32"/>
  <c r="O120" i="32"/>
  <c r="O121" i="32"/>
  <c r="O122" i="32"/>
  <c r="O123" i="32"/>
  <c r="O124" i="32"/>
  <c r="O125" i="32"/>
  <c r="O126" i="32"/>
  <c r="O127" i="32"/>
  <c r="O128" i="32"/>
  <c r="O129" i="32"/>
  <c r="O130" i="32"/>
  <c r="O131" i="32"/>
  <c r="O132" i="32"/>
  <c r="O133" i="32"/>
  <c r="O134" i="32"/>
  <c r="O135" i="32"/>
  <c r="O136" i="32"/>
  <c r="O137" i="32"/>
  <c r="O138" i="32"/>
  <c r="O139" i="32"/>
  <c r="O140" i="32"/>
  <c r="O141" i="32"/>
  <c r="O142" i="32"/>
  <c r="O11" i="32"/>
  <c r="AB11" i="27" l="1"/>
  <c r="R11" i="26"/>
  <c r="R12" i="26"/>
  <c r="R13" i="26"/>
  <c r="R14" i="26"/>
  <c r="R15" i="26"/>
  <c r="R16" i="26"/>
  <c r="R17" i="26"/>
  <c r="R18" i="26"/>
  <c r="R19" i="26"/>
  <c r="R20" i="26"/>
  <c r="R21" i="26"/>
  <c r="R22" i="26"/>
  <c r="R23" i="26"/>
  <c r="R24" i="26"/>
  <c r="R25" i="26"/>
  <c r="R26" i="26"/>
  <c r="R27" i="26"/>
  <c r="R28" i="26"/>
  <c r="R29" i="26"/>
  <c r="R30" i="26"/>
  <c r="R31" i="26"/>
  <c r="R32" i="26"/>
  <c r="R33" i="26"/>
  <c r="R34" i="26"/>
  <c r="R35" i="26"/>
  <c r="R36" i="26"/>
  <c r="R37" i="26"/>
  <c r="R38" i="26"/>
  <c r="R39" i="26"/>
  <c r="R40" i="26"/>
  <c r="R41" i="26"/>
  <c r="R42" i="26"/>
  <c r="R43" i="26"/>
  <c r="R44" i="26"/>
  <c r="R45" i="26"/>
  <c r="R46" i="26"/>
  <c r="R47" i="26"/>
  <c r="R48" i="26"/>
  <c r="R49" i="26"/>
  <c r="R50" i="26"/>
  <c r="R51" i="26"/>
  <c r="R52" i="26"/>
  <c r="R53" i="26"/>
  <c r="R54" i="26"/>
  <c r="R55" i="26"/>
  <c r="R56" i="26"/>
  <c r="R57" i="26"/>
  <c r="R58" i="26"/>
  <c r="R59" i="26"/>
  <c r="R60" i="26"/>
  <c r="R61" i="26"/>
  <c r="R62" i="26"/>
  <c r="R63" i="26"/>
  <c r="R64" i="26"/>
  <c r="R66" i="26"/>
  <c r="R67" i="26"/>
  <c r="R68" i="26"/>
  <c r="R69" i="26"/>
  <c r="R70" i="26"/>
  <c r="R71" i="26"/>
  <c r="R72" i="26"/>
  <c r="R73" i="26"/>
  <c r="R74" i="26"/>
  <c r="R65" i="26"/>
  <c r="R75" i="26"/>
  <c r="R76" i="26"/>
  <c r="R77" i="26"/>
  <c r="R78" i="26"/>
  <c r="R79" i="26"/>
  <c r="R80" i="26"/>
  <c r="R81" i="26"/>
  <c r="R82" i="26"/>
  <c r="R83" i="26"/>
  <c r="R84" i="26"/>
  <c r="R85" i="26"/>
  <c r="R86" i="26"/>
  <c r="R87" i="26"/>
  <c r="R88" i="26"/>
  <c r="R89" i="26"/>
  <c r="R90" i="26"/>
  <c r="R91" i="26"/>
  <c r="R92" i="26"/>
  <c r="R93" i="26"/>
  <c r="R94" i="26"/>
  <c r="R95" i="26"/>
  <c r="R96" i="26"/>
  <c r="R97" i="26"/>
  <c r="R98" i="26"/>
  <c r="R99" i="26"/>
  <c r="R100" i="26"/>
  <c r="R101" i="26"/>
  <c r="R102" i="26"/>
  <c r="R103" i="26"/>
  <c r="R104" i="26"/>
  <c r="R105" i="26"/>
  <c r="R119" i="26"/>
  <c r="R120" i="26"/>
  <c r="R121" i="26"/>
  <c r="R122" i="26"/>
  <c r="R123" i="26"/>
  <c r="R124" i="26"/>
  <c r="R125" i="26"/>
  <c r="R126" i="26"/>
  <c r="R127" i="26"/>
  <c r="R128" i="26"/>
  <c r="R129" i="26"/>
  <c r="R139" i="26"/>
  <c r="R140" i="26"/>
  <c r="Q11" i="26"/>
  <c r="Q12" i="26"/>
  <c r="Q13" i="26"/>
  <c r="Q14" i="26"/>
  <c r="Q15" i="26"/>
  <c r="Q16" i="26"/>
  <c r="Q17" i="26"/>
  <c r="Q18" i="26"/>
  <c r="Q19" i="26"/>
  <c r="Q20" i="26"/>
  <c r="Q21" i="26"/>
  <c r="Q22" i="26"/>
  <c r="Q23" i="26"/>
  <c r="Q24" i="26"/>
  <c r="Q25" i="26"/>
  <c r="Q26" i="26"/>
  <c r="Q27" i="26"/>
  <c r="Q28" i="26"/>
  <c r="Q29" i="26"/>
  <c r="Q30" i="26"/>
  <c r="Q31" i="26"/>
  <c r="Q32" i="26"/>
  <c r="Q33" i="26"/>
  <c r="Q34" i="26"/>
  <c r="Q35" i="26"/>
  <c r="Q36" i="26"/>
  <c r="Q37" i="26"/>
  <c r="Q38" i="26"/>
  <c r="Q39" i="26"/>
  <c r="Q40" i="26"/>
  <c r="Q41" i="26"/>
  <c r="Q42" i="26"/>
  <c r="Q43" i="26"/>
  <c r="Q44" i="26"/>
  <c r="Q45" i="26"/>
  <c r="Q46" i="26"/>
  <c r="Q47" i="26"/>
  <c r="Q48" i="26"/>
  <c r="Q49" i="26"/>
  <c r="Q50" i="26"/>
  <c r="Q51" i="26"/>
  <c r="Q52" i="26"/>
  <c r="Q53" i="26"/>
  <c r="Q54" i="26"/>
  <c r="Q55" i="26"/>
  <c r="Q56" i="26"/>
  <c r="Q57" i="26"/>
  <c r="Q58" i="26"/>
  <c r="Q59" i="26"/>
  <c r="Q60" i="26"/>
  <c r="Q61" i="26"/>
  <c r="Q62" i="26"/>
  <c r="Q63" i="26"/>
  <c r="Q64" i="26"/>
  <c r="Q66" i="26"/>
  <c r="Q67" i="26"/>
  <c r="Q68" i="26"/>
  <c r="Q69" i="26"/>
  <c r="Q70" i="26"/>
  <c r="Q71" i="26"/>
  <c r="Q72" i="26"/>
  <c r="Q73" i="26"/>
  <c r="Q74" i="26"/>
  <c r="Q65" i="26"/>
  <c r="Q75" i="26"/>
  <c r="Q76" i="26"/>
  <c r="Q77" i="26"/>
  <c r="Q78" i="26"/>
  <c r="Q79" i="26"/>
  <c r="Q80" i="26"/>
  <c r="Q81" i="26"/>
  <c r="Q82" i="26"/>
  <c r="Q83" i="26"/>
  <c r="Q84" i="26"/>
  <c r="Q85" i="26"/>
  <c r="Q86" i="26"/>
  <c r="Q87" i="26"/>
  <c r="Q88" i="26"/>
  <c r="Q89" i="26"/>
  <c r="Q90" i="26"/>
  <c r="Q91" i="26"/>
  <c r="Q92" i="26"/>
  <c r="Q93" i="26"/>
  <c r="Q94" i="26"/>
  <c r="Q95" i="26"/>
  <c r="Q96" i="26"/>
  <c r="Q97" i="26"/>
  <c r="Q98" i="26"/>
  <c r="Q99" i="26"/>
  <c r="Q100" i="26"/>
  <c r="Q101" i="26"/>
  <c r="Q102" i="26"/>
  <c r="Q103" i="26"/>
  <c r="Q104" i="26"/>
  <c r="Q105" i="26"/>
  <c r="Q119" i="26"/>
  <c r="Q120" i="26"/>
  <c r="Q121" i="26"/>
  <c r="Q122" i="26"/>
  <c r="Q123" i="26"/>
  <c r="Q124" i="26"/>
  <c r="Q125" i="26"/>
  <c r="Q126" i="26"/>
  <c r="Q127" i="26"/>
  <c r="Q128" i="26"/>
  <c r="Q129" i="26"/>
  <c r="Q139" i="26"/>
  <c r="Q140" i="26"/>
  <c r="P11" i="26"/>
  <c r="P12" i="26"/>
  <c r="P13" i="26"/>
  <c r="P14" i="26"/>
  <c r="P15" i="26"/>
  <c r="P16" i="26"/>
  <c r="P17" i="26"/>
  <c r="P18" i="26"/>
  <c r="P19" i="26"/>
  <c r="P20" i="26"/>
  <c r="P21" i="26"/>
  <c r="P22" i="26"/>
  <c r="P23" i="26"/>
  <c r="P24" i="26"/>
  <c r="P25" i="26"/>
  <c r="P26" i="26"/>
  <c r="P27" i="26"/>
  <c r="P28" i="26"/>
  <c r="P29" i="26"/>
  <c r="P30" i="26"/>
  <c r="P31" i="26"/>
  <c r="P32" i="26"/>
  <c r="P33" i="26"/>
  <c r="P34" i="26"/>
  <c r="P35" i="26"/>
  <c r="P36" i="26"/>
  <c r="P37" i="26"/>
  <c r="P38" i="26"/>
  <c r="P39" i="26"/>
  <c r="P40" i="26"/>
  <c r="P41" i="26"/>
  <c r="P42" i="26"/>
  <c r="P43" i="26"/>
  <c r="P44" i="26"/>
  <c r="P45" i="26"/>
  <c r="P46" i="26"/>
  <c r="P47" i="26"/>
  <c r="P48" i="26"/>
  <c r="P49" i="26"/>
  <c r="P50" i="26"/>
  <c r="P51" i="26"/>
  <c r="P52" i="26"/>
  <c r="P53" i="26"/>
  <c r="P54" i="26"/>
  <c r="P55" i="26"/>
  <c r="P56" i="26"/>
  <c r="P57" i="26"/>
  <c r="P58" i="26"/>
  <c r="P59" i="26"/>
  <c r="P60" i="26"/>
  <c r="P61" i="26"/>
  <c r="P62" i="26"/>
  <c r="P63" i="26"/>
  <c r="P64" i="26"/>
  <c r="P66" i="26"/>
  <c r="P67" i="26"/>
  <c r="P68" i="26"/>
  <c r="P69" i="26"/>
  <c r="P70" i="26"/>
  <c r="P71" i="26"/>
  <c r="P72" i="26"/>
  <c r="P73" i="26"/>
  <c r="P74" i="26"/>
  <c r="P65" i="26"/>
  <c r="P75" i="26"/>
  <c r="P76" i="26"/>
  <c r="P77" i="26"/>
  <c r="P78" i="26"/>
  <c r="P79" i="26"/>
  <c r="P80" i="26"/>
  <c r="P81" i="26"/>
  <c r="P82" i="26"/>
  <c r="P83" i="26"/>
  <c r="P84" i="26"/>
  <c r="P85" i="26"/>
  <c r="P86" i="26"/>
  <c r="P87" i="26"/>
  <c r="P88" i="26"/>
  <c r="P89" i="26"/>
  <c r="P90" i="26"/>
  <c r="P91" i="26"/>
  <c r="P92" i="26"/>
  <c r="P93" i="26"/>
  <c r="P94" i="26"/>
  <c r="P95" i="26"/>
  <c r="P96" i="26"/>
  <c r="P97" i="26"/>
  <c r="P98" i="26"/>
  <c r="P99" i="26"/>
  <c r="P100" i="26"/>
  <c r="P101" i="26"/>
  <c r="P102" i="26"/>
  <c r="P103" i="26"/>
  <c r="P104" i="26"/>
  <c r="P105" i="26"/>
  <c r="P119" i="26"/>
  <c r="P120" i="26"/>
  <c r="P121" i="26"/>
  <c r="P122" i="26"/>
  <c r="P123" i="26"/>
  <c r="P124" i="26"/>
  <c r="P125" i="26"/>
  <c r="P126" i="26"/>
  <c r="P127" i="26"/>
  <c r="P128" i="26"/>
  <c r="P129" i="26"/>
  <c r="P139" i="26"/>
  <c r="P140" i="26"/>
  <c r="O11" i="26"/>
  <c r="O12" i="26"/>
  <c r="O13" i="26"/>
  <c r="O14" i="26"/>
  <c r="O15" i="26"/>
  <c r="O16" i="26"/>
  <c r="O17" i="26"/>
  <c r="O18" i="26"/>
  <c r="O19" i="26"/>
  <c r="O20" i="26"/>
  <c r="O21" i="26"/>
  <c r="O22" i="26"/>
  <c r="O23" i="26"/>
  <c r="O24" i="26"/>
  <c r="O25" i="26"/>
  <c r="O26" i="26"/>
  <c r="O27" i="26"/>
  <c r="O28" i="26"/>
  <c r="O29" i="26"/>
  <c r="O30" i="26"/>
  <c r="O31" i="26"/>
  <c r="O32" i="26"/>
  <c r="O33" i="26"/>
  <c r="O34" i="26"/>
  <c r="O35" i="26"/>
  <c r="O36" i="26"/>
  <c r="O37" i="26"/>
  <c r="O38" i="26"/>
  <c r="O39" i="26"/>
  <c r="O40" i="26"/>
  <c r="O41" i="26"/>
  <c r="O42" i="26"/>
  <c r="O43" i="26"/>
  <c r="O44" i="26"/>
  <c r="O45" i="26"/>
  <c r="O46" i="26"/>
  <c r="O47" i="26"/>
  <c r="O48" i="26"/>
  <c r="O49" i="26"/>
  <c r="O50" i="26"/>
  <c r="O51" i="26"/>
  <c r="O52" i="26"/>
  <c r="O53" i="26"/>
  <c r="O54" i="26"/>
  <c r="O55" i="26"/>
  <c r="O56" i="26"/>
  <c r="O57" i="26"/>
  <c r="O58" i="26"/>
  <c r="O59" i="26"/>
  <c r="O60" i="26"/>
  <c r="O61" i="26"/>
  <c r="O62" i="26"/>
  <c r="O63" i="26"/>
  <c r="O64" i="26"/>
  <c r="O66" i="26"/>
  <c r="O67" i="26"/>
  <c r="O68" i="26"/>
  <c r="O69" i="26"/>
  <c r="O70" i="26"/>
  <c r="O71" i="26"/>
  <c r="O72" i="26"/>
  <c r="O73" i="26"/>
  <c r="O74" i="26"/>
  <c r="O65" i="26"/>
  <c r="O75" i="26"/>
  <c r="O76" i="26"/>
  <c r="O77" i="26"/>
  <c r="O78" i="26"/>
  <c r="O79" i="26"/>
  <c r="O80" i="26"/>
  <c r="O81" i="26"/>
  <c r="O82" i="26"/>
  <c r="O83" i="26"/>
  <c r="O84" i="26"/>
  <c r="O85" i="26"/>
  <c r="O86" i="26"/>
  <c r="O87" i="26"/>
  <c r="O88" i="26"/>
  <c r="O89" i="26"/>
  <c r="O90" i="26"/>
  <c r="O91" i="26"/>
  <c r="O92" i="26"/>
  <c r="O93" i="26"/>
  <c r="O94" i="26"/>
  <c r="O95" i="26"/>
  <c r="O96" i="26"/>
  <c r="O97" i="26"/>
  <c r="O98" i="26"/>
  <c r="O99" i="26"/>
  <c r="O100" i="26"/>
  <c r="O101" i="26"/>
  <c r="O102" i="26"/>
  <c r="O103" i="26"/>
  <c r="O104" i="26"/>
  <c r="O105" i="26"/>
  <c r="O119" i="26"/>
  <c r="O120" i="26"/>
  <c r="O121" i="26"/>
  <c r="O122" i="26"/>
  <c r="O123" i="26"/>
  <c r="O124" i="26"/>
  <c r="O125" i="26"/>
  <c r="O126" i="26"/>
  <c r="O127" i="26"/>
  <c r="O128" i="26"/>
  <c r="O129" i="26"/>
  <c r="O139" i="26"/>
  <c r="O140" i="26"/>
  <c r="R11" i="27"/>
  <c r="R12" i="27"/>
  <c r="R13" i="27"/>
  <c r="R14" i="27"/>
  <c r="R15" i="27"/>
  <c r="R16" i="27"/>
  <c r="R17" i="27"/>
  <c r="R18" i="27"/>
  <c r="R19" i="27"/>
  <c r="R20" i="27"/>
  <c r="R21" i="27"/>
  <c r="R22" i="27"/>
  <c r="R23" i="27"/>
  <c r="R24" i="27"/>
  <c r="R25" i="27"/>
  <c r="R26" i="27"/>
  <c r="R27" i="27"/>
  <c r="R28" i="27"/>
  <c r="R29" i="27"/>
  <c r="R30" i="27"/>
  <c r="R31" i="27"/>
  <c r="R32" i="27"/>
  <c r="R33" i="27"/>
  <c r="R34" i="27"/>
  <c r="R35" i="27"/>
  <c r="R36" i="27"/>
  <c r="R37" i="27"/>
  <c r="R38" i="27"/>
  <c r="R39" i="27"/>
  <c r="R40" i="27"/>
  <c r="R41" i="27"/>
  <c r="R42" i="27"/>
  <c r="R43" i="27"/>
  <c r="R44" i="27"/>
  <c r="R45" i="27"/>
  <c r="R46" i="27"/>
  <c r="R47" i="27"/>
  <c r="R48" i="27"/>
  <c r="R49" i="27"/>
  <c r="R50" i="27"/>
  <c r="R51" i="27"/>
  <c r="R52" i="27"/>
  <c r="R53" i="27"/>
  <c r="R54" i="27"/>
  <c r="R55" i="27"/>
  <c r="R56" i="27"/>
  <c r="R57" i="27"/>
  <c r="R58" i="27"/>
  <c r="R59" i="27"/>
  <c r="R60" i="27"/>
  <c r="R94" i="27"/>
  <c r="R95" i="27"/>
  <c r="R96" i="27"/>
  <c r="R97" i="27"/>
  <c r="R98" i="27"/>
  <c r="R99" i="27"/>
  <c r="R100" i="27"/>
  <c r="R101" i="27"/>
  <c r="R102" i="27"/>
  <c r="R103" i="27"/>
  <c r="R104" i="27"/>
  <c r="R105" i="27"/>
  <c r="R106" i="27"/>
  <c r="R107" i="27"/>
  <c r="R108" i="27"/>
  <c r="R109" i="27"/>
  <c r="R110" i="27"/>
  <c r="R111" i="27"/>
  <c r="R112" i="27"/>
  <c r="R113" i="27"/>
  <c r="R114" i="27"/>
  <c r="R115" i="27"/>
  <c r="R116" i="27"/>
  <c r="R117" i="27"/>
  <c r="R118" i="27"/>
  <c r="R119" i="27"/>
  <c r="R120" i="27"/>
  <c r="R121" i="27"/>
  <c r="R122" i="27"/>
  <c r="R123" i="27"/>
  <c r="R124" i="27"/>
  <c r="R125" i="27"/>
  <c r="R126" i="27"/>
  <c r="R127" i="27"/>
  <c r="R128" i="27"/>
  <c r="R129" i="27"/>
  <c r="R130" i="27"/>
  <c r="R131" i="27"/>
  <c r="R132" i="27"/>
  <c r="R133" i="27"/>
  <c r="R134" i="27"/>
  <c r="R135" i="27"/>
  <c r="R136" i="27"/>
  <c r="R137" i="27"/>
  <c r="R138" i="27"/>
  <c r="R139" i="27"/>
  <c r="R140" i="27"/>
  <c r="R141" i="27"/>
  <c r="R142" i="27"/>
  <c r="R143" i="27"/>
  <c r="R144" i="27"/>
  <c r="R145" i="27"/>
  <c r="R146" i="27"/>
  <c r="R147" i="27"/>
  <c r="R148" i="27"/>
  <c r="R149" i="27"/>
  <c r="R150" i="27"/>
  <c r="R151" i="27"/>
  <c r="R152" i="27"/>
  <c r="Q11" i="27"/>
  <c r="Q12" i="27"/>
  <c r="Q13" i="27"/>
  <c r="Q14" i="27"/>
  <c r="Q15" i="27"/>
  <c r="Q16" i="27"/>
  <c r="Q17" i="27"/>
  <c r="Q18" i="27"/>
  <c r="Q19" i="27"/>
  <c r="Q20" i="27"/>
  <c r="Q21" i="27"/>
  <c r="Q22" i="27"/>
  <c r="Q23" i="27"/>
  <c r="Q24" i="27"/>
  <c r="Q25" i="27"/>
  <c r="Q26" i="27"/>
  <c r="Q27" i="27"/>
  <c r="Q28" i="27"/>
  <c r="Q29" i="27"/>
  <c r="Q30" i="27"/>
  <c r="Q31" i="27"/>
  <c r="Q32" i="27"/>
  <c r="Q33" i="27"/>
  <c r="Q34" i="27"/>
  <c r="Q35" i="27"/>
  <c r="Q36" i="27"/>
  <c r="Q37" i="27"/>
  <c r="Q38" i="27"/>
  <c r="Q39" i="27"/>
  <c r="Q40" i="27"/>
  <c r="Q41" i="27"/>
  <c r="Q42" i="27"/>
  <c r="Q43" i="27"/>
  <c r="Q44" i="27"/>
  <c r="Q45" i="27"/>
  <c r="Q46" i="27"/>
  <c r="Q47" i="27"/>
  <c r="Q48" i="27"/>
  <c r="Q49" i="27"/>
  <c r="Q50" i="27"/>
  <c r="Q51" i="27"/>
  <c r="Q52" i="27"/>
  <c r="Q53" i="27"/>
  <c r="Q54" i="27"/>
  <c r="Q55" i="27"/>
  <c r="Q56" i="27"/>
  <c r="Q57" i="27"/>
  <c r="Q58" i="27"/>
  <c r="Q59" i="27"/>
  <c r="Q60" i="27"/>
  <c r="Q94" i="27"/>
  <c r="Q95" i="27"/>
  <c r="Q96" i="27"/>
  <c r="Q97" i="27"/>
  <c r="Q98" i="27"/>
  <c r="Q99" i="27"/>
  <c r="Q100" i="27"/>
  <c r="Q101" i="27"/>
  <c r="Q102" i="27"/>
  <c r="Q103" i="27"/>
  <c r="Q104" i="27"/>
  <c r="Q105" i="27"/>
  <c r="Q106" i="27"/>
  <c r="Q107" i="27"/>
  <c r="Q108" i="27"/>
  <c r="Q109" i="27"/>
  <c r="Q110" i="27"/>
  <c r="Q111" i="27"/>
  <c r="Q112" i="27"/>
  <c r="Q113" i="27"/>
  <c r="Q114" i="27"/>
  <c r="Q115" i="27"/>
  <c r="Q116" i="27"/>
  <c r="Q117" i="27"/>
  <c r="Q118" i="27"/>
  <c r="Q119" i="27"/>
  <c r="Q120" i="27"/>
  <c r="Q121" i="27"/>
  <c r="Q122" i="27"/>
  <c r="Q123" i="27"/>
  <c r="Q124" i="27"/>
  <c r="Q125" i="27"/>
  <c r="Q126" i="27"/>
  <c r="Q127" i="27"/>
  <c r="Q128" i="27"/>
  <c r="Q129" i="27"/>
  <c r="Q130" i="27"/>
  <c r="Q131" i="27"/>
  <c r="Q132" i="27"/>
  <c r="Q133" i="27"/>
  <c r="Q134" i="27"/>
  <c r="Q135" i="27"/>
  <c r="Q136" i="27"/>
  <c r="Q137" i="27"/>
  <c r="Q138" i="27"/>
  <c r="Q139" i="27"/>
  <c r="Q140" i="27"/>
  <c r="Q141" i="27"/>
  <c r="Q142" i="27"/>
  <c r="Q143" i="27"/>
  <c r="Q144" i="27"/>
  <c r="Q145" i="27"/>
  <c r="Q146" i="27"/>
  <c r="Q147" i="27"/>
  <c r="Q148" i="27"/>
  <c r="Q149" i="27"/>
  <c r="Q150" i="27"/>
  <c r="Q151" i="27"/>
  <c r="Q152" i="27"/>
  <c r="P11" i="27"/>
  <c r="P12" i="27"/>
  <c r="P13" i="27"/>
  <c r="P14" i="27"/>
  <c r="P15" i="27"/>
  <c r="P16" i="27"/>
  <c r="P17" i="27"/>
  <c r="P18" i="27"/>
  <c r="P19" i="27"/>
  <c r="P20" i="27"/>
  <c r="P21" i="27"/>
  <c r="P22" i="27"/>
  <c r="P23" i="27"/>
  <c r="P24" i="27"/>
  <c r="P25" i="27"/>
  <c r="P26" i="27"/>
  <c r="P27" i="27"/>
  <c r="P28" i="27"/>
  <c r="P29" i="27"/>
  <c r="P30" i="27"/>
  <c r="P31" i="27"/>
  <c r="P32" i="27"/>
  <c r="P33" i="27"/>
  <c r="P34" i="27"/>
  <c r="P35" i="27"/>
  <c r="P36" i="27"/>
  <c r="P37" i="27"/>
  <c r="P38" i="27"/>
  <c r="P39" i="27"/>
  <c r="P40" i="27"/>
  <c r="P41" i="27"/>
  <c r="P42" i="27"/>
  <c r="P43" i="27"/>
  <c r="P44" i="27"/>
  <c r="P45" i="27"/>
  <c r="P46" i="27"/>
  <c r="P47" i="27"/>
  <c r="P48" i="27"/>
  <c r="P49" i="27"/>
  <c r="P50" i="27"/>
  <c r="P51" i="27"/>
  <c r="P52" i="27"/>
  <c r="P53" i="27"/>
  <c r="P54" i="27"/>
  <c r="P55" i="27"/>
  <c r="P56" i="27"/>
  <c r="P57" i="27"/>
  <c r="P58" i="27"/>
  <c r="P59" i="27"/>
  <c r="P60" i="27"/>
  <c r="P94" i="27"/>
  <c r="P95" i="27"/>
  <c r="P96" i="27"/>
  <c r="P97" i="27"/>
  <c r="P98" i="27"/>
  <c r="P99" i="27"/>
  <c r="P100" i="27"/>
  <c r="P101" i="27"/>
  <c r="P102" i="27"/>
  <c r="P103" i="27"/>
  <c r="P104" i="27"/>
  <c r="P105" i="27"/>
  <c r="P106" i="27"/>
  <c r="P107" i="27"/>
  <c r="P108" i="27"/>
  <c r="P109" i="27"/>
  <c r="P110" i="27"/>
  <c r="P111" i="27"/>
  <c r="P112" i="27"/>
  <c r="P113" i="27"/>
  <c r="P114" i="27"/>
  <c r="P115" i="27"/>
  <c r="P116" i="27"/>
  <c r="P117" i="27"/>
  <c r="P118" i="27"/>
  <c r="P119" i="27"/>
  <c r="P120" i="27"/>
  <c r="P121" i="27"/>
  <c r="P122" i="27"/>
  <c r="P123" i="27"/>
  <c r="P124" i="27"/>
  <c r="P125" i="27"/>
  <c r="P126" i="27"/>
  <c r="P127" i="27"/>
  <c r="P128" i="27"/>
  <c r="P129" i="27"/>
  <c r="P130" i="27"/>
  <c r="P131" i="27"/>
  <c r="P132" i="27"/>
  <c r="P133" i="27"/>
  <c r="P134" i="27"/>
  <c r="P135" i="27"/>
  <c r="P136" i="27"/>
  <c r="P137" i="27"/>
  <c r="P138" i="27"/>
  <c r="P139" i="27"/>
  <c r="P140" i="27"/>
  <c r="P141" i="27"/>
  <c r="P142" i="27"/>
  <c r="P143" i="27"/>
  <c r="P144" i="27"/>
  <c r="P145" i="27"/>
  <c r="P146" i="27"/>
  <c r="P147" i="27"/>
  <c r="P148" i="27"/>
  <c r="P149" i="27"/>
  <c r="P150" i="27"/>
  <c r="P151" i="27"/>
  <c r="P152" i="27"/>
  <c r="O11" i="27"/>
  <c r="O12" i="27"/>
  <c r="O13" i="27"/>
  <c r="O14" i="27"/>
  <c r="O15" i="27"/>
  <c r="O16" i="27"/>
  <c r="O17" i="27"/>
  <c r="O18" i="27"/>
  <c r="O19" i="27"/>
  <c r="O20" i="27"/>
  <c r="O21" i="27"/>
  <c r="O22" i="27"/>
  <c r="O23" i="27"/>
  <c r="O24" i="27"/>
  <c r="O25" i="27"/>
  <c r="O26" i="27"/>
  <c r="O27" i="27"/>
  <c r="O28" i="27"/>
  <c r="O29" i="27"/>
  <c r="O30" i="27"/>
  <c r="O31" i="27"/>
  <c r="O32" i="27"/>
  <c r="O33" i="27"/>
  <c r="O34" i="27"/>
  <c r="O35" i="27"/>
  <c r="O36" i="27"/>
  <c r="O37" i="27"/>
  <c r="O38" i="27"/>
  <c r="O39" i="27"/>
  <c r="O40" i="27"/>
  <c r="O41" i="27"/>
  <c r="O42" i="27"/>
  <c r="O43" i="27"/>
  <c r="O44" i="27"/>
  <c r="O45" i="27"/>
  <c r="O46" i="27"/>
  <c r="O47" i="27"/>
  <c r="O48" i="27"/>
  <c r="O49" i="27"/>
  <c r="O50" i="27"/>
  <c r="O51" i="27"/>
  <c r="O52" i="27"/>
  <c r="O53" i="27"/>
  <c r="O54" i="27"/>
  <c r="O55" i="27"/>
  <c r="O56" i="27"/>
  <c r="O57" i="27"/>
  <c r="O58" i="27"/>
  <c r="O59" i="27"/>
  <c r="O60" i="27"/>
  <c r="O94" i="27"/>
  <c r="O95" i="27"/>
  <c r="O96" i="27"/>
  <c r="O97" i="27"/>
  <c r="O98" i="27"/>
  <c r="O99" i="27"/>
  <c r="O100" i="27"/>
  <c r="O101" i="27"/>
  <c r="O102" i="27"/>
  <c r="O103" i="27"/>
  <c r="O104" i="27"/>
  <c r="O105" i="27"/>
  <c r="O106" i="27"/>
  <c r="O107" i="27"/>
  <c r="O108" i="27"/>
  <c r="O109" i="27"/>
  <c r="O110" i="27"/>
  <c r="O111" i="27"/>
  <c r="O112" i="27"/>
  <c r="O113" i="27"/>
  <c r="O114" i="27"/>
  <c r="O115" i="27"/>
  <c r="O116" i="27"/>
  <c r="O117" i="27"/>
  <c r="O118" i="27"/>
  <c r="O119" i="27"/>
  <c r="O120" i="27"/>
  <c r="O121" i="27"/>
  <c r="O122" i="27"/>
  <c r="O123" i="27"/>
  <c r="O124" i="27"/>
  <c r="O125" i="27"/>
  <c r="O126" i="27"/>
  <c r="O127" i="27"/>
  <c r="O128" i="27"/>
  <c r="O129" i="27"/>
  <c r="O130" i="27"/>
  <c r="O131" i="27"/>
  <c r="O132" i="27"/>
  <c r="O133" i="27"/>
  <c r="O134" i="27"/>
  <c r="O135" i="27"/>
  <c r="O136" i="27"/>
  <c r="O137" i="27"/>
  <c r="O138" i="27"/>
  <c r="O139" i="27"/>
  <c r="O140" i="27"/>
  <c r="O141" i="27"/>
  <c r="O142" i="27"/>
  <c r="O143" i="27"/>
  <c r="O144" i="27"/>
  <c r="O145" i="27"/>
  <c r="O146" i="27"/>
  <c r="O147" i="27"/>
  <c r="O148" i="27"/>
  <c r="O149" i="27"/>
  <c r="O150" i="27"/>
  <c r="O151" i="27"/>
  <c r="O152" i="27"/>
  <c r="G13" i="28"/>
  <c r="G14" i="28"/>
  <c r="G15" i="28"/>
  <c r="G16" i="28"/>
  <c r="G12" i="28"/>
  <c r="G11" i="28"/>
  <c r="F13" i="28"/>
  <c r="AN11" i="32" s="1"/>
  <c r="F14" i="28"/>
  <c r="F15" i="28"/>
  <c r="F12" i="28"/>
  <c r="F11" i="28"/>
  <c r="F16" i="28"/>
  <c r="E13" i="28"/>
  <c r="E14" i="28"/>
  <c r="E15" i="28"/>
  <c r="E16" i="28"/>
  <c r="E12" i="28"/>
  <c r="E11" i="28"/>
  <c r="D11" i="28"/>
  <c r="D12" i="28"/>
  <c r="D13" i="28"/>
  <c r="D14" i="28"/>
  <c r="D15" i="28"/>
  <c r="D16" i="28"/>
  <c r="I9" i="18"/>
  <c r="E35" i="28"/>
  <c r="D146" i="36"/>
  <c r="E146" i="36" s="1"/>
  <c r="D145" i="36"/>
  <c r="E145" i="36" s="1"/>
  <c r="D144" i="36"/>
  <c r="E144" i="36" s="1"/>
  <c r="D143" i="36"/>
  <c r="E143" i="36" s="1"/>
  <c r="D142" i="36"/>
  <c r="E142" i="36" s="1"/>
  <c r="D141" i="36"/>
  <c r="E141" i="36" s="1"/>
  <c r="D140" i="36"/>
  <c r="E140" i="36" s="1"/>
  <c r="D139" i="36"/>
  <c r="E139" i="36" s="1"/>
  <c r="D138" i="36"/>
  <c r="E138" i="36" s="1"/>
  <c r="D137" i="36"/>
  <c r="E137" i="36" s="1"/>
  <c r="D136" i="36"/>
  <c r="E136" i="36" s="1"/>
  <c r="D135" i="36"/>
  <c r="E135" i="36" s="1"/>
  <c r="I134" i="36"/>
  <c r="J134" i="36" s="1"/>
  <c r="E134" i="36"/>
  <c r="D134" i="36"/>
  <c r="I133" i="36"/>
  <c r="J133" i="36" s="1"/>
  <c r="D133" i="36"/>
  <c r="E133" i="36" s="1"/>
  <c r="I132" i="36"/>
  <c r="J132" i="36" s="1"/>
  <c r="D132" i="36"/>
  <c r="E132" i="36" s="1"/>
  <c r="I131" i="36"/>
  <c r="J131" i="36" s="1"/>
  <c r="D131" i="36"/>
  <c r="E131" i="36" s="1"/>
  <c r="I130" i="36"/>
  <c r="J130" i="36" s="1"/>
  <c r="D130" i="36"/>
  <c r="E130" i="36" s="1"/>
  <c r="I129" i="36"/>
  <c r="J129" i="36" s="1"/>
  <c r="D129" i="36"/>
  <c r="E129" i="36" s="1"/>
  <c r="I128" i="36"/>
  <c r="J128" i="36" s="1"/>
  <c r="D128" i="36"/>
  <c r="E128" i="36" s="1"/>
  <c r="I127" i="36"/>
  <c r="J127" i="36" s="1"/>
  <c r="D127" i="36"/>
  <c r="E127" i="36" s="1"/>
  <c r="I126" i="36"/>
  <c r="J126" i="36" s="1"/>
  <c r="D126" i="36"/>
  <c r="E126" i="36" s="1"/>
  <c r="I125" i="36"/>
  <c r="J125" i="36" s="1"/>
  <c r="D125" i="36"/>
  <c r="E125" i="36" s="1"/>
  <c r="I124" i="36"/>
  <c r="J124" i="36" s="1"/>
  <c r="D124" i="36"/>
  <c r="E124" i="36" s="1"/>
  <c r="I123" i="36"/>
  <c r="J123" i="36" s="1"/>
  <c r="D123" i="36"/>
  <c r="E123" i="36" s="1"/>
  <c r="I122" i="36"/>
  <c r="J122" i="36" s="1"/>
  <c r="D122" i="36"/>
  <c r="E122" i="36" s="1"/>
  <c r="I121" i="36"/>
  <c r="J121" i="36" s="1"/>
  <c r="D121" i="36"/>
  <c r="E121" i="36" s="1"/>
  <c r="I120" i="36"/>
  <c r="J120" i="36" s="1"/>
  <c r="D120" i="36"/>
  <c r="E120" i="36" s="1"/>
  <c r="I119" i="36"/>
  <c r="J119" i="36" s="1"/>
  <c r="D119" i="36"/>
  <c r="E119" i="36" s="1"/>
  <c r="I118" i="36"/>
  <c r="J118" i="36" s="1"/>
  <c r="D118" i="36"/>
  <c r="E118" i="36" s="1"/>
  <c r="I117" i="36"/>
  <c r="J117" i="36" s="1"/>
  <c r="D117" i="36"/>
  <c r="E117" i="36" s="1"/>
  <c r="I116" i="36"/>
  <c r="J116" i="36" s="1"/>
  <c r="D116" i="36"/>
  <c r="E116" i="36" s="1"/>
  <c r="I115" i="36"/>
  <c r="J115" i="36" s="1"/>
  <c r="D115" i="36"/>
  <c r="E115" i="36" s="1"/>
  <c r="I114" i="36"/>
  <c r="J114" i="36" s="1"/>
  <c r="D114" i="36"/>
  <c r="E114" i="36" s="1"/>
  <c r="I113" i="36"/>
  <c r="J113" i="36" s="1"/>
  <c r="D113" i="36"/>
  <c r="E113" i="36" s="1"/>
  <c r="I112" i="36"/>
  <c r="J112" i="36" s="1"/>
  <c r="D112" i="36"/>
  <c r="E112" i="36" s="1"/>
  <c r="I111" i="36"/>
  <c r="J111" i="36" s="1"/>
  <c r="D111" i="36"/>
  <c r="E111" i="36" s="1"/>
  <c r="I110" i="36"/>
  <c r="J110" i="36" s="1"/>
  <c r="D110" i="36"/>
  <c r="E110" i="36" s="1"/>
  <c r="I109" i="36"/>
  <c r="J109" i="36" s="1"/>
  <c r="D109" i="36"/>
  <c r="E109" i="36" s="1"/>
  <c r="I108" i="36"/>
  <c r="J108" i="36" s="1"/>
  <c r="D108" i="36"/>
  <c r="E108" i="36" s="1"/>
  <c r="I107" i="36"/>
  <c r="J107" i="36" s="1"/>
  <c r="D107" i="36"/>
  <c r="E107" i="36" s="1"/>
  <c r="I106" i="36"/>
  <c r="J106" i="36" s="1"/>
  <c r="D106" i="36"/>
  <c r="E106" i="36" s="1"/>
  <c r="I105" i="36"/>
  <c r="J105" i="36" s="1"/>
  <c r="D105" i="36"/>
  <c r="E105" i="36" s="1"/>
  <c r="I104" i="36"/>
  <c r="J104" i="36" s="1"/>
  <c r="D104" i="36"/>
  <c r="E104" i="36" s="1"/>
  <c r="I103" i="36"/>
  <c r="J103" i="36" s="1"/>
  <c r="D103" i="36"/>
  <c r="E103" i="36" s="1"/>
  <c r="I102" i="36"/>
  <c r="J102" i="36" s="1"/>
  <c r="D102" i="36"/>
  <c r="E102" i="36" s="1"/>
  <c r="I101" i="36"/>
  <c r="J101" i="36" s="1"/>
  <c r="D101" i="36"/>
  <c r="E101" i="36" s="1"/>
  <c r="I100" i="36"/>
  <c r="J100" i="36" s="1"/>
  <c r="D100" i="36"/>
  <c r="E100" i="36" s="1"/>
  <c r="I99" i="36"/>
  <c r="J99" i="36" s="1"/>
  <c r="D99" i="36"/>
  <c r="E99" i="36" s="1"/>
  <c r="I98" i="36"/>
  <c r="J98" i="36" s="1"/>
  <c r="D98" i="36"/>
  <c r="E98" i="36" s="1"/>
  <c r="I97" i="36"/>
  <c r="J97" i="36" s="1"/>
  <c r="D97" i="36"/>
  <c r="E97" i="36" s="1"/>
  <c r="I96" i="36"/>
  <c r="J96" i="36" s="1"/>
  <c r="D96" i="36"/>
  <c r="E96" i="36" s="1"/>
  <c r="I95" i="36"/>
  <c r="J95" i="36" s="1"/>
  <c r="D95" i="36"/>
  <c r="E95" i="36" s="1"/>
  <c r="I94" i="36"/>
  <c r="J94" i="36" s="1"/>
  <c r="D94" i="36"/>
  <c r="E94" i="36" s="1"/>
  <c r="I93" i="36"/>
  <c r="J93" i="36" s="1"/>
  <c r="D93" i="36"/>
  <c r="E93" i="36" s="1"/>
  <c r="I92" i="36"/>
  <c r="J92" i="36" s="1"/>
  <c r="D92" i="36"/>
  <c r="E92" i="36" s="1"/>
  <c r="I91" i="36"/>
  <c r="J91" i="36" s="1"/>
  <c r="D91" i="36"/>
  <c r="E91" i="36" s="1"/>
  <c r="I90" i="36"/>
  <c r="J90" i="36" s="1"/>
  <c r="D90" i="36"/>
  <c r="E90" i="36" s="1"/>
  <c r="I89" i="36"/>
  <c r="J89" i="36" s="1"/>
  <c r="D89" i="36"/>
  <c r="E89" i="36" s="1"/>
  <c r="I88" i="36"/>
  <c r="J88" i="36" s="1"/>
  <c r="D88" i="36"/>
  <c r="E88" i="36" s="1"/>
  <c r="I87" i="36"/>
  <c r="J87" i="36" s="1"/>
  <c r="D87" i="36"/>
  <c r="E87" i="36" s="1"/>
  <c r="I86" i="36"/>
  <c r="J86" i="36" s="1"/>
  <c r="D86" i="36"/>
  <c r="E86" i="36" s="1"/>
  <c r="I85" i="36"/>
  <c r="J85" i="36" s="1"/>
  <c r="D85" i="36"/>
  <c r="E85" i="36" s="1"/>
  <c r="I84" i="36"/>
  <c r="J84" i="36" s="1"/>
  <c r="D84" i="36"/>
  <c r="E84" i="36" s="1"/>
  <c r="I83" i="36"/>
  <c r="J83" i="36" s="1"/>
  <c r="D83" i="36"/>
  <c r="E83" i="36" s="1"/>
  <c r="I82" i="36"/>
  <c r="J82" i="36" s="1"/>
  <c r="D82" i="36"/>
  <c r="E82" i="36" s="1"/>
  <c r="I81" i="36"/>
  <c r="J81" i="36" s="1"/>
  <c r="D81" i="36"/>
  <c r="E81" i="36" s="1"/>
  <c r="I80" i="36"/>
  <c r="J80" i="36" s="1"/>
  <c r="D80" i="36"/>
  <c r="E80" i="36" s="1"/>
  <c r="I79" i="36"/>
  <c r="J79" i="36" s="1"/>
  <c r="D79" i="36"/>
  <c r="E79" i="36" s="1"/>
  <c r="I78" i="36"/>
  <c r="J78" i="36" s="1"/>
  <c r="D78" i="36"/>
  <c r="E78" i="36" s="1"/>
  <c r="I77" i="36"/>
  <c r="J77" i="36" s="1"/>
  <c r="D77" i="36"/>
  <c r="E77" i="36" s="1"/>
  <c r="I76" i="36"/>
  <c r="J76" i="36" s="1"/>
  <c r="D76" i="36"/>
  <c r="E76" i="36" s="1"/>
  <c r="I75" i="36"/>
  <c r="J75" i="36" s="1"/>
  <c r="D75" i="36"/>
  <c r="E75" i="36" s="1"/>
  <c r="I74" i="36"/>
  <c r="J74" i="36" s="1"/>
  <c r="D74" i="36"/>
  <c r="E74" i="36" s="1"/>
  <c r="I73" i="36"/>
  <c r="J73" i="36" s="1"/>
  <c r="D73" i="36"/>
  <c r="E73" i="36" s="1"/>
  <c r="I72" i="36"/>
  <c r="J72" i="36" s="1"/>
  <c r="D72" i="36"/>
  <c r="E72" i="36" s="1"/>
  <c r="I71" i="36"/>
  <c r="J71" i="36" s="1"/>
  <c r="D71" i="36"/>
  <c r="E71" i="36" s="1"/>
  <c r="I70" i="36"/>
  <c r="J70" i="36" s="1"/>
  <c r="D70" i="36"/>
  <c r="E70" i="36" s="1"/>
  <c r="I69" i="36"/>
  <c r="J69" i="36" s="1"/>
  <c r="D69" i="36"/>
  <c r="E69" i="36" s="1"/>
  <c r="I68" i="36"/>
  <c r="J68" i="36" s="1"/>
  <c r="D68" i="36"/>
  <c r="E68" i="36" s="1"/>
  <c r="I67" i="36"/>
  <c r="J67" i="36" s="1"/>
  <c r="D67" i="36"/>
  <c r="E67" i="36" s="1"/>
  <c r="I66" i="36"/>
  <c r="J66" i="36" s="1"/>
  <c r="D66" i="36"/>
  <c r="E66" i="36" s="1"/>
  <c r="I65" i="36"/>
  <c r="J65" i="36" s="1"/>
  <c r="D65" i="36"/>
  <c r="E65" i="36" s="1"/>
  <c r="I64" i="36"/>
  <c r="J64" i="36" s="1"/>
  <c r="D64" i="36"/>
  <c r="E64" i="36" s="1"/>
  <c r="I63" i="36"/>
  <c r="J63" i="36" s="1"/>
  <c r="D63" i="36"/>
  <c r="E63" i="36" s="1"/>
  <c r="I62" i="36"/>
  <c r="J62" i="36" s="1"/>
  <c r="D62" i="36"/>
  <c r="E62" i="36" s="1"/>
  <c r="I61" i="36"/>
  <c r="J61" i="36" s="1"/>
  <c r="D61" i="36"/>
  <c r="E61" i="36" s="1"/>
  <c r="I60" i="36"/>
  <c r="J60" i="36" s="1"/>
  <c r="D60" i="36"/>
  <c r="E60" i="36" s="1"/>
  <c r="I59" i="36"/>
  <c r="J59" i="36" s="1"/>
  <c r="D59" i="36"/>
  <c r="E59" i="36" s="1"/>
  <c r="I58" i="36"/>
  <c r="J58" i="36" s="1"/>
  <c r="D58" i="36"/>
  <c r="E58" i="36" s="1"/>
  <c r="I57" i="36"/>
  <c r="J57" i="36" s="1"/>
  <c r="D57" i="36"/>
  <c r="E57" i="36" s="1"/>
  <c r="I56" i="36"/>
  <c r="J56" i="36" s="1"/>
  <c r="D56" i="36"/>
  <c r="E56" i="36" s="1"/>
  <c r="I55" i="36"/>
  <c r="J55" i="36" s="1"/>
  <c r="D55" i="36"/>
  <c r="E55" i="36" s="1"/>
  <c r="I54" i="36"/>
  <c r="J54" i="36" s="1"/>
  <c r="D54" i="36"/>
  <c r="E54" i="36" s="1"/>
  <c r="I53" i="36"/>
  <c r="J53" i="36" s="1"/>
  <c r="D53" i="36"/>
  <c r="E53" i="36" s="1"/>
  <c r="I52" i="36"/>
  <c r="J52" i="36" s="1"/>
  <c r="D52" i="36"/>
  <c r="E52" i="36" s="1"/>
  <c r="I51" i="36"/>
  <c r="J51" i="36" s="1"/>
  <c r="D51" i="36"/>
  <c r="E51" i="36" s="1"/>
  <c r="I50" i="36"/>
  <c r="J50" i="36" s="1"/>
  <c r="D50" i="36"/>
  <c r="E50" i="36" s="1"/>
  <c r="I49" i="36"/>
  <c r="J49" i="36" s="1"/>
  <c r="D49" i="36"/>
  <c r="E49" i="36" s="1"/>
  <c r="I48" i="36"/>
  <c r="J48" i="36" s="1"/>
  <c r="D48" i="36"/>
  <c r="E48" i="36" s="1"/>
  <c r="I47" i="36"/>
  <c r="J47" i="36" s="1"/>
  <c r="D47" i="36"/>
  <c r="E47" i="36" s="1"/>
  <c r="I46" i="36"/>
  <c r="J46" i="36" s="1"/>
  <c r="D46" i="36"/>
  <c r="E46" i="36" s="1"/>
  <c r="I45" i="36"/>
  <c r="J45" i="36" s="1"/>
  <c r="D45" i="36"/>
  <c r="E45" i="36" s="1"/>
  <c r="I44" i="36"/>
  <c r="J44" i="36" s="1"/>
  <c r="D44" i="36"/>
  <c r="E44" i="36" s="1"/>
  <c r="I43" i="36"/>
  <c r="J43" i="36" s="1"/>
  <c r="D43" i="36"/>
  <c r="E43" i="36" s="1"/>
  <c r="I42" i="36"/>
  <c r="J42" i="36" s="1"/>
  <c r="D42" i="36"/>
  <c r="E42" i="36" s="1"/>
  <c r="I41" i="36"/>
  <c r="J41" i="36" s="1"/>
  <c r="D41" i="36"/>
  <c r="E41" i="36" s="1"/>
  <c r="I40" i="36"/>
  <c r="J40" i="36" s="1"/>
  <c r="D40" i="36"/>
  <c r="E40" i="36" s="1"/>
  <c r="I39" i="36"/>
  <c r="J39" i="36" s="1"/>
  <c r="D39" i="36"/>
  <c r="E39" i="36" s="1"/>
  <c r="I38" i="36"/>
  <c r="J38" i="36" s="1"/>
  <c r="D38" i="36"/>
  <c r="E38" i="36" s="1"/>
  <c r="I37" i="36"/>
  <c r="J37" i="36" s="1"/>
  <c r="D37" i="36"/>
  <c r="E37" i="36" s="1"/>
  <c r="I36" i="36"/>
  <c r="J36" i="36" s="1"/>
  <c r="D36" i="36"/>
  <c r="E36" i="36" s="1"/>
  <c r="I35" i="36"/>
  <c r="J35" i="36" s="1"/>
  <c r="D35" i="36"/>
  <c r="E35" i="36" s="1"/>
  <c r="I34" i="36"/>
  <c r="J34" i="36" s="1"/>
  <c r="D34" i="36"/>
  <c r="E34" i="36" s="1"/>
  <c r="I33" i="36"/>
  <c r="J33" i="36" s="1"/>
  <c r="D33" i="36"/>
  <c r="E33" i="36" s="1"/>
  <c r="I32" i="36"/>
  <c r="J32" i="36" s="1"/>
  <c r="D32" i="36"/>
  <c r="E32" i="36" s="1"/>
  <c r="I31" i="36"/>
  <c r="J31" i="36" s="1"/>
  <c r="D31" i="36"/>
  <c r="E31" i="36" s="1"/>
  <c r="I30" i="36"/>
  <c r="J30" i="36" s="1"/>
  <c r="D30" i="36"/>
  <c r="E30" i="36" s="1"/>
  <c r="I29" i="36"/>
  <c r="J29" i="36" s="1"/>
  <c r="D29" i="36"/>
  <c r="E29" i="36" s="1"/>
  <c r="I28" i="36"/>
  <c r="J28" i="36" s="1"/>
  <c r="D28" i="36"/>
  <c r="E28" i="36" s="1"/>
  <c r="I27" i="36"/>
  <c r="J27" i="36" s="1"/>
  <c r="D27" i="36"/>
  <c r="E27" i="36" s="1"/>
  <c r="I26" i="36"/>
  <c r="J26" i="36" s="1"/>
  <c r="D26" i="36"/>
  <c r="E26" i="36" s="1"/>
  <c r="I25" i="36"/>
  <c r="J25" i="36" s="1"/>
  <c r="D25" i="36"/>
  <c r="E25" i="36" s="1"/>
  <c r="I24" i="36"/>
  <c r="J24" i="36" s="1"/>
  <c r="D24" i="36"/>
  <c r="E24" i="36" s="1"/>
  <c r="I23" i="36"/>
  <c r="J23" i="36" s="1"/>
  <c r="D23" i="36"/>
  <c r="E23" i="36" s="1"/>
  <c r="I22" i="36"/>
  <c r="J22" i="36" s="1"/>
  <c r="D22" i="36"/>
  <c r="E22" i="36" s="1"/>
  <c r="I21" i="36"/>
  <c r="J21" i="36" s="1"/>
  <c r="D21" i="36"/>
  <c r="E21" i="36" s="1"/>
  <c r="I20" i="36"/>
  <c r="J20" i="36" s="1"/>
  <c r="D20" i="36"/>
  <c r="E20" i="36" s="1"/>
  <c r="I19" i="36"/>
  <c r="J19" i="36" s="1"/>
  <c r="D19" i="36"/>
  <c r="E19" i="36" s="1"/>
  <c r="I18" i="36"/>
  <c r="J18" i="36" s="1"/>
  <c r="D18" i="36"/>
  <c r="E18" i="36" s="1"/>
  <c r="I17" i="36"/>
  <c r="J17" i="36" s="1"/>
  <c r="D17" i="36"/>
  <c r="E17" i="36" s="1"/>
  <c r="I16" i="36"/>
  <c r="J16" i="36" s="1"/>
  <c r="D16" i="36"/>
  <c r="E16" i="36" s="1"/>
  <c r="I15" i="36"/>
  <c r="J15" i="36" s="1"/>
  <c r="D15" i="36"/>
  <c r="E15" i="36" s="1"/>
  <c r="I14" i="36"/>
  <c r="J14" i="36" s="1"/>
  <c r="D14" i="36"/>
  <c r="E14" i="36" s="1"/>
  <c r="I13" i="36"/>
  <c r="J13" i="36" s="1"/>
  <c r="D13" i="36"/>
  <c r="E13" i="36" s="1"/>
  <c r="I12" i="36"/>
  <c r="J12" i="36" s="1"/>
  <c r="D12" i="36"/>
  <c r="E12" i="36" s="1"/>
  <c r="I11" i="36"/>
  <c r="J11" i="36" s="1"/>
  <c r="D11" i="36"/>
  <c r="E11" i="36" s="1"/>
  <c r="I10" i="36"/>
  <c r="J10" i="36" s="1"/>
  <c r="D10" i="36"/>
  <c r="E10" i="36" s="1"/>
  <c r="I9" i="36"/>
  <c r="J9" i="36" s="1"/>
  <c r="D9" i="36"/>
  <c r="E9" i="36" s="1"/>
  <c r="I8" i="36"/>
  <c r="J8" i="36" s="1"/>
  <c r="D8" i="36"/>
  <c r="E8" i="36" s="1"/>
  <c r="I7" i="36"/>
  <c r="J7" i="36" s="1"/>
  <c r="D7" i="36"/>
  <c r="E7" i="36" s="1"/>
  <c r="I6" i="36"/>
  <c r="J6" i="36" s="1"/>
  <c r="D6" i="36"/>
  <c r="E6" i="36" s="1"/>
  <c r="I5" i="36"/>
  <c r="J5" i="36" s="1"/>
  <c r="D5" i="36"/>
  <c r="E5" i="36" s="1"/>
  <c r="J155" i="35"/>
  <c r="I155" i="35"/>
  <c r="H155" i="35"/>
  <c r="G155" i="35"/>
  <c r="K155" i="35" s="1"/>
  <c r="L155" i="35" s="1"/>
  <c r="J154" i="35"/>
  <c r="I154" i="35"/>
  <c r="H154" i="35"/>
  <c r="G154" i="35"/>
  <c r="K154" i="35" s="1"/>
  <c r="L154" i="35" s="1"/>
  <c r="J153" i="35"/>
  <c r="I153" i="35"/>
  <c r="H153" i="35"/>
  <c r="G153" i="35"/>
  <c r="K153" i="35" s="1"/>
  <c r="L153" i="35" s="1"/>
  <c r="J152" i="35"/>
  <c r="I152" i="35"/>
  <c r="H152" i="35"/>
  <c r="G152" i="35"/>
  <c r="K152" i="35" s="1"/>
  <c r="L152" i="35" s="1"/>
  <c r="J151" i="35"/>
  <c r="I151" i="35"/>
  <c r="H151" i="35"/>
  <c r="G151" i="35"/>
  <c r="K151" i="35" s="1"/>
  <c r="L151" i="35" s="1"/>
  <c r="J150" i="35"/>
  <c r="I150" i="35"/>
  <c r="H150" i="35"/>
  <c r="G150" i="35"/>
  <c r="K150" i="35" s="1"/>
  <c r="L150" i="35" s="1"/>
  <c r="J149" i="35"/>
  <c r="I149" i="35"/>
  <c r="H149" i="35"/>
  <c r="G149" i="35"/>
  <c r="K149" i="35" s="1"/>
  <c r="L149" i="35" s="1"/>
  <c r="J148" i="35"/>
  <c r="I148" i="35"/>
  <c r="H148" i="35"/>
  <c r="G148" i="35"/>
  <c r="K148" i="35" s="1"/>
  <c r="L148" i="35" s="1"/>
  <c r="J147" i="35"/>
  <c r="I147" i="35"/>
  <c r="H147" i="35"/>
  <c r="G147" i="35"/>
  <c r="K147" i="35" s="1"/>
  <c r="L147" i="35" s="1"/>
  <c r="J146" i="35"/>
  <c r="I146" i="35"/>
  <c r="H146" i="35"/>
  <c r="G146" i="35"/>
  <c r="K146" i="35" s="1"/>
  <c r="L146" i="35" s="1"/>
  <c r="J145" i="35"/>
  <c r="I145" i="35"/>
  <c r="H145" i="35"/>
  <c r="G145" i="35"/>
  <c r="K145" i="35" s="1"/>
  <c r="L145" i="35" s="1"/>
  <c r="J144" i="35"/>
  <c r="I144" i="35"/>
  <c r="H144" i="35"/>
  <c r="G144" i="35"/>
  <c r="K144" i="35" s="1"/>
  <c r="L144" i="35" s="1"/>
  <c r="V143" i="35"/>
  <c r="U143" i="35"/>
  <c r="T143" i="35"/>
  <c r="S143" i="35"/>
  <c r="W143" i="35" s="1"/>
  <c r="X143" i="35" s="1"/>
  <c r="J143" i="35"/>
  <c r="I143" i="35"/>
  <c r="H143" i="35"/>
  <c r="G143" i="35"/>
  <c r="K143" i="35" s="1"/>
  <c r="L143" i="35" s="1"/>
  <c r="V142" i="35"/>
  <c r="U142" i="35"/>
  <c r="T142" i="35"/>
  <c r="S142" i="35"/>
  <c r="W142" i="35" s="1"/>
  <c r="X142" i="35" s="1"/>
  <c r="K142" i="35"/>
  <c r="L142" i="35" s="1"/>
  <c r="J142" i="35"/>
  <c r="I142" i="35"/>
  <c r="H142" i="35"/>
  <c r="G142" i="35"/>
  <c r="V141" i="35"/>
  <c r="U141" i="35"/>
  <c r="T141" i="35"/>
  <c r="S141" i="35"/>
  <c r="W141" i="35" s="1"/>
  <c r="X141" i="35" s="1"/>
  <c r="J141" i="35"/>
  <c r="I141" i="35"/>
  <c r="H141" i="35"/>
  <c r="G141" i="35"/>
  <c r="K141" i="35" s="1"/>
  <c r="L141" i="35" s="1"/>
  <c r="V140" i="35"/>
  <c r="U140" i="35"/>
  <c r="T140" i="35"/>
  <c r="S140" i="35"/>
  <c r="W140" i="35" s="1"/>
  <c r="X140" i="35" s="1"/>
  <c r="J140" i="35"/>
  <c r="I140" i="35"/>
  <c r="H140" i="35"/>
  <c r="G140" i="35"/>
  <c r="K140" i="35" s="1"/>
  <c r="L140" i="35" s="1"/>
  <c r="V139" i="35"/>
  <c r="U139" i="35"/>
  <c r="T139" i="35"/>
  <c r="S139" i="35"/>
  <c r="W139" i="35" s="1"/>
  <c r="X139" i="35" s="1"/>
  <c r="K139" i="35"/>
  <c r="L139" i="35" s="1"/>
  <c r="J139" i="35"/>
  <c r="I139" i="35"/>
  <c r="H139" i="35"/>
  <c r="G139" i="35"/>
  <c r="V138" i="35"/>
  <c r="U138" i="35"/>
  <c r="T138" i="35"/>
  <c r="S138" i="35"/>
  <c r="W138" i="35" s="1"/>
  <c r="X138" i="35" s="1"/>
  <c r="J138" i="35"/>
  <c r="I138" i="35"/>
  <c r="H138" i="35"/>
  <c r="G138" i="35"/>
  <c r="K138" i="35" s="1"/>
  <c r="L138" i="35" s="1"/>
  <c r="V137" i="35"/>
  <c r="U137" i="35"/>
  <c r="T137" i="35"/>
  <c r="S137" i="35"/>
  <c r="W137" i="35" s="1"/>
  <c r="X137" i="35" s="1"/>
  <c r="J137" i="35"/>
  <c r="I137" i="35"/>
  <c r="H137" i="35"/>
  <c r="G137" i="35"/>
  <c r="K137" i="35" s="1"/>
  <c r="L137" i="35" s="1"/>
  <c r="V136" i="35"/>
  <c r="U136" i="35"/>
  <c r="T136" i="35"/>
  <c r="S136" i="35"/>
  <c r="W136" i="35" s="1"/>
  <c r="X136" i="35" s="1"/>
  <c r="J136" i="35"/>
  <c r="I136" i="35"/>
  <c r="H136" i="35"/>
  <c r="G136" i="35"/>
  <c r="K136" i="35" s="1"/>
  <c r="L136" i="35" s="1"/>
  <c r="V135" i="35"/>
  <c r="U135" i="35"/>
  <c r="T135" i="35"/>
  <c r="S135" i="35"/>
  <c r="W135" i="35" s="1"/>
  <c r="X135" i="35" s="1"/>
  <c r="J135" i="35"/>
  <c r="I135" i="35"/>
  <c r="H135" i="35"/>
  <c r="G135" i="35"/>
  <c r="K135" i="35" s="1"/>
  <c r="L135" i="35" s="1"/>
  <c r="V134" i="35"/>
  <c r="U134" i="35"/>
  <c r="T134" i="35"/>
  <c r="S134" i="35"/>
  <c r="W134" i="35" s="1"/>
  <c r="X134" i="35" s="1"/>
  <c r="J134" i="35"/>
  <c r="I134" i="35"/>
  <c r="H134" i="35"/>
  <c r="G134" i="35"/>
  <c r="K134" i="35" s="1"/>
  <c r="L134" i="35" s="1"/>
  <c r="V133" i="35"/>
  <c r="U133" i="35"/>
  <c r="T133" i="35"/>
  <c r="S133" i="35"/>
  <c r="W133" i="35" s="1"/>
  <c r="X133" i="35" s="1"/>
  <c r="J133" i="35"/>
  <c r="I133" i="35"/>
  <c r="H133" i="35"/>
  <c r="G133" i="35"/>
  <c r="K133" i="35" s="1"/>
  <c r="L133" i="35" s="1"/>
  <c r="V132" i="35"/>
  <c r="U132" i="35"/>
  <c r="T132" i="35"/>
  <c r="S132" i="35"/>
  <c r="W132" i="35" s="1"/>
  <c r="X132" i="35" s="1"/>
  <c r="J132" i="35"/>
  <c r="I132" i="35"/>
  <c r="H132" i="35"/>
  <c r="G132" i="35"/>
  <c r="K132" i="35" s="1"/>
  <c r="L132" i="35" s="1"/>
  <c r="V131" i="35"/>
  <c r="U131" i="35"/>
  <c r="T131" i="35"/>
  <c r="S131" i="35"/>
  <c r="W131" i="35" s="1"/>
  <c r="X131" i="35" s="1"/>
  <c r="J131" i="35"/>
  <c r="I131" i="35"/>
  <c r="H131" i="35"/>
  <c r="G131" i="35"/>
  <c r="K131" i="35" s="1"/>
  <c r="L131" i="35" s="1"/>
  <c r="V130" i="35"/>
  <c r="U130" i="35"/>
  <c r="T130" i="35"/>
  <c r="S130" i="35"/>
  <c r="W130" i="35" s="1"/>
  <c r="X130" i="35" s="1"/>
  <c r="J130" i="35"/>
  <c r="I130" i="35"/>
  <c r="H130" i="35"/>
  <c r="G130" i="35"/>
  <c r="K130" i="35" s="1"/>
  <c r="L130" i="35" s="1"/>
  <c r="V129" i="35"/>
  <c r="U129" i="35"/>
  <c r="T129" i="35"/>
  <c r="S129" i="35"/>
  <c r="W129" i="35" s="1"/>
  <c r="X129" i="35" s="1"/>
  <c r="J129" i="35"/>
  <c r="I129" i="35"/>
  <c r="H129" i="35"/>
  <c r="G129" i="35"/>
  <c r="K129" i="35" s="1"/>
  <c r="L129" i="35" s="1"/>
  <c r="V128" i="35"/>
  <c r="U128" i="35"/>
  <c r="T128" i="35"/>
  <c r="S128" i="35"/>
  <c r="W128" i="35" s="1"/>
  <c r="X128" i="35" s="1"/>
  <c r="J128" i="35"/>
  <c r="I128" i="35"/>
  <c r="H128" i="35"/>
  <c r="G128" i="35"/>
  <c r="K128" i="35" s="1"/>
  <c r="L128" i="35" s="1"/>
  <c r="V127" i="35"/>
  <c r="U127" i="35"/>
  <c r="T127" i="35"/>
  <c r="S127" i="35"/>
  <c r="W127" i="35" s="1"/>
  <c r="X127" i="35" s="1"/>
  <c r="J127" i="35"/>
  <c r="I127" i="35"/>
  <c r="H127" i="35"/>
  <c r="G127" i="35"/>
  <c r="K127" i="35" s="1"/>
  <c r="L127" i="35" s="1"/>
  <c r="V126" i="35"/>
  <c r="U126" i="35"/>
  <c r="T126" i="35"/>
  <c r="S126" i="35"/>
  <c r="W126" i="35" s="1"/>
  <c r="X126" i="35" s="1"/>
  <c r="J126" i="35"/>
  <c r="I126" i="35"/>
  <c r="H126" i="35"/>
  <c r="G126" i="35"/>
  <c r="K126" i="35" s="1"/>
  <c r="L126" i="35" s="1"/>
  <c r="V125" i="35"/>
  <c r="U125" i="35"/>
  <c r="T125" i="35"/>
  <c r="S125" i="35"/>
  <c r="W125" i="35" s="1"/>
  <c r="X125" i="35" s="1"/>
  <c r="J125" i="35"/>
  <c r="I125" i="35"/>
  <c r="H125" i="35"/>
  <c r="G125" i="35"/>
  <c r="K125" i="35" s="1"/>
  <c r="L125" i="35" s="1"/>
  <c r="V124" i="35"/>
  <c r="U124" i="35"/>
  <c r="T124" i="35"/>
  <c r="S124" i="35"/>
  <c r="W124" i="35" s="1"/>
  <c r="X124" i="35" s="1"/>
  <c r="J124" i="35"/>
  <c r="I124" i="35"/>
  <c r="H124" i="35"/>
  <c r="G124" i="35"/>
  <c r="K124" i="35" s="1"/>
  <c r="L124" i="35" s="1"/>
  <c r="V123" i="35"/>
  <c r="U123" i="35"/>
  <c r="T123" i="35"/>
  <c r="S123" i="35"/>
  <c r="W123" i="35" s="1"/>
  <c r="X123" i="35" s="1"/>
  <c r="J123" i="35"/>
  <c r="I123" i="35"/>
  <c r="H123" i="35"/>
  <c r="G123" i="35"/>
  <c r="K123" i="35" s="1"/>
  <c r="L123" i="35" s="1"/>
  <c r="V122" i="35"/>
  <c r="U122" i="35"/>
  <c r="T122" i="35"/>
  <c r="S122" i="35"/>
  <c r="W122" i="35" s="1"/>
  <c r="X122" i="35" s="1"/>
  <c r="J122" i="35"/>
  <c r="I122" i="35"/>
  <c r="H122" i="35"/>
  <c r="G122" i="35"/>
  <c r="K122" i="35" s="1"/>
  <c r="L122" i="35" s="1"/>
  <c r="V121" i="35"/>
  <c r="U121" i="35"/>
  <c r="T121" i="35"/>
  <c r="S121" i="35"/>
  <c r="W121" i="35" s="1"/>
  <c r="X121" i="35" s="1"/>
  <c r="J121" i="35"/>
  <c r="I121" i="35"/>
  <c r="H121" i="35"/>
  <c r="G121" i="35"/>
  <c r="K121" i="35" s="1"/>
  <c r="L121" i="35" s="1"/>
  <c r="V120" i="35"/>
  <c r="U120" i="35"/>
  <c r="T120" i="35"/>
  <c r="S120" i="35"/>
  <c r="W120" i="35" s="1"/>
  <c r="X120" i="35" s="1"/>
  <c r="J120" i="35"/>
  <c r="I120" i="35"/>
  <c r="H120" i="35"/>
  <c r="G120" i="35"/>
  <c r="K120" i="35" s="1"/>
  <c r="L120" i="35" s="1"/>
  <c r="V119" i="35"/>
  <c r="U119" i="35"/>
  <c r="T119" i="35"/>
  <c r="S119" i="35"/>
  <c r="W119" i="35" s="1"/>
  <c r="X119" i="35" s="1"/>
  <c r="J119" i="35"/>
  <c r="I119" i="35"/>
  <c r="H119" i="35"/>
  <c r="G119" i="35"/>
  <c r="K119" i="35" s="1"/>
  <c r="L119" i="35" s="1"/>
  <c r="V118" i="35"/>
  <c r="U118" i="35"/>
  <c r="T118" i="35"/>
  <c r="S118" i="35"/>
  <c r="W118" i="35" s="1"/>
  <c r="X118" i="35" s="1"/>
  <c r="J118" i="35"/>
  <c r="I118" i="35"/>
  <c r="H118" i="35"/>
  <c r="G118" i="35"/>
  <c r="K118" i="35" s="1"/>
  <c r="L118" i="35" s="1"/>
  <c r="V117" i="35"/>
  <c r="U117" i="35"/>
  <c r="T117" i="35"/>
  <c r="S117" i="35"/>
  <c r="W117" i="35" s="1"/>
  <c r="X117" i="35" s="1"/>
  <c r="J117" i="35"/>
  <c r="I117" i="35"/>
  <c r="H117" i="35"/>
  <c r="G117" i="35"/>
  <c r="K117" i="35" s="1"/>
  <c r="L117" i="35" s="1"/>
  <c r="V116" i="35"/>
  <c r="U116" i="35"/>
  <c r="T116" i="35"/>
  <c r="S116" i="35"/>
  <c r="W116" i="35" s="1"/>
  <c r="X116" i="35" s="1"/>
  <c r="J116" i="35"/>
  <c r="I116" i="35"/>
  <c r="H116" i="35"/>
  <c r="G116" i="35"/>
  <c r="K116" i="35" s="1"/>
  <c r="L116" i="35" s="1"/>
  <c r="V115" i="35"/>
  <c r="U115" i="35"/>
  <c r="T115" i="35"/>
  <c r="S115" i="35"/>
  <c r="W115" i="35" s="1"/>
  <c r="X115" i="35" s="1"/>
  <c r="J115" i="35"/>
  <c r="I115" i="35"/>
  <c r="H115" i="35"/>
  <c r="G115" i="35"/>
  <c r="K115" i="35" s="1"/>
  <c r="L115" i="35" s="1"/>
  <c r="V114" i="35"/>
  <c r="U114" i="35"/>
  <c r="T114" i="35"/>
  <c r="S114" i="35"/>
  <c r="W114" i="35" s="1"/>
  <c r="X114" i="35" s="1"/>
  <c r="J114" i="35"/>
  <c r="I114" i="35"/>
  <c r="H114" i="35"/>
  <c r="G114" i="35"/>
  <c r="K114" i="35" s="1"/>
  <c r="L114" i="35" s="1"/>
  <c r="V113" i="35"/>
  <c r="U113" i="35"/>
  <c r="T113" i="35"/>
  <c r="S113" i="35"/>
  <c r="W113" i="35" s="1"/>
  <c r="X113" i="35" s="1"/>
  <c r="J113" i="35"/>
  <c r="I113" i="35"/>
  <c r="H113" i="35"/>
  <c r="G113" i="35"/>
  <c r="K113" i="35" s="1"/>
  <c r="L113" i="35" s="1"/>
  <c r="V112" i="35"/>
  <c r="U112" i="35"/>
  <c r="T112" i="35"/>
  <c r="S112" i="35"/>
  <c r="W112" i="35" s="1"/>
  <c r="X112" i="35" s="1"/>
  <c r="J112" i="35"/>
  <c r="I112" i="35"/>
  <c r="H112" i="35"/>
  <c r="G112" i="35"/>
  <c r="K112" i="35" s="1"/>
  <c r="L112" i="35" s="1"/>
  <c r="V111" i="35"/>
  <c r="U111" i="35"/>
  <c r="T111" i="35"/>
  <c r="S111" i="35"/>
  <c r="W111" i="35" s="1"/>
  <c r="X111" i="35" s="1"/>
  <c r="J111" i="35"/>
  <c r="I111" i="35"/>
  <c r="H111" i="35"/>
  <c r="G111" i="35"/>
  <c r="K111" i="35" s="1"/>
  <c r="L111" i="35" s="1"/>
  <c r="V110" i="35"/>
  <c r="U110" i="35"/>
  <c r="T110" i="35"/>
  <c r="S110" i="35"/>
  <c r="W110" i="35" s="1"/>
  <c r="X110" i="35" s="1"/>
  <c r="J110" i="35"/>
  <c r="I110" i="35"/>
  <c r="H110" i="35"/>
  <c r="G110" i="35"/>
  <c r="K110" i="35" s="1"/>
  <c r="L110" i="35" s="1"/>
  <c r="V109" i="35"/>
  <c r="U109" i="35"/>
  <c r="T109" i="35"/>
  <c r="S109" i="35"/>
  <c r="W109" i="35" s="1"/>
  <c r="X109" i="35" s="1"/>
  <c r="J109" i="35"/>
  <c r="I109" i="35"/>
  <c r="H109" i="35"/>
  <c r="G109" i="35"/>
  <c r="K109" i="35" s="1"/>
  <c r="L109" i="35" s="1"/>
  <c r="V108" i="35"/>
  <c r="U108" i="35"/>
  <c r="T108" i="35"/>
  <c r="S108" i="35"/>
  <c r="W108" i="35" s="1"/>
  <c r="X108" i="35" s="1"/>
  <c r="J108" i="35"/>
  <c r="I108" i="35"/>
  <c r="H108" i="35"/>
  <c r="G108" i="35"/>
  <c r="K108" i="35" s="1"/>
  <c r="L108" i="35" s="1"/>
  <c r="V107" i="35"/>
  <c r="U107" i="35"/>
  <c r="T107" i="35"/>
  <c r="S107" i="35"/>
  <c r="W107" i="35" s="1"/>
  <c r="X107" i="35" s="1"/>
  <c r="J107" i="35"/>
  <c r="I107" i="35"/>
  <c r="H107" i="35"/>
  <c r="G107" i="35"/>
  <c r="K107" i="35" s="1"/>
  <c r="L107" i="35" s="1"/>
  <c r="V106" i="35"/>
  <c r="U106" i="35"/>
  <c r="T106" i="35"/>
  <c r="S106" i="35"/>
  <c r="W106" i="35" s="1"/>
  <c r="X106" i="35" s="1"/>
  <c r="J106" i="35"/>
  <c r="I106" i="35"/>
  <c r="H106" i="35"/>
  <c r="G106" i="35"/>
  <c r="K106" i="35" s="1"/>
  <c r="L106" i="35" s="1"/>
  <c r="V105" i="35"/>
  <c r="U105" i="35"/>
  <c r="T105" i="35"/>
  <c r="S105" i="35"/>
  <c r="W105" i="35" s="1"/>
  <c r="X105" i="35" s="1"/>
  <c r="J105" i="35"/>
  <c r="I105" i="35"/>
  <c r="H105" i="35"/>
  <c r="G105" i="35"/>
  <c r="K105" i="35" s="1"/>
  <c r="L105" i="35" s="1"/>
  <c r="V104" i="35"/>
  <c r="U104" i="35"/>
  <c r="T104" i="35"/>
  <c r="S104" i="35"/>
  <c r="W104" i="35" s="1"/>
  <c r="X104" i="35" s="1"/>
  <c r="J104" i="35"/>
  <c r="I104" i="35"/>
  <c r="H104" i="35"/>
  <c r="G104" i="35"/>
  <c r="K104" i="35" s="1"/>
  <c r="L104" i="35" s="1"/>
  <c r="V103" i="35"/>
  <c r="U103" i="35"/>
  <c r="T103" i="35"/>
  <c r="S103" i="35"/>
  <c r="W103" i="35" s="1"/>
  <c r="X103" i="35" s="1"/>
  <c r="J103" i="35"/>
  <c r="I103" i="35"/>
  <c r="H103" i="35"/>
  <c r="G103" i="35"/>
  <c r="K103" i="35" s="1"/>
  <c r="L103" i="35" s="1"/>
  <c r="V102" i="35"/>
  <c r="U102" i="35"/>
  <c r="T102" i="35"/>
  <c r="S102" i="35"/>
  <c r="W102" i="35" s="1"/>
  <c r="X102" i="35" s="1"/>
  <c r="J102" i="35"/>
  <c r="I102" i="35"/>
  <c r="H102" i="35"/>
  <c r="G102" i="35"/>
  <c r="K102" i="35" s="1"/>
  <c r="L102" i="35" s="1"/>
  <c r="V101" i="35"/>
  <c r="U101" i="35"/>
  <c r="T101" i="35"/>
  <c r="S101" i="35"/>
  <c r="W101" i="35" s="1"/>
  <c r="X101" i="35" s="1"/>
  <c r="J101" i="35"/>
  <c r="I101" i="35"/>
  <c r="H101" i="35"/>
  <c r="G101" i="35"/>
  <c r="K101" i="35" s="1"/>
  <c r="L101" i="35" s="1"/>
  <c r="V100" i="35"/>
  <c r="U100" i="35"/>
  <c r="T100" i="35"/>
  <c r="S100" i="35"/>
  <c r="W100" i="35" s="1"/>
  <c r="X100" i="35" s="1"/>
  <c r="J100" i="35"/>
  <c r="I100" i="35"/>
  <c r="H100" i="35"/>
  <c r="G100" i="35"/>
  <c r="K100" i="35" s="1"/>
  <c r="L100" i="35" s="1"/>
  <c r="V99" i="35"/>
  <c r="U99" i="35"/>
  <c r="T99" i="35"/>
  <c r="S99" i="35"/>
  <c r="W99" i="35" s="1"/>
  <c r="X99" i="35" s="1"/>
  <c r="J99" i="35"/>
  <c r="I99" i="35"/>
  <c r="H99" i="35"/>
  <c r="G99" i="35"/>
  <c r="K99" i="35" s="1"/>
  <c r="L99" i="35" s="1"/>
  <c r="V98" i="35"/>
  <c r="U98" i="35"/>
  <c r="T98" i="35"/>
  <c r="S98" i="35"/>
  <c r="W98" i="35" s="1"/>
  <c r="X98" i="35" s="1"/>
  <c r="J98" i="35"/>
  <c r="I98" i="35"/>
  <c r="H98" i="35"/>
  <c r="G98" i="35"/>
  <c r="K98" i="35" s="1"/>
  <c r="L98" i="35" s="1"/>
  <c r="V97" i="35"/>
  <c r="U97" i="35"/>
  <c r="T97" i="35"/>
  <c r="S97" i="35"/>
  <c r="W97" i="35" s="1"/>
  <c r="X97" i="35" s="1"/>
  <c r="J97" i="35"/>
  <c r="I97" i="35"/>
  <c r="H97" i="35"/>
  <c r="G97" i="35"/>
  <c r="K97" i="35" s="1"/>
  <c r="L97" i="35" s="1"/>
  <c r="V96" i="35"/>
  <c r="U96" i="35"/>
  <c r="T96" i="35"/>
  <c r="S96" i="35"/>
  <c r="W96" i="35" s="1"/>
  <c r="X96" i="35" s="1"/>
  <c r="J96" i="35"/>
  <c r="I96" i="35"/>
  <c r="H96" i="35"/>
  <c r="G96" i="35"/>
  <c r="K96" i="35" s="1"/>
  <c r="L96" i="35" s="1"/>
  <c r="V95" i="35"/>
  <c r="U95" i="35"/>
  <c r="T95" i="35"/>
  <c r="S95" i="35"/>
  <c r="W95" i="35" s="1"/>
  <c r="X95" i="35" s="1"/>
  <c r="J95" i="35"/>
  <c r="I95" i="35"/>
  <c r="H95" i="35"/>
  <c r="G95" i="35"/>
  <c r="K95" i="35" s="1"/>
  <c r="L95" i="35" s="1"/>
  <c r="V94" i="35"/>
  <c r="U94" i="35"/>
  <c r="T94" i="35"/>
  <c r="S94" i="35"/>
  <c r="W94" i="35" s="1"/>
  <c r="X94" i="35" s="1"/>
  <c r="J94" i="35"/>
  <c r="I94" i="35"/>
  <c r="H94" i="35"/>
  <c r="G94" i="35"/>
  <c r="K94" i="35" s="1"/>
  <c r="L94" i="35" s="1"/>
  <c r="V93" i="35"/>
  <c r="U93" i="35"/>
  <c r="T93" i="35"/>
  <c r="S93" i="35"/>
  <c r="W93" i="35" s="1"/>
  <c r="X93" i="35" s="1"/>
  <c r="J93" i="35"/>
  <c r="I93" i="35"/>
  <c r="H93" i="35"/>
  <c r="G93" i="35"/>
  <c r="K93" i="35" s="1"/>
  <c r="L93" i="35" s="1"/>
  <c r="V92" i="35"/>
  <c r="U92" i="35"/>
  <c r="T92" i="35"/>
  <c r="S92" i="35"/>
  <c r="W92" i="35" s="1"/>
  <c r="X92" i="35" s="1"/>
  <c r="J92" i="35"/>
  <c r="I92" i="35"/>
  <c r="H92" i="35"/>
  <c r="G92" i="35"/>
  <c r="K92" i="35" s="1"/>
  <c r="L92" i="35" s="1"/>
  <c r="V91" i="35"/>
  <c r="U91" i="35"/>
  <c r="T91" i="35"/>
  <c r="S91" i="35"/>
  <c r="W91" i="35" s="1"/>
  <c r="X91" i="35" s="1"/>
  <c r="J91" i="35"/>
  <c r="I91" i="35"/>
  <c r="H91" i="35"/>
  <c r="G91" i="35"/>
  <c r="K91" i="35" s="1"/>
  <c r="L91" i="35" s="1"/>
  <c r="V90" i="35"/>
  <c r="U90" i="35"/>
  <c r="T90" i="35"/>
  <c r="S90" i="35"/>
  <c r="W90" i="35" s="1"/>
  <c r="X90" i="35" s="1"/>
  <c r="J90" i="35"/>
  <c r="I90" i="35"/>
  <c r="H90" i="35"/>
  <c r="G90" i="35"/>
  <c r="K90" i="35" s="1"/>
  <c r="L90" i="35" s="1"/>
  <c r="V89" i="35"/>
  <c r="U89" i="35"/>
  <c r="T89" i="35"/>
  <c r="S89" i="35"/>
  <c r="W89" i="35" s="1"/>
  <c r="X89" i="35" s="1"/>
  <c r="J89" i="35"/>
  <c r="I89" i="35"/>
  <c r="H89" i="35"/>
  <c r="G89" i="35"/>
  <c r="K89" i="35" s="1"/>
  <c r="L89" i="35" s="1"/>
  <c r="V88" i="35"/>
  <c r="U88" i="35"/>
  <c r="T88" i="35"/>
  <c r="S88" i="35"/>
  <c r="W88" i="35" s="1"/>
  <c r="X88" i="35" s="1"/>
  <c r="J88" i="35"/>
  <c r="I88" i="35"/>
  <c r="H88" i="35"/>
  <c r="G88" i="35"/>
  <c r="K88" i="35" s="1"/>
  <c r="L88" i="35" s="1"/>
  <c r="V87" i="35"/>
  <c r="U87" i="35"/>
  <c r="T87" i="35"/>
  <c r="S87" i="35"/>
  <c r="W87" i="35" s="1"/>
  <c r="X87" i="35" s="1"/>
  <c r="J87" i="35"/>
  <c r="I87" i="35"/>
  <c r="H87" i="35"/>
  <c r="G87" i="35"/>
  <c r="K87" i="35" s="1"/>
  <c r="L87" i="35" s="1"/>
  <c r="V86" i="35"/>
  <c r="U86" i="35"/>
  <c r="T86" i="35"/>
  <c r="S86" i="35"/>
  <c r="W86" i="35" s="1"/>
  <c r="X86" i="35" s="1"/>
  <c r="J86" i="35"/>
  <c r="I86" i="35"/>
  <c r="H86" i="35"/>
  <c r="G86" i="35"/>
  <c r="K86" i="35" s="1"/>
  <c r="L86" i="35" s="1"/>
  <c r="V85" i="35"/>
  <c r="U85" i="35"/>
  <c r="T85" i="35"/>
  <c r="S85" i="35"/>
  <c r="W85" i="35" s="1"/>
  <c r="X85" i="35" s="1"/>
  <c r="J85" i="35"/>
  <c r="I85" i="35"/>
  <c r="H85" i="35"/>
  <c r="G85" i="35"/>
  <c r="K85" i="35" s="1"/>
  <c r="L85" i="35" s="1"/>
  <c r="V84" i="35"/>
  <c r="U84" i="35"/>
  <c r="T84" i="35"/>
  <c r="S84" i="35"/>
  <c r="W84" i="35" s="1"/>
  <c r="X84" i="35" s="1"/>
  <c r="J84" i="35"/>
  <c r="I84" i="35"/>
  <c r="H84" i="35"/>
  <c r="G84" i="35"/>
  <c r="K84" i="35" s="1"/>
  <c r="L84" i="35" s="1"/>
  <c r="V83" i="35"/>
  <c r="U83" i="35"/>
  <c r="T83" i="35"/>
  <c r="S83" i="35"/>
  <c r="W83" i="35" s="1"/>
  <c r="X83" i="35" s="1"/>
  <c r="J83" i="35"/>
  <c r="I83" i="35"/>
  <c r="H83" i="35"/>
  <c r="G83" i="35"/>
  <c r="K83" i="35" s="1"/>
  <c r="L83" i="35" s="1"/>
  <c r="V82" i="35"/>
  <c r="U82" i="35"/>
  <c r="T82" i="35"/>
  <c r="S82" i="35"/>
  <c r="W82" i="35" s="1"/>
  <c r="X82" i="35" s="1"/>
  <c r="J82" i="35"/>
  <c r="I82" i="35"/>
  <c r="H82" i="35"/>
  <c r="G82" i="35"/>
  <c r="K82" i="35" s="1"/>
  <c r="L82" i="35" s="1"/>
  <c r="V81" i="35"/>
  <c r="U81" i="35"/>
  <c r="T81" i="35"/>
  <c r="S81" i="35"/>
  <c r="W81" i="35" s="1"/>
  <c r="X81" i="35" s="1"/>
  <c r="J81" i="35"/>
  <c r="I81" i="35"/>
  <c r="H81" i="35"/>
  <c r="G81" i="35"/>
  <c r="K81" i="35" s="1"/>
  <c r="L81" i="35" s="1"/>
  <c r="V80" i="35"/>
  <c r="U80" i="35"/>
  <c r="T80" i="35"/>
  <c r="S80" i="35"/>
  <c r="W80" i="35" s="1"/>
  <c r="X80" i="35" s="1"/>
  <c r="J80" i="35"/>
  <c r="I80" i="35"/>
  <c r="H80" i="35"/>
  <c r="G80" i="35"/>
  <c r="K80" i="35" s="1"/>
  <c r="L80" i="35" s="1"/>
  <c r="V79" i="35"/>
  <c r="U79" i="35"/>
  <c r="T79" i="35"/>
  <c r="S79" i="35"/>
  <c r="W79" i="35" s="1"/>
  <c r="X79" i="35" s="1"/>
  <c r="J79" i="35"/>
  <c r="I79" i="35"/>
  <c r="H79" i="35"/>
  <c r="G79" i="35"/>
  <c r="K79" i="35" s="1"/>
  <c r="L79" i="35" s="1"/>
  <c r="V78" i="35"/>
  <c r="U78" i="35"/>
  <c r="T78" i="35"/>
  <c r="S78" i="35"/>
  <c r="W78" i="35" s="1"/>
  <c r="X78" i="35" s="1"/>
  <c r="J78" i="35"/>
  <c r="I78" i="35"/>
  <c r="H78" i="35"/>
  <c r="G78" i="35"/>
  <c r="K78" i="35" s="1"/>
  <c r="L78" i="35" s="1"/>
  <c r="V77" i="35"/>
  <c r="U77" i="35"/>
  <c r="T77" i="35"/>
  <c r="S77" i="35"/>
  <c r="W77" i="35" s="1"/>
  <c r="X77" i="35" s="1"/>
  <c r="J77" i="35"/>
  <c r="I77" i="35"/>
  <c r="H77" i="35"/>
  <c r="G77" i="35"/>
  <c r="K77" i="35" s="1"/>
  <c r="L77" i="35" s="1"/>
  <c r="V76" i="35"/>
  <c r="U76" i="35"/>
  <c r="T76" i="35"/>
  <c r="S76" i="35"/>
  <c r="W76" i="35" s="1"/>
  <c r="X76" i="35" s="1"/>
  <c r="J76" i="35"/>
  <c r="I76" i="35"/>
  <c r="H76" i="35"/>
  <c r="G76" i="35"/>
  <c r="K76" i="35" s="1"/>
  <c r="L76" i="35" s="1"/>
  <c r="V75" i="35"/>
  <c r="U75" i="35"/>
  <c r="T75" i="35"/>
  <c r="S75" i="35"/>
  <c r="W75" i="35" s="1"/>
  <c r="X75" i="35" s="1"/>
  <c r="J75" i="35"/>
  <c r="I75" i="35"/>
  <c r="H75" i="35"/>
  <c r="G75" i="35"/>
  <c r="K75" i="35" s="1"/>
  <c r="L75" i="35" s="1"/>
  <c r="V74" i="35"/>
  <c r="U74" i="35"/>
  <c r="T74" i="35"/>
  <c r="S74" i="35"/>
  <c r="W74" i="35" s="1"/>
  <c r="X74" i="35" s="1"/>
  <c r="J74" i="35"/>
  <c r="I74" i="35"/>
  <c r="H74" i="35"/>
  <c r="G74" i="35"/>
  <c r="K74" i="35" s="1"/>
  <c r="L74" i="35" s="1"/>
  <c r="V73" i="35"/>
  <c r="U73" i="35"/>
  <c r="T73" i="35"/>
  <c r="S73" i="35"/>
  <c r="W73" i="35" s="1"/>
  <c r="X73" i="35" s="1"/>
  <c r="J73" i="35"/>
  <c r="I73" i="35"/>
  <c r="H73" i="35"/>
  <c r="G73" i="35"/>
  <c r="K73" i="35" s="1"/>
  <c r="L73" i="35" s="1"/>
  <c r="V72" i="35"/>
  <c r="U72" i="35"/>
  <c r="T72" i="35"/>
  <c r="S72" i="35"/>
  <c r="W72" i="35" s="1"/>
  <c r="X72" i="35" s="1"/>
  <c r="J72" i="35"/>
  <c r="I72" i="35"/>
  <c r="H72" i="35"/>
  <c r="G72" i="35"/>
  <c r="K72" i="35" s="1"/>
  <c r="L72" i="35" s="1"/>
  <c r="V71" i="35"/>
  <c r="U71" i="35"/>
  <c r="T71" i="35"/>
  <c r="S71" i="35"/>
  <c r="W71" i="35" s="1"/>
  <c r="X71" i="35" s="1"/>
  <c r="J71" i="35"/>
  <c r="I71" i="35"/>
  <c r="H71" i="35"/>
  <c r="G71" i="35"/>
  <c r="K71" i="35" s="1"/>
  <c r="L71" i="35" s="1"/>
  <c r="V70" i="35"/>
  <c r="U70" i="35"/>
  <c r="T70" i="35"/>
  <c r="S70" i="35"/>
  <c r="W70" i="35" s="1"/>
  <c r="X70" i="35" s="1"/>
  <c r="J70" i="35"/>
  <c r="I70" i="35"/>
  <c r="H70" i="35"/>
  <c r="G70" i="35"/>
  <c r="K70" i="35" s="1"/>
  <c r="L70" i="35" s="1"/>
  <c r="V69" i="35"/>
  <c r="U69" i="35"/>
  <c r="T69" i="35"/>
  <c r="S69" i="35"/>
  <c r="J69" i="35"/>
  <c r="I69" i="35"/>
  <c r="H69" i="35"/>
  <c r="G69" i="35"/>
  <c r="K69" i="35" s="1"/>
  <c r="L69" i="35" s="1"/>
  <c r="V68" i="35"/>
  <c r="U68" i="35"/>
  <c r="T68" i="35"/>
  <c r="S68" i="35"/>
  <c r="J68" i="35"/>
  <c r="I68" i="35"/>
  <c r="H68" i="35"/>
  <c r="G68" i="35"/>
  <c r="K68" i="35" s="1"/>
  <c r="L68" i="35" s="1"/>
  <c r="V67" i="35"/>
  <c r="U67" i="35"/>
  <c r="T67" i="35"/>
  <c r="S67" i="35"/>
  <c r="J67" i="35"/>
  <c r="I67" i="35"/>
  <c r="H67" i="35"/>
  <c r="G67" i="35"/>
  <c r="K67" i="35" s="1"/>
  <c r="L67" i="35" s="1"/>
  <c r="V66" i="35"/>
  <c r="U66" i="35"/>
  <c r="T66" i="35"/>
  <c r="S66" i="35"/>
  <c r="J66" i="35"/>
  <c r="I66" i="35"/>
  <c r="H66" i="35"/>
  <c r="G66" i="35"/>
  <c r="K66" i="35" s="1"/>
  <c r="L66" i="35" s="1"/>
  <c r="V65" i="35"/>
  <c r="U65" i="35"/>
  <c r="T65" i="35"/>
  <c r="S65" i="35"/>
  <c r="J65" i="35"/>
  <c r="I65" i="35"/>
  <c r="H65" i="35"/>
  <c r="G65" i="35"/>
  <c r="K65" i="35" s="1"/>
  <c r="L65" i="35" s="1"/>
  <c r="V64" i="35"/>
  <c r="U64" i="35"/>
  <c r="T64" i="35"/>
  <c r="S64" i="35"/>
  <c r="J64" i="35"/>
  <c r="I64" i="35"/>
  <c r="H64" i="35"/>
  <c r="G64" i="35"/>
  <c r="K64" i="35" s="1"/>
  <c r="L64" i="35" s="1"/>
  <c r="V63" i="35"/>
  <c r="U63" i="35"/>
  <c r="T63" i="35"/>
  <c r="S63" i="35"/>
  <c r="J63" i="35"/>
  <c r="I63" i="35"/>
  <c r="H63" i="35"/>
  <c r="G63" i="35"/>
  <c r="K63" i="35" s="1"/>
  <c r="L63" i="35" s="1"/>
  <c r="V62" i="35"/>
  <c r="U62" i="35"/>
  <c r="T62" i="35"/>
  <c r="S62" i="35"/>
  <c r="J62" i="35"/>
  <c r="I62" i="35"/>
  <c r="H62" i="35"/>
  <c r="G62" i="35"/>
  <c r="K62" i="35" s="1"/>
  <c r="L62" i="35" s="1"/>
  <c r="V61" i="35"/>
  <c r="U61" i="35"/>
  <c r="T61" i="35"/>
  <c r="S61" i="35"/>
  <c r="J61" i="35"/>
  <c r="I61" i="35"/>
  <c r="H61" i="35"/>
  <c r="G61" i="35"/>
  <c r="K61" i="35" s="1"/>
  <c r="L61" i="35" s="1"/>
  <c r="V60" i="35"/>
  <c r="U60" i="35"/>
  <c r="T60" i="35"/>
  <c r="S60" i="35"/>
  <c r="J60" i="35"/>
  <c r="I60" i="35"/>
  <c r="H60" i="35"/>
  <c r="G60" i="35"/>
  <c r="K60" i="35" s="1"/>
  <c r="L60" i="35" s="1"/>
  <c r="V59" i="35"/>
  <c r="U59" i="35"/>
  <c r="T59" i="35"/>
  <c r="S59" i="35"/>
  <c r="J59" i="35"/>
  <c r="I59" i="35"/>
  <c r="H59" i="35"/>
  <c r="G59" i="35"/>
  <c r="K59" i="35" s="1"/>
  <c r="L59" i="35" s="1"/>
  <c r="V58" i="35"/>
  <c r="U58" i="35"/>
  <c r="T58" i="35"/>
  <c r="S58" i="35"/>
  <c r="J58" i="35"/>
  <c r="I58" i="35"/>
  <c r="H58" i="35"/>
  <c r="G58" i="35"/>
  <c r="K58" i="35" s="1"/>
  <c r="L58" i="35" s="1"/>
  <c r="V57" i="35"/>
  <c r="U57" i="35"/>
  <c r="T57" i="35"/>
  <c r="S57" i="35"/>
  <c r="J57" i="35"/>
  <c r="I57" i="35"/>
  <c r="H57" i="35"/>
  <c r="G57" i="35"/>
  <c r="K57" i="35" s="1"/>
  <c r="L57" i="35" s="1"/>
  <c r="V56" i="35"/>
  <c r="U56" i="35"/>
  <c r="T56" i="35"/>
  <c r="S56" i="35"/>
  <c r="J56" i="35"/>
  <c r="I56" i="35"/>
  <c r="H56" i="35"/>
  <c r="G56" i="35"/>
  <c r="V55" i="35"/>
  <c r="U55" i="35"/>
  <c r="T55" i="35"/>
  <c r="S55" i="35"/>
  <c r="J55" i="35"/>
  <c r="I55" i="35"/>
  <c r="H55" i="35"/>
  <c r="G55" i="35"/>
  <c r="V54" i="35"/>
  <c r="U54" i="35"/>
  <c r="T54" i="35"/>
  <c r="S54" i="35"/>
  <c r="J54" i="35"/>
  <c r="I54" i="35"/>
  <c r="H54" i="35"/>
  <c r="G54" i="35"/>
  <c r="V53" i="35"/>
  <c r="U53" i="35"/>
  <c r="T53" i="35"/>
  <c r="S53" i="35"/>
  <c r="J53" i="35"/>
  <c r="I53" i="35"/>
  <c r="H53" i="35"/>
  <c r="G53" i="35"/>
  <c r="V52" i="35"/>
  <c r="U52" i="35"/>
  <c r="T52" i="35"/>
  <c r="S52" i="35"/>
  <c r="J52" i="35"/>
  <c r="I52" i="35"/>
  <c r="H52" i="35"/>
  <c r="G52" i="35"/>
  <c r="V51" i="35"/>
  <c r="U51" i="35"/>
  <c r="T51" i="35"/>
  <c r="S51" i="35"/>
  <c r="J51" i="35"/>
  <c r="I51" i="35"/>
  <c r="H51" i="35"/>
  <c r="G51" i="35"/>
  <c r="V50" i="35"/>
  <c r="U50" i="35"/>
  <c r="T50" i="35"/>
  <c r="S50" i="35"/>
  <c r="J50" i="35"/>
  <c r="I50" i="35"/>
  <c r="H50" i="35"/>
  <c r="G50" i="35"/>
  <c r="V49" i="35"/>
  <c r="U49" i="35"/>
  <c r="T49" i="35"/>
  <c r="S49" i="35"/>
  <c r="J49" i="35"/>
  <c r="I49" i="35"/>
  <c r="H49" i="35"/>
  <c r="G49" i="35"/>
  <c r="V48" i="35"/>
  <c r="U48" i="35"/>
  <c r="T48" i="35"/>
  <c r="S48" i="35"/>
  <c r="J48" i="35"/>
  <c r="I48" i="35"/>
  <c r="H48" i="35"/>
  <c r="G48" i="35"/>
  <c r="V47" i="35"/>
  <c r="U47" i="35"/>
  <c r="T47" i="35"/>
  <c r="S47" i="35"/>
  <c r="J47" i="35"/>
  <c r="I47" i="35"/>
  <c r="H47" i="35"/>
  <c r="G47" i="35"/>
  <c r="V46" i="35"/>
  <c r="U46" i="35"/>
  <c r="T46" i="35"/>
  <c r="S46" i="35"/>
  <c r="J46" i="35"/>
  <c r="I46" i="35"/>
  <c r="H46" i="35"/>
  <c r="G46" i="35"/>
  <c r="V45" i="35"/>
  <c r="U45" i="35"/>
  <c r="T45" i="35"/>
  <c r="S45" i="35"/>
  <c r="J45" i="35"/>
  <c r="I45" i="35"/>
  <c r="H45" i="35"/>
  <c r="G45" i="35"/>
  <c r="V44" i="35"/>
  <c r="U44" i="35"/>
  <c r="T44" i="35"/>
  <c r="S44" i="35"/>
  <c r="J44" i="35"/>
  <c r="I44" i="35"/>
  <c r="H44" i="35"/>
  <c r="G44" i="35"/>
  <c r="V43" i="35"/>
  <c r="U43" i="35"/>
  <c r="T43" i="35"/>
  <c r="S43" i="35"/>
  <c r="J43" i="35"/>
  <c r="I43" i="35"/>
  <c r="H43" i="35"/>
  <c r="G43" i="35"/>
  <c r="V42" i="35"/>
  <c r="U42" i="35"/>
  <c r="T42" i="35"/>
  <c r="S42" i="35"/>
  <c r="J42" i="35"/>
  <c r="I42" i="35"/>
  <c r="H42" i="35"/>
  <c r="G42" i="35"/>
  <c r="V41" i="35"/>
  <c r="U41" i="35"/>
  <c r="T41" i="35"/>
  <c r="S41" i="35"/>
  <c r="J41" i="35"/>
  <c r="I41" i="35"/>
  <c r="H41" i="35"/>
  <c r="G41" i="35"/>
  <c r="V40" i="35"/>
  <c r="U40" i="35"/>
  <c r="T40" i="35"/>
  <c r="S40" i="35"/>
  <c r="J40" i="35"/>
  <c r="I40" i="35"/>
  <c r="H40" i="35"/>
  <c r="G40" i="35"/>
  <c r="V39" i="35"/>
  <c r="U39" i="35"/>
  <c r="T39" i="35"/>
  <c r="S39" i="35"/>
  <c r="J39" i="35"/>
  <c r="I39" i="35"/>
  <c r="H39" i="35"/>
  <c r="G39" i="35"/>
  <c r="V38" i="35"/>
  <c r="U38" i="35"/>
  <c r="T38" i="35"/>
  <c r="S38" i="35"/>
  <c r="J38" i="35"/>
  <c r="I38" i="35"/>
  <c r="H38" i="35"/>
  <c r="G38" i="35"/>
  <c r="V37" i="35"/>
  <c r="U37" i="35"/>
  <c r="T37" i="35"/>
  <c r="S37" i="35"/>
  <c r="J37" i="35"/>
  <c r="I37" i="35"/>
  <c r="H37" i="35"/>
  <c r="G37" i="35"/>
  <c r="V36" i="35"/>
  <c r="U36" i="35"/>
  <c r="T36" i="35"/>
  <c r="S36" i="35"/>
  <c r="J36" i="35"/>
  <c r="I36" i="35"/>
  <c r="H36" i="35"/>
  <c r="G36" i="35"/>
  <c r="V35" i="35"/>
  <c r="U35" i="35"/>
  <c r="T35" i="35"/>
  <c r="S35" i="35"/>
  <c r="J35" i="35"/>
  <c r="I35" i="35"/>
  <c r="H35" i="35"/>
  <c r="G35" i="35"/>
  <c r="V34" i="35"/>
  <c r="U34" i="35"/>
  <c r="T34" i="35"/>
  <c r="S34" i="35"/>
  <c r="J34" i="35"/>
  <c r="I34" i="35"/>
  <c r="H34" i="35"/>
  <c r="G34" i="35"/>
  <c r="V33" i="35"/>
  <c r="U33" i="35"/>
  <c r="T33" i="35"/>
  <c r="S33" i="35"/>
  <c r="J33" i="35"/>
  <c r="I33" i="35"/>
  <c r="H33" i="35"/>
  <c r="G33" i="35"/>
  <c r="V32" i="35"/>
  <c r="U32" i="35"/>
  <c r="T32" i="35"/>
  <c r="S32" i="35"/>
  <c r="J32" i="35"/>
  <c r="I32" i="35"/>
  <c r="H32" i="35"/>
  <c r="G32" i="35"/>
  <c r="V31" i="35"/>
  <c r="U31" i="35"/>
  <c r="T31" i="35"/>
  <c r="S31" i="35"/>
  <c r="J31" i="35"/>
  <c r="I31" i="35"/>
  <c r="H31" i="35"/>
  <c r="G31" i="35"/>
  <c r="V30" i="35"/>
  <c r="U30" i="35"/>
  <c r="T30" i="35"/>
  <c r="S30" i="35"/>
  <c r="J30" i="35"/>
  <c r="I30" i="35"/>
  <c r="H30" i="35"/>
  <c r="G30" i="35"/>
  <c r="V29" i="35"/>
  <c r="U29" i="35"/>
  <c r="T29" i="35"/>
  <c r="S29" i="35"/>
  <c r="J29" i="35"/>
  <c r="I29" i="35"/>
  <c r="H29" i="35"/>
  <c r="G29" i="35"/>
  <c r="V28" i="35"/>
  <c r="U28" i="35"/>
  <c r="T28" i="35"/>
  <c r="S28" i="35"/>
  <c r="J28" i="35"/>
  <c r="I28" i="35"/>
  <c r="H28" i="35"/>
  <c r="G28" i="35"/>
  <c r="V27" i="35"/>
  <c r="U27" i="35"/>
  <c r="T27" i="35"/>
  <c r="S27" i="35"/>
  <c r="J27" i="35"/>
  <c r="I27" i="35"/>
  <c r="H27" i="35"/>
  <c r="G27" i="35"/>
  <c r="V26" i="35"/>
  <c r="U26" i="35"/>
  <c r="T26" i="35"/>
  <c r="S26" i="35"/>
  <c r="J26" i="35"/>
  <c r="I26" i="35"/>
  <c r="H26" i="35"/>
  <c r="G26" i="35"/>
  <c r="V25" i="35"/>
  <c r="U25" i="35"/>
  <c r="T25" i="35"/>
  <c r="S25" i="35"/>
  <c r="J25" i="35"/>
  <c r="I25" i="35"/>
  <c r="H25" i="35"/>
  <c r="G25" i="35"/>
  <c r="V24" i="35"/>
  <c r="U24" i="35"/>
  <c r="T24" i="35"/>
  <c r="S24" i="35"/>
  <c r="J24" i="35"/>
  <c r="I24" i="35"/>
  <c r="H24" i="35"/>
  <c r="G24" i="35"/>
  <c r="V23" i="35"/>
  <c r="U23" i="35"/>
  <c r="T23" i="35"/>
  <c r="S23" i="35"/>
  <c r="J23" i="35"/>
  <c r="I23" i="35"/>
  <c r="H23" i="35"/>
  <c r="G23" i="35"/>
  <c r="V22" i="35"/>
  <c r="U22" i="35"/>
  <c r="T22" i="35"/>
  <c r="S22" i="35"/>
  <c r="J22" i="35"/>
  <c r="I22" i="35"/>
  <c r="H22" i="35"/>
  <c r="G22" i="35"/>
  <c r="V21" i="35"/>
  <c r="U21" i="35"/>
  <c r="T21" i="35"/>
  <c r="S21" i="35"/>
  <c r="J21" i="35"/>
  <c r="I21" i="35"/>
  <c r="H21" i="35"/>
  <c r="G21" i="35"/>
  <c r="V20" i="35"/>
  <c r="U20" i="35"/>
  <c r="T20" i="35"/>
  <c r="S20" i="35"/>
  <c r="J20" i="35"/>
  <c r="I20" i="35"/>
  <c r="H20" i="35"/>
  <c r="G20" i="35"/>
  <c r="V19" i="35"/>
  <c r="U19" i="35"/>
  <c r="T19" i="35"/>
  <c r="S19" i="35"/>
  <c r="J19" i="35"/>
  <c r="I19" i="35"/>
  <c r="H19" i="35"/>
  <c r="G19" i="35"/>
  <c r="V18" i="35"/>
  <c r="U18" i="35"/>
  <c r="T18" i="35"/>
  <c r="S18" i="35"/>
  <c r="J18" i="35"/>
  <c r="I18" i="35"/>
  <c r="H18" i="35"/>
  <c r="G18" i="35"/>
  <c r="V17" i="35"/>
  <c r="U17" i="35"/>
  <c r="T17" i="35"/>
  <c r="S17" i="35"/>
  <c r="J17" i="35"/>
  <c r="I17" i="35"/>
  <c r="H17" i="35"/>
  <c r="G17" i="35"/>
  <c r="V16" i="35"/>
  <c r="U16" i="35"/>
  <c r="T16" i="35"/>
  <c r="S16" i="35"/>
  <c r="J16" i="35"/>
  <c r="I16" i="35"/>
  <c r="H16" i="35"/>
  <c r="G16" i="35"/>
  <c r="V15" i="35"/>
  <c r="U15" i="35"/>
  <c r="T15" i="35"/>
  <c r="S15" i="35"/>
  <c r="J15" i="35"/>
  <c r="I15" i="35"/>
  <c r="H15" i="35"/>
  <c r="G15" i="35"/>
  <c r="V14" i="35"/>
  <c r="U14" i="35"/>
  <c r="T14" i="35"/>
  <c r="S14" i="35"/>
  <c r="J14" i="35"/>
  <c r="I14" i="35"/>
  <c r="H14" i="35"/>
  <c r="G14" i="35"/>
  <c r="J155" i="34"/>
  <c r="I155" i="34"/>
  <c r="H155" i="34"/>
  <c r="G155" i="34"/>
  <c r="K155" i="34" s="1"/>
  <c r="L155" i="34" s="1"/>
  <c r="J154" i="34"/>
  <c r="I154" i="34"/>
  <c r="H154" i="34"/>
  <c r="G154" i="34"/>
  <c r="K154" i="34" s="1"/>
  <c r="L154" i="34" s="1"/>
  <c r="J153" i="34"/>
  <c r="I153" i="34"/>
  <c r="H153" i="34"/>
  <c r="G153" i="34"/>
  <c r="K153" i="34" s="1"/>
  <c r="L153" i="34" s="1"/>
  <c r="J152" i="34"/>
  <c r="I152" i="34"/>
  <c r="H152" i="34"/>
  <c r="G152" i="34"/>
  <c r="K152" i="34" s="1"/>
  <c r="L152" i="34" s="1"/>
  <c r="J151" i="34"/>
  <c r="I151" i="34"/>
  <c r="H151" i="34"/>
  <c r="G151" i="34"/>
  <c r="K151" i="34" s="1"/>
  <c r="L151" i="34" s="1"/>
  <c r="J150" i="34"/>
  <c r="I150" i="34"/>
  <c r="H150" i="34"/>
  <c r="G150" i="34"/>
  <c r="K150" i="34" s="1"/>
  <c r="L150" i="34" s="1"/>
  <c r="J149" i="34"/>
  <c r="I149" i="34"/>
  <c r="H149" i="34"/>
  <c r="G149" i="34"/>
  <c r="K149" i="34" s="1"/>
  <c r="L149" i="34" s="1"/>
  <c r="J148" i="34"/>
  <c r="I148" i="34"/>
  <c r="H148" i="34"/>
  <c r="G148" i="34"/>
  <c r="K148" i="34" s="1"/>
  <c r="L148" i="34" s="1"/>
  <c r="J147" i="34"/>
  <c r="I147" i="34"/>
  <c r="H147" i="34"/>
  <c r="G147" i="34"/>
  <c r="K147" i="34" s="1"/>
  <c r="L147" i="34" s="1"/>
  <c r="J146" i="34"/>
  <c r="I146" i="34"/>
  <c r="H146" i="34"/>
  <c r="G146" i="34"/>
  <c r="K146" i="34" s="1"/>
  <c r="L146" i="34" s="1"/>
  <c r="J145" i="34"/>
  <c r="I145" i="34"/>
  <c r="H145" i="34"/>
  <c r="G145" i="34"/>
  <c r="K145" i="34" s="1"/>
  <c r="L145" i="34" s="1"/>
  <c r="J144" i="34"/>
  <c r="I144" i="34"/>
  <c r="H144" i="34"/>
  <c r="G144" i="34"/>
  <c r="K144" i="34" s="1"/>
  <c r="L144" i="34" s="1"/>
  <c r="V143" i="34"/>
  <c r="U143" i="34"/>
  <c r="T143" i="34"/>
  <c r="S143" i="34"/>
  <c r="W143" i="34" s="1"/>
  <c r="X143" i="34" s="1"/>
  <c r="J143" i="34"/>
  <c r="I143" i="34"/>
  <c r="H143" i="34"/>
  <c r="G143" i="34"/>
  <c r="K143" i="34" s="1"/>
  <c r="L143" i="34" s="1"/>
  <c r="V142" i="34"/>
  <c r="U142" i="34"/>
  <c r="T142" i="34"/>
  <c r="S142" i="34"/>
  <c r="W142" i="34" s="1"/>
  <c r="X142" i="34" s="1"/>
  <c r="J142" i="34"/>
  <c r="I142" i="34"/>
  <c r="H142" i="34"/>
  <c r="G142" i="34"/>
  <c r="K142" i="34" s="1"/>
  <c r="L142" i="34" s="1"/>
  <c r="V141" i="34"/>
  <c r="U141" i="34"/>
  <c r="T141" i="34"/>
  <c r="S141" i="34"/>
  <c r="W141" i="34" s="1"/>
  <c r="X141" i="34" s="1"/>
  <c r="J141" i="34"/>
  <c r="I141" i="34"/>
  <c r="H141" i="34"/>
  <c r="G141" i="34"/>
  <c r="K141" i="34" s="1"/>
  <c r="L141" i="34" s="1"/>
  <c r="V140" i="34"/>
  <c r="U140" i="34"/>
  <c r="T140" i="34"/>
  <c r="S140" i="34"/>
  <c r="W140" i="34" s="1"/>
  <c r="X140" i="34" s="1"/>
  <c r="J140" i="34"/>
  <c r="I140" i="34"/>
  <c r="H140" i="34"/>
  <c r="G140" i="34"/>
  <c r="K140" i="34" s="1"/>
  <c r="L140" i="34" s="1"/>
  <c r="V139" i="34"/>
  <c r="U139" i="34"/>
  <c r="T139" i="34"/>
  <c r="S139" i="34"/>
  <c r="W139" i="34" s="1"/>
  <c r="X139" i="34" s="1"/>
  <c r="J139" i="34"/>
  <c r="I139" i="34"/>
  <c r="H139" i="34"/>
  <c r="G139" i="34"/>
  <c r="K139" i="34" s="1"/>
  <c r="L139" i="34" s="1"/>
  <c r="V138" i="34"/>
  <c r="U138" i="34"/>
  <c r="T138" i="34"/>
  <c r="S138" i="34"/>
  <c r="W138" i="34" s="1"/>
  <c r="X138" i="34" s="1"/>
  <c r="J138" i="34"/>
  <c r="I138" i="34"/>
  <c r="H138" i="34"/>
  <c r="G138" i="34"/>
  <c r="K138" i="34" s="1"/>
  <c r="L138" i="34" s="1"/>
  <c r="V137" i="34"/>
  <c r="U137" i="34"/>
  <c r="T137" i="34"/>
  <c r="S137" i="34"/>
  <c r="W137" i="34" s="1"/>
  <c r="X137" i="34" s="1"/>
  <c r="J137" i="34"/>
  <c r="I137" i="34"/>
  <c r="H137" i="34"/>
  <c r="G137" i="34"/>
  <c r="K137" i="34" s="1"/>
  <c r="L137" i="34" s="1"/>
  <c r="V136" i="34"/>
  <c r="U136" i="34"/>
  <c r="T136" i="34"/>
  <c r="S136" i="34"/>
  <c r="W136" i="34" s="1"/>
  <c r="X136" i="34" s="1"/>
  <c r="J136" i="34"/>
  <c r="I136" i="34"/>
  <c r="H136" i="34"/>
  <c r="G136" i="34"/>
  <c r="K136" i="34" s="1"/>
  <c r="L136" i="34" s="1"/>
  <c r="V135" i="34"/>
  <c r="U135" i="34"/>
  <c r="T135" i="34"/>
  <c r="S135" i="34"/>
  <c r="W135" i="34" s="1"/>
  <c r="X135" i="34" s="1"/>
  <c r="J135" i="34"/>
  <c r="I135" i="34"/>
  <c r="H135" i="34"/>
  <c r="G135" i="34"/>
  <c r="K135" i="34" s="1"/>
  <c r="L135" i="34" s="1"/>
  <c r="V134" i="34"/>
  <c r="U134" i="34"/>
  <c r="T134" i="34"/>
  <c r="S134" i="34"/>
  <c r="W134" i="34" s="1"/>
  <c r="X134" i="34" s="1"/>
  <c r="J134" i="34"/>
  <c r="I134" i="34"/>
  <c r="H134" i="34"/>
  <c r="G134" i="34"/>
  <c r="K134" i="34" s="1"/>
  <c r="L134" i="34" s="1"/>
  <c r="V133" i="34"/>
  <c r="U133" i="34"/>
  <c r="T133" i="34"/>
  <c r="S133" i="34"/>
  <c r="W133" i="34" s="1"/>
  <c r="X133" i="34" s="1"/>
  <c r="J133" i="34"/>
  <c r="I133" i="34"/>
  <c r="H133" i="34"/>
  <c r="G133" i="34"/>
  <c r="K133" i="34" s="1"/>
  <c r="L133" i="34" s="1"/>
  <c r="V132" i="34"/>
  <c r="U132" i="34"/>
  <c r="T132" i="34"/>
  <c r="S132" i="34"/>
  <c r="W132" i="34" s="1"/>
  <c r="X132" i="34" s="1"/>
  <c r="J132" i="34"/>
  <c r="I132" i="34"/>
  <c r="H132" i="34"/>
  <c r="G132" i="34"/>
  <c r="K132" i="34" s="1"/>
  <c r="L132" i="34" s="1"/>
  <c r="V131" i="34"/>
  <c r="U131" i="34"/>
  <c r="T131" i="34"/>
  <c r="S131" i="34"/>
  <c r="W131" i="34" s="1"/>
  <c r="X131" i="34" s="1"/>
  <c r="J131" i="34"/>
  <c r="I131" i="34"/>
  <c r="H131" i="34"/>
  <c r="G131" i="34"/>
  <c r="K131" i="34" s="1"/>
  <c r="L131" i="34" s="1"/>
  <c r="V130" i="34"/>
  <c r="U130" i="34"/>
  <c r="T130" i="34"/>
  <c r="S130" i="34"/>
  <c r="W130" i="34" s="1"/>
  <c r="X130" i="34" s="1"/>
  <c r="J130" i="34"/>
  <c r="I130" i="34"/>
  <c r="H130" i="34"/>
  <c r="G130" i="34"/>
  <c r="K130" i="34" s="1"/>
  <c r="L130" i="34" s="1"/>
  <c r="V129" i="34"/>
  <c r="U129" i="34"/>
  <c r="T129" i="34"/>
  <c r="S129" i="34"/>
  <c r="W129" i="34" s="1"/>
  <c r="X129" i="34" s="1"/>
  <c r="J129" i="34"/>
  <c r="I129" i="34"/>
  <c r="H129" i="34"/>
  <c r="G129" i="34"/>
  <c r="K129" i="34" s="1"/>
  <c r="L129" i="34" s="1"/>
  <c r="W128" i="34"/>
  <c r="X128" i="34" s="1"/>
  <c r="V128" i="34"/>
  <c r="U128" i="34"/>
  <c r="T128" i="34"/>
  <c r="S128" i="34"/>
  <c r="J128" i="34"/>
  <c r="I128" i="34"/>
  <c r="H128" i="34"/>
  <c r="G128" i="34"/>
  <c r="K128" i="34" s="1"/>
  <c r="L128" i="34" s="1"/>
  <c r="V127" i="34"/>
  <c r="U127" i="34"/>
  <c r="T127" i="34"/>
  <c r="S127" i="34"/>
  <c r="W127" i="34" s="1"/>
  <c r="X127" i="34" s="1"/>
  <c r="J127" i="34"/>
  <c r="I127" i="34"/>
  <c r="H127" i="34"/>
  <c r="G127" i="34"/>
  <c r="K127" i="34" s="1"/>
  <c r="L127" i="34" s="1"/>
  <c r="V126" i="34"/>
  <c r="U126" i="34"/>
  <c r="T126" i="34"/>
  <c r="S126" i="34"/>
  <c r="W126" i="34" s="1"/>
  <c r="X126" i="34" s="1"/>
  <c r="J126" i="34"/>
  <c r="I126" i="34"/>
  <c r="H126" i="34"/>
  <c r="G126" i="34"/>
  <c r="K126" i="34" s="1"/>
  <c r="L126" i="34" s="1"/>
  <c r="V125" i="34"/>
  <c r="U125" i="34"/>
  <c r="T125" i="34"/>
  <c r="S125" i="34"/>
  <c r="W125" i="34" s="1"/>
  <c r="X125" i="34" s="1"/>
  <c r="J125" i="34"/>
  <c r="I125" i="34"/>
  <c r="H125" i="34"/>
  <c r="G125" i="34"/>
  <c r="K125" i="34" s="1"/>
  <c r="L125" i="34" s="1"/>
  <c r="V124" i="34"/>
  <c r="U124" i="34"/>
  <c r="T124" i="34"/>
  <c r="S124" i="34"/>
  <c r="W124" i="34" s="1"/>
  <c r="X124" i="34" s="1"/>
  <c r="J124" i="34"/>
  <c r="I124" i="34"/>
  <c r="H124" i="34"/>
  <c r="G124" i="34"/>
  <c r="K124" i="34" s="1"/>
  <c r="L124" i="34" s="1"/>
  <c r="V123" i="34"/>
  <c r="U123" i="34"/>
  <c r="T123" i="34"/>
  <c r="S123" i="34"/>
  <c r="W123" i="34" s="1"/>
  <c r="X123" i="34" s="1"/>
  <c r="J123" i="34"/>
  <c r="I123" i="34"/>
  <c r="H123" i="34"/>
  <c r="G123" i="34"/>
  <c r="K123" i="34" s="1"/>
  <c r="L123" i="34" s="1"/>
  <c r="V122" i="34"/>
  <c r="U122" i="34"/>
  <c r="T122" i="34"/>
  <c r="S122" i="34"/>
  <c r="W122" i="34" s="1"/>
  <c r="X122" i="34" s="1"/>
  <c r="J122" i="34"/>
  <c r="I122" i="34"/>
  <c r="H122" i="34"/>
  <c r="G122" i="34"/>
  <c r="K122" i="34" s="1"/>
  <c r="L122" i="34" s="1"/>
  <c r="W121" i="34"/>
  <c r="X121" i="34" s="1"/>
  <c r="V121" i="34"/>
  <c r="U121" i="34"/>
  <c r="T121" i="34"/>
  <c r="S121" i="34"/>
  <c r="J121" i="34"/>
  <c r="I121" i="34"/>
  <c r="H121" i="34"/>
  <c r="G121" i="34"/>
  <c r="K121" i="34" s="1"/>
  <c r="L121" i="34" s="1"/>
  <c r="V120" i="34"/>
  <c r="U120" i="34"/>
  <c r="T120" i="34"/>
  <c r="S120" i="34"/>
  <c r="W120" i="34" s="1"/>
  <c r="X120" i="34" s="1"/>
  <c r="J120" i="34"/>
  <c r="I120" i="34"/>
  <c r="H120" i="34"/>
  <c r="G120" i="34"/>
  <c r="K120" i="34" s="1"/>
  <c r="L120" i="34" s="1"/>
  <c r="V119" i="34"/>
  <c r="U119" i="34"/>
  <c r="T119" i="34"/>
  <c r="S119" i="34"/>
  <c r="W119" i="34" s="1"/>
  <c r="X119" i="34" s="1"/>
  <c r="J119" i="34"/>
  <c r="I119" i="34"/>
  <c r="H119" i="34"/>
  <c r="G119" i="34"/>
  <c r="K119" i="34" s="1"/>
  <c r="L119" i="34" s="1"/>
  <c r="V118" i="34"/>
  <c r="U118" i="34"/>
  <c r="T118" i="34"/>
  <c r="S118" i="34"/>
  <c r="W118" i="34" s="1"/>
  <c r="X118" i="34" s="1"/>
  <c r="J118" i="34"/>
  <c r="I118" i="34"/>
  <c r="H118" i="34"/>
  <c r="G118" i="34"/>
  <c r="K118" i="34" s="1"/>
  <c r="L118" i="34" s="1"/>
  <c r="V117" i="34"/>
  <c r="U117" i="34"/>
  <c r="T117" i="34"/>
  <c r="S117" i="34"/>
  <c r="W117" i="34" s="1"/>
  <c r="X117" i="34" s="1"/>
  <c r="J117" i="34"/>
  <c r="I117" i="34"/>
  <c r="H117" i="34"/>
  <c r="G117" i="34"/>
  <c r="K117" i="34" s="1"/>
  <c r="L117" i="34" s="1"/>
  <c r="V116" i="34"/>
  <c r="U116" i="34"/>
  <c r="T116" i="34"/>
  <c r="S116" i="34"/>
  <c r="W116" i="34" s="1"/>
  <c r="X116" i="34" s="1"/>
  <c r="J116" i="34"/>
  <c r="I116" i="34"/>
  <c r="H116" i="34"/>
  <c r="G116" i="34"/>
  <c r="K116" i="34" s="1"/>
  <c r="L116" i="34" s="1"/>
  <c r="V115" i="34"/>
  <c r="U115" i="34"/>
  <c r="T115" i="34"/>
  <c r="S115" i="34"/>
  <c r="W115" i="34" s="1"/>
  <c r="X115" i="34" s="1"/>
  <c r="J115" i="34"/>
  <c r="I115" i="34"/>
  <c r="H115" i="34"/>
  <c r="G115" i="34"/>
  <c r="K115" i="34" s="1"/>
  <c r="L115" i="34" s="1"/>
  <c r="V114" i="34"/>
  <c r="U114" i="34"/>
  <c r="T114" i="34"/>
  <c r="S114" i="34"/>
  <c r="W114" i="34" s="1"/>
  <c r="X114" i="34" s="1"/>
  <c r="J114" i="34"/>
  <c r="I114" i="34"/>
  <c r="H114" i="34"/>
  <c r="G114" i="34"/>
  <c r="K114" i="34" s="1"/>
  <c r="L114" i="34" s="1"/>
  <c r="V113" i="34"/>
  <c r="U113" i="34"/>
  <c r="T113" i="34"/>
  <c r="S113" i="34"/>
  <c r="W113" i="34" s="1"/>
  <c r="X113" i="34" s="1"/>
  <c r="J113" i="34"/>
  <c r="I113" i="34"/>
  <c r="H113" i="34"/>
  <c r="G113" i="34"/>
  <c r="K113" i="34" s="1"/>
  <c r="L113" i="34" s="1"/>
  <c r="V112" i="34"/>
  <c r="U112" i="34"/>
  <c r="T112" i="34"/>
  <c r="S112" i="34"/>
  <c r="W112" i="34" s="1"/>
  <c r="X112" i="34" s="1"/>
  <c r="J112" i="34"/>
  <c r="I112" i="34"/>
  <c r="H112" i="34"/>
  <c r="G112" i="34"/>
  <c r="K112" i="34" s="1"/>
  <c r="L112" i="34" s="1"/>
  <c r="V111" i="34"/>
  <c r="U111" i="34"/>
  <c r="T111" i="34"/>
  <c r="S111" i="34"/>
  <c r="W111" i="34" s="1"/>
  <c r="X111" i="34" s="1"/>
  <c r="J111" i="34"/>
  <c r="I111" i="34"/>
  <c r="H111" i="34"/>
  <c r="G111" i="34"/>
  <c r="K111" i="34" s="1"/>
  <c r="L111" i="34" s="1"/>
  <c r="V110" i="34"/>
  <c r="U110" i="34"/>
  <c r="T110" i="34"/>
  <c r="S110" i="34"/>
  <c r="W110" i="34" s="1"/>
  <c r="X110" i="34" s="1"/>
  <c r="J110" i="34"/>
  <c r="I110" i="34"/>
  <c r="H110" i="34"/>
  <c r="G110" i="34"/>
  <c r="K110" i="34" s="1"/>
  <c r="L110" i="34" s="1"/>
  <c r="V109" i="34"/>
  <c r="U109" i="34"/>
  <c r="T109" i="34"/>
  <c r="S109" i="34"/>
  <c r="W109" i="34" s="1"/>
  <c r="X109" i="34" s="1"/>
  <c r="J109" i="34"/>
  <c r="I109" i="34"/>
  <c r="H109" i="34"/>
  <c r="G109" i="34"/>
  <c r="K109" i="34" s="1"/>
  <c r="L109" i="34" s="1"/>
  <c r="V108" i="34"/>
  <c r="U108" i="34"/>
  <c r="T108" i="34"/>
  <c r="S108" i="34"/>
  <c r="W108" i="34" s="1"/>
  <c r="X108" i="34" s="1"/>
  <c r="J108" i="34"/>
  <c r="I108" i="34"/>
  <c r="H108" i="34"/>
  <c r="G108" i="34"/>
  <c r="K108" i="34" s="1"/>
  <c r="L108" i="34" s="1"/>
  <c r="V107" i="34"/>
  <c r="U107" i="34"/>
  <c r="T107" i="34"/>
  <c r="S107" i="34"/>
  <c r="W107" i="34" s="1"/>
  <c r="X107" i="34" s="1"/>
  <c r="J107" i="34"/>
  <c r="I107" i="34"/>
  <c r="H107" i="34"/>
  <c r="G107" i="34"/>
  <c r="K107" i="34" s="1"/>
  <c r="L107" i="34" s="1"/>
  <c r="V106" i="34"/>
  <c r="U106" i="34"/>
  <c r="T106" i="34"/>
  <c r="S106" i="34"/>
  <c r="W106" i="34" s="1"/>
  <c r="X106" i="34" s="1"/>
  <c r="J106" i="34"/>
  <c r="I106" i="34"/>
  <c r="H106" i="34"/>
  <c r="G106" i="34"/>
  <c r="K106" i="34" s="1"/>
  <c r="L106" i="34" s="1"/>
  <c r="V105" i="34"/>
  <c r="U105" i="34"/>
  <c r="T105" i="34"/>
  <c r="S105" i="34"/>
  <c r="W105" i="34" s="1"/>
  <c r="X105" i="34" s="1"/>
  <c r="J105" i="34"/>
  <c r="I105" i="34"/>
  <c r="H105" i="34"/>
  <c r="G105" i="34"/>
  <c r="K105" i="34" s="1"/>
  <c r="L105" i="34" s="1"/>
  <c r="V104" i="34"/>
  <c r="U104" i="34"/>
  <c r="T104" i="34"/>
  <c r="S104" i="34"/>
  <c r="W104" i="34" s="1"/>
  <c r="X104" i="34" s="1"/>
  <c r="J104" i="34"/>
  <c r="I104" i="34"/>
  <c r="H104" i="34"/>
  <c r="G104" i="34"/>
  <c r="K104" i="34" s="1"/>
  <c r="L104" i="34" s="1"/>
  <c r="V103" i="34"/>
  <c r="U103" i="34"/>
  <c r="T103" i="34"/>
  <c r="S103" i="34"/>
  <c r="W103" i="34" s="1"/>
  <c r="X103" i="34" s="1"/>
  <c r="J103" i="34"/>
  <c r="I103" i="34"/>
  <c r="H103" i="34"/>
  <c r="G103" i="34"/>
  <c r="K103" i="34" s="1"/>
  <c r="L103" i="34" s="1"/>
  <c r="V102" i="34"/>
  <c r="U102" i="34"/>
  <c r="T102" i="34"/>
  <c r="S102" i="34"/>
  <c r="W102" i="34" s="1"/>
  <c r="X102" i="34" s="1"/>
  <c r="J102" i="34"/>
  <c r="I102" i="34"/>
  <c r="H102" i="34"/>
  <c r="G102" i="34"/>
  <c r="K102" i="34" s="1"/>
  <c r="L102" i="34" s="1"/>
  <c r="V101" i="34"/>
  <c r="U101" i="34"/>
  <c r="T101" i="34"/>
  <c r="S101" i="34"/>
  <c r="W101" i="34" s="1"/>
  <c r="X101" i="34" s="1"/>
  <c r="J101" i="34"/>
  <c r="I101" i="34"/>
  <c r="H101" i="34"/>
  <c r="G101" i="34"/>
  <c r="K101" i="34" s="1"/>
  <c r="L101" i="34" s="1"/>
  <c r="V100" i="34"/>
  <c r="U100" i="34"/>
  <c r="T100" i="34"/>
  <c r="S100" i="34"/>
  <c r="W100" i="34" s="1"/>
  <c r="X100" i="34" s="1"/>
  <c r="J100" i="34"/>
  <c r="I100" i="34"/>
  <c r="H100" i="34"/>
  <c r="G100" i="34"/>
  <c r="K100" i="34" s="1"/>
  <c r="L100" i="34" s="1"/>
  <c r="V99" i="34"/>
  <c r="U99" i="34"/>
  <c r="T99" i="34"/>
  <c r="S99" i="34"/>
  <c r="W99" i="34" s="1"/>
  <c r="X99" i="34" s="1"/>
  <c r="J99" i="34"/>
  <c r="I99" i="34"/>
  <c r="H99" i="34"/>
  <c r="G99" i="34"/>
  <c r="K99" i="34" s="1"/>
  <c r="L99" i="34" s="1"/>
  <c r="V98" i="34"/>
  <c r="U98" i="34"/>
  <c r="T98" i="34"/>
  <c r="S98" i="34"/>
  <c r="W98" i="34" s="1"/>
  <c r="X98" i="34" s="1"/>
  <c r="J98" i="34"/>
  <c r="I98" i="34"/>
  <c r="H98" i="34"/>
  <c r="G98" i="34"/>
  <c r="K98" i="34" s="1"/>
  <c r="L98" i="34" s="1"/>
  <c r="V97" i="34"/>
  <c r="U97" i="34"/>
  <c r="T97" i="34"/>
  <c r="S97" i="34"/>
  <c r="W97" i="34" s="1"/>
  <c r="X97" i="34" s="1"/>
  <c r="J97" i="34"/>
  <c r="I97" i="34"/>
  <c r="H97" i="34"/>
  <c r="G97" i="34"/>
  <c r="K97" i="34" s="1"/>
  <c r="L97" i="34" s="1"/>
  <c r="V96" i="34"/>
  <c r="U96" i="34"/>
  <c r="T96" i="34"/>
  <c r="S96" i="34"/>
  <c r="W96" i="34" s="1"/>
  <c r="X96" i="34" s="1"/>
  <c r="J96" i="34"/>
  <c r="I96" i="34"/>
  <c r="H96" i="34"/>
  <c r="G96" i="34"/>
  <c r="K96" i="34" s="1"/>
  <c r="L96" i="34" s="1"/>
  <c r="V95" i="34"/>
  <c r="U95" i="34"/>
  <c r="T95" i="34"/>
  <c r="S95" i="34"/>
  <c r="W95" i="34" s="1"/>
  <c r="X95" i="34" s="1"/>
  <c r="J95" i="34"/>
  <c r="I95" i="34"/>
  <c r="H95" i="34"/>
  <c r="G95" i="34"/>
  <c r="K95" i="34" s="1"/>
  <c r="L95" i="34" s="1"/>
  <c r="V94" i="34"/>
  <c r="U94" i="34"/>
  <c r="T94" i="34"/>
  <c r="S94" i="34"/>
  <c r="W94" i="34" s="1"/>
  <c r="X94" i="34" s="1"/>
  <c r="J94" i="34"/>
  <c r="I94" i="34"/>
  <c r="H94" i="34"/>
  <c r="G94" i="34"/>
  <c r="K94" i="34" s="1"/>
  <c r="L94" i="34" s="1"/>
  <c r="V93" i="34"/>
  <c r="U93" i="34"/>
  <c r="T93" i="34"/>
  <c r="S93" i="34"/>
  <c r="W93" i="34" s="1"/>
  <c r="X93" i="34" s="1"/>
  <c r="J93" i="34"/>
  <c r="I93" i="34"/>
  <c r="H93" i="34"/>
  <c r="G93" i="34"/>
  <c r="K93" i="34" s="1"/>
  <c r="L93" i="34" s="1"/>
  <c r="V92" i="34"/>
  <c r="U92" i="34"/>
  <c r="T92" i="34"/>
  <c r="S92" i="34"/>
  <c r="W92" i="34" s="1"/>
  <c r="X92" i="34" s="1"/>
  <c r="J92" i="34"/>
  <c r="I92" i="34"/>
  <c r="H92" i="34"/>
  <c r="G92" i="34"/>
  <c r="K92" i="34" s="1"/>
  <c r="L92" i="34" s="1"/>
  <c r="W91" i="34"/>
  <c r="X91" i="34" s="1"/>
  <c r="V91" i="34"/>
  <c r="U91" i="34"/>
  <c r="T91" i="34"/>
  <c r="S91" i="34"/>
  <c r="J91" i="34"/>
  <c r="I91" i="34"/>
  <c r="H91" i="34"/>
  <c r="G91" i="34"/>
  <c r="K91" i="34" s="1"/>
  <c r="L91" i="34" s="1"/>
  <c r="V90" i="34"/>
  <c r="U90" i="34"/>
  <c r="T90" i="34"/>
  <c r="S90" i="34"/>
  <c r="W90" i="34" s="1"/>
  <c r="X90" i="34" s="1"/>
  <c r="J90" i="34"/>
  <c r="I90" i="34"/>
  <c r="H90" i="34"/>
  <c r="G90" i="34"/>
  <c r="K90" i="34" s="1"/>
  <c r="L90" i="34" s="1"/>
  <c r="V89" i="34"/>
  <c r="U89" i="34"/>
  <c r="T89" i="34"/>
  <c r="S89" i="34"/>
  <c r="W89" i="34" s="1"/>
  <c r="X89" i="34" s="1"/>
  <c r="J89" i="34"/>
  <c r="I89" i="34"/>
  <c r="H89" i="34"/>
  <c r="G89" i="34"/>
  <c r="K89" i="34" s="1"/>
  <c r="L89" i="34" s="1"/>
  <c r="V88" i="34"/>
  <c r="U88" i="34"/>
  <c r="T88" i="34"/>
  <c r="S88" i="34"/>
  <c r="W88" i="34" s="1"/>
  <c r="X88" i="34" s="1"/>
  <c r="J88" i="34"/>
  <c r="I88" i="34"/>
  <c r="H88" i="34"/>
  <c r="G88" i="34"/>
  <c r="K88" i="34" s="1"/>
  <c r="L88" i="34" s="1"/>
  <c r="V87" i="34"/>
  <c r="U87" i="34"/>
  <c r="T87" i="34"/>
  <c r="S87" i="34"/>
  <c r="W87" i="34" s="1"/>
  <c r="X87" i="34" s="1"/>
  <c r="J87" i="34"/>
  <c r="I87" i="34"/>
  <c r="H87" i="34"/>
  <c r="G87" i="34"/>
  <c r="K87" i="34" s="1"/>
  <c r="L87" i="34" s="1"/>
  <c r="V86" i="34"/>
  <c r="U86" i="34"/>
  <c r="T86" i="34"/>
  <c r="S86" i="34"/>
  <c r="W86" i="34" s="1"/>
  <c r="X86" i="34" s="1"/>
  <c r="J86" i="34"/>
  <c r="I86" i="34"/>
  <c r="H86" i="34"/>
  <c r="G86" i="34"/>
  <c r="K86" i="34" s="1"/>
  <c r="L86" i="34" s="1"/>
  <c r="V85" i="34"/>
  <c r="U85" i="34"/>
  <c r="T85" i="34"/>
  <c r="S85" i="34"/>
  <c r="W85" i="34" s="1"/>
  <c r="X85" i="34" s="1"/>
  <c r="J85" i="34"/>
  <c r="I85" i="34"/>
  <c r="H85" i="34"/>
  <c r="G85" i="34"/>
  <c r="K85" i="34" s="1"/>
  <c r="L85" i="34" s="1"/>
  <c r="V84" i="34"/>
  <c r="U84" i="34"/>
  <c r="T84" i="34"/>
  <c r="S84" i="34"/>
  <c r="W84" i="34" s="1"/>
  <c r="X84" i="34" s="1"/>
  <c r="J84" i="34"/>
  <c r="I84" i="34"/>
  <c r="H84" i="34"/>
  <c r="G84" i="34"/>
  <c r="K84" i="34" s="1"/>
  <c r="L84" i="34" s="1"/>
  <c r="V83" i="34"/>
  <c r="U83" i="34"/>
  <c r="T83" i="34"/>
  <c r="S83" i="34"/>
  <c r="W83" i="34" s="1"/>
  <c r="X83" i="34" s="1"/>
  <c r="J83" i="34"/>
  <c r="I83" i="34"/>
  <c r="H83" i="34"/>
  <c r="G83" i="34"/>
  <c r="K83" i="34" s="1"/>
  <c r="L83" i="34" s="1"/>
  <c r="W82" i="34"/>
  <c r="X82" i="34" s="1"/>
  <c r="V82" i="34"/>
  <c r="U82" i="34"/>
  <c r="T82" i="34"/>
  <c r="S82" i="34"/>
  <c r="J82" i="34"/>
  <c r="I82" i="34"/>
  <c r="H82" i="34"/>
  <c r="G82" i="34"/>
  <c r="K82" i="34" s="1"/>
  <c r="L82" i="34" s="1"/>
  <c r="V81" i="34"/>
  <c r="U81" i="34"/>
  <c r="T81" i="34"/>
  <c r="S81" i="34"/>
  <c r="W81" i="34" s="1"/>
  <c r="X81" i="34" s="1"/>
  <c r="J81" i="34"/>
  <c r="I81" i="34"/>
  <c r="H81" i="34"/>
  <c r="G81" i="34"/>
  <c r="K81" i="34" s="1"/>
  <c r="L81" i="34" s="1"/>
  <c r="V80" i="34"/>
  <c r="U80" i="34"/>
  <c r="T80" i="34"/>
  <c r="S80" i="34"/>
  <c r="W80" i="34" s="1"/>
  <c r="X80" i="34" s="1"/>
  <c r="J80" i="34"/>
  <c r="I80" i="34"/>
  <c r="H80" i="34"/>
  <c r="G80" i="34"/>
  <c r="K80" i="34" s="1"/>
  <c r="L80" i="34" s="1"/>
  <c r="V79" i="34"/>
  <c r="U79" i="34"/>
  <c r="T79" i="34"/>
  <c r="S79" i="34"/>
  <c r="W79" i="34" s="1"/>
  <c r="X79" i="34" s="1"/>
  <c r="J79" i="34"/>
  <c r="I79" i="34"/>
  <c r="H79" i="34"/>
  <c r="G79" i="34"/>
  <c r="K79" i="34" s="1"/>
  <c r="L79" i="34" s="1"/>
  <c r="V78" i="34"/>
  <c r="U78" i="34"/>
  <c r="T78" i="34"/>
  <c r="S78" i="34"/>
  <c r="W78" i="34" s="1"/>
  <c r="X78" i="34" s="1"/>
  <c r="J78" i="34"/>
  <c r="I78" i="34"/>
  <c r="H78" i="34"/>
  <c r="G78" i="34"/>
  <c r="K78" i="34" s="1"/>
  <c r="L78" i="34" s="1"/>
  <c r="V77" i="34"/>
  <c r="U77" i="34"/>
  <c r="T77" i="34"/>
  <c r="S77" i="34"/>
  <c r="W77" i="34" s="1"/>
  <c r="X77" i="34" s="1"/>
  <c r="J77" i="34"/>
  <c r="I77" i="34"/>
  <c r="H77" i="34"/>
  <c r="G77" i="34"/>
  <c r="K77" i="34" s="1"/>
  <c r="L77" i="34" s="1"/>
  <c r="V76" i="34"/>
  <c r="U76" i="34"/>
  <c r="T76" i="34"/>
  <c r="S76" i="34"/>
  <c r="W76" i="34" s="1"/>
  <c r="X76" i="34" s="1"/>
  <c r="J76" i="34"/>
  <c r="I76" i="34"/>
  <c r="H76" i="34"/>
  <c r="G76" i="34"/>
  <c r="K76" i="34" s="1"/>
  <c r="L76" i="34" s="1"/>
  <c r="V75" i="34"/>
  <c r="U75" i="34"/>
  <c r="T75" i="34"/>
  <c r="S75" i="34"/>
  <c r="W75" i="34" s="1"/>
  <c r="X75" i="34" s="1"/>
  <c r="J75" i="34"/>
  <c r="I75" i="34"/>
  <c r="H75" i="34"/>
  <c r="G75" i="34"/>
  <c r="K75" i="34" s="1"/>
  <c r="L75" i="34" s="1"/>
  <c r="V74" i="34"/>
  <c r="U74" i="34"/>
  <c r="T74" i="34"/>
  <c r="S74" i="34"/>
  <c r="W74" i="34" s="1"/>
  <c r="X74" i="34" s="1"/>
  <c r="J74" i="34"/>
  <c r="I74" i="34"/>
  <c r="H74" i="34"/>
  <c r="G74" i="34"/>
  <c r="K74" i="34" s="1"/>
  <c r="L74" i="34" s="1"/>
  <c r="V73" i="34"/>
  <c r="U73" i="34"/>
  <c r="T73" i="34"/>
  <c r="S73" i="34"/>
  <c r="W73" i="34" s="1"/>
  <c r="X73" i="34" s="1"/>
  <c r="J73" i="34"/>
  <c r="I73" i="34"/>
  <c r="H73" i="34"/>
  <c r="G73" i="34"/>
  <c r="K73" i="34" s="1"/>
  <c r="L73" i="34" s="1"/>
  <c r="V72" i="34"/>
  <c r="U72" i="34"/>
  <c r="T72" i="34"/>
  <c r="S72" i="34"/>
  <c r="W72" i="34" s="1"/>
  <c r="X72" i="34" s="1"/>
  <c r="J72" i="34"/>
  <c r="I72" i="34"/>
  <c r="H72" i="34"/>
  <c r="G72" i="34"/>
  <c r="K72" i="34" s="1"/>
  <c r="L72" i="34" s="1"/>
  <c r="V71" i="34"/>
  <c r="U71" i="34"/>
  <c r="T71" i="34"/>
  <c r="S71" i="34"/>
  <c r="W71" i="34" s="1"/>
  <c r="X71" i="34" s="1"/>
  <c r="J71" i="34"/>
  <c r="I71" i="34"/>
  <c r="H71" i="34"/>
  <c r="G71" i="34"/>
  <c r="K71" i="34" s="1"/>
  <c r="L71" i="34" s="1"/>
  <c r="V70" i="34"/>
  <c r="U70" i="34"/>
  <c r="T70" i="34"/>
  <c r="S70" i="34"/>
  <c r="W70" i="34" s="1"/>
  <c r="X70" i="34" s="1"/>
  <c r="J70" i="34"/>
  <c r="I70" i="34"/>
  <c r="H70" i="34"/>
  <c r="G70" i="34"/>
  <c r="K70" i="34" s="1"/>
  <c r="L70" i="34" s="1"/>
  <c r="V69" i="34"/>
  <c r="U69" i="34"/>
  <c r="T69" i="34"/>
  <c r="S69" i="34"/>
  <c r="W69" i="34" s="1"/>
  <c r="X69" i="34" s="1"/>
  <c r="J69" i="34"/>
  <c r="I69" i="34"/>
  <c r="H69" i="34"/>
  <c r="G69" i="34"/>
  <c r="K69" i="34" s="1"/>
  <c r="L69" i="34" s="1"/>
  <c r="V68" i="34"/>
  <c r="U68" i="34"/>
  <c r="T68" i="34"/>
  <c r="S68" i="34"/>
  <c r="W68" i="34" s="1"/>
  <c r="X68" i="34" s="1"/>
  <c r="J68" i="34"/>
  <c r="I68" i="34"/>
  <c r="H68" i="34"/>
  <c r="G68" i="34"/>
  <c r="K68" i="34" s="1"/>
  <c r="L68" i="34" s="1"/>
  <c r="V67" i="34"/>
  <c r="U67" i="34"/>
  <c r="T67" i="34"/>
  <c r="S67" i="34"/>
  <c r="W67" i="34" s="1"/>
  <c r="X67" i="34" s="1"/>
  <c r="J67" i="34"/>
  <c r="I67" i="34"/>
  <c r="H67" i="34"/>
  <c r="G67" i="34"/>
  <c r="K67" i="34" s="1"/>
  <c r="L67" i="34" s="1"/>
  <c r="V66" i="34"/>
  <c r="U66" i="34"/>
  <c r="T66" i="34"/>
  <c r="S66" i="34"/>
  <c r="W66" i="34" s="1"/>
  <c r="X66" i="34" s="1"/>
  <c r="J66" i="34"/>
  <c r="I66" i="34"/>
  <c r="H66" i="34"/>
  <c r="G66" i="34"/>
  <c r="K66" i="34" s="1"/>
  <c r="L66" i="34" s="1"/>
  <c r="V65" i="34"/>
  <c r="U65" i="34"/>
  <c r="T65" i="34"/>
  <c r="S65" i="34"/>
  <c r="W65" i="34" s="1"/>
  <c r="X65" i="34" s="1"/>
  <c r="J65" i="34"/>
  <c r="I65" i="34"/>
  <c r="H65" i="34"/>
  <c r="G65" i="34"/>
  <c r="K65" i="34" s="1"/>
  <c r="L65" i="34" s="1"/>
  <c r="V64" i="34"/>
  <c r="U64" i="34"/>
  <c r="T64" i="34"/>
  <c r="S64" i="34"/>
  <c r="W64" i="34" s="1"/>
  <c r="X64" i="34" s="1"/>
  <c r="J64" i="34"/>
  <c r="I64" i="34"/>
  <c r="H64" i="34"/>
  <c r="G64" i="34"/>
  <c r="K64" i="34" s="1"/>
  <c r="L64" i="34" s="1"/>
  <c r="V63" i="34"/>
  <c r="U63" i="34"/>
  <c r="T63" i="34"/>
  <c r="S63" i="34"/>
  <c r="W63" i="34" s="1"/>
  <c r="X63" i="34" s="1"/>
  <c r="J63" i="34"/>
  <c r="I63" i="34"/>
  <c r="H63" i="34"/>
  <c r="G63" i="34"/>
  <c r="K63" i="34" s="1"/>
  <c r="L63" i="34" s="1"/>
  <c r="V62" i="34"/>
  <c r="U62" i="34"/>
  <c r="T62" i="34"/>
  <c r="S62" i="34"/>
  <c r="W62" i="34" s="1"/>
  <c r="X62" i="34" s="1"/>
  <c r="J62" i="34"/>
  <c r="I62" i="34"/>
  <c r="H62" i="34"/>
  <c r="G62" i="34"/>
  <c r="K62" i="34" s="1"/>
  <c r="L62" i="34" s="1"/>
  <c r="V61" i="34"/>
  <c r="U61" i="34"/>
  <c r="T61" i="34"/>
  <c r="S61" i="34"/>
  <c r="W61" i="34" s="1"/>
  <c r="X61" i="34" s="1"/>
  <c r="J61" i="34"/>
  <c r="I61" i="34"/>
  <c r="H61" i="34"/>
  <c r="G61" i="34"/>
  <c r="K61" i="34" s="1"/>
  <c r="L61" i="34" s="1"/>
  <c r="V60" i="34"/>
  <c r="U60" i="34"/>
  <c r="T60" i="34"/>
  <c r="S60" i="34"/>
  <c r="W60" i="34" s="1"/>
  <c r="X60" i="34" s="1"/>
  <c r="J60" i="34"/>
  <c r="I60" i="34"/>
  <c r="H60" i="34"/>
  <c r="G60" i="34"/>
  <c r="K60" i="34" s="1"/>
  <c r="L60" i="34" s="1"/>
  <c r="V59" i="34"/>
  <c r="U59" i="34"/>
  <c r="T59" i="34"/>
  <c r="S59" i="34"/>
  <c r="W59" i="34" s="1"/>
  <c r="X59" i="34" s="1"/>
  <c r="K59" i="34"/>
  <c r="L59" i="34" s="1"/>
  <c r="J59" i="34"/>
  <c r="I59" i="34"/>
  <c r="H59" i="34"/>
  <c r="G59" i="34"/>
  <c r="V58" i="34"/>
  <c r="U58" i="34"/>
  <c r="T58" i="34"/>
  <c r="S58" i="34"/>
  <c r="W58" i="34" s="1"/>
  <c r="X58" i="34" s="1"/>
  <c r="J58" i="34"/>
  <c r="I58" i="34"/>
  <c r="H58" i="34"/>
  <c r="G58" i="34"/>
  <c r="K58" i="34" s="1"/>
  <c r="L58" i="34" s="1"/>
  <c r="V57" i="34"/>
  <c r="U57" i="34"/>
  <c r="T57" i="34"/>
  <c r="S57" i="34"/>
  <c r="W57" i="34" s="1"/>
  <c r="X57" i="34" s="1"/>
  <c r="J57" i="34"/>
  <c r="I57" i="34"/>
  <c r="H57" i="34"/>
  <c r="G57" i="34"/>
  <c r="K57" i="34" s="1"/>
  <c r="L57" i="34" s="1"/>
  <c r="V56" i="34"/>
  <c r="U56" i="34"/>
  <c r="T56" i="34"/>
  <c r="S56" i="34"/>
  <c r="W56" i="34" s="1"/>
  <c r="X56" i="34" s="1"/>
  <c r="J56" i="34"/>
  <c r="I56" i="34"/>
  <c r="H56" i="34"/>
  <c r="G56" i="34"/>
  <c r="K56" i="34" s="1"/>
  <c r="L56" i="34" s="1"/>
  <c r="V55" i="34"/>
  <c r="U55" i="34"/>
  <c r="T55" i="34"/>
  <c r="S55" i="34"/>
  <c r="W55" i="34" s="1"/>
  <c r="X55" i="34" s="1"/>
  <c r="J55" i="34"/>
  <c r="I55" i="34"/>
  <c r="H55" i="34"/>
  <c r="G55" i="34"/>
  <c r="K55" i="34" s="1"/>
  <c r="L55" i="34" s="1"/>
  <c r="V54" i="34"/>
  <c r="U54" i="34"/>
  <c r="T54" i="34"/>
  <c r="S54" i="34"/>
  <c r="W54" i="34" s="1"/>
  <c r="X54" i="34" s="1"/>
  <c r="J54" i="34"/>
  <c r="I54" i="34"/>
  <c r="H54" i="34"/>
  <c r="G54" i="34"/>
  <c r="K54" i="34" s="1"/>
  <c r="L54" i="34" s="1"/>
  <c r="V53" i="34"/>
  <c r="U53" i="34"/>
  <c r="T53" i="34"/>
  <c r="S53" i="34"/>
  <c r="W53" i="34" s="1"/>
  <c r="X53" i="34" s="1"/>
  <c r="J53" i="34"/>
  <c r="I53" i="34"/>
  <c r="H53" i="34"/>
  <c r="G53" i="34"/>
  <c r="K53" i="34" s="1"/>
  <c r="L53" i="34" s="1"/>
  <c r="V52" i="34"/>
  <c r="U52" i="34"/>
  <c r="T52" i="34"/>
  <c r="S52" i="34"/>
  <c r="W52" i="34" s="1"/>
  <c r="X52" i="34" s="1"/>
  <c r="J52" i="34"/>
  <c r="I52" i="34"/>
  <c r="H52" i="34"/>
  <c r="G52" i="34"/>
  <c r="K52" i="34" s="1"/>
  <c r="L52" i="34" s="1"/>
  <c r="V51" i="34"/>
  <c r="U51" i="34"/>
  <c r="T51" i="34"/>
  <c r="S51" i="34"/>
  <c r="W51" i="34" s="1"/>
  <c r="X51" i="34" s="1"/>
  <c r="J51" i="34"/>
  <c r="I51" i="34"/>
  <c r="H51" i="34"/>
  <c r="G51" i="34"/>
  <c r="K51" i="34" s="1"/>
  <c r="L51" i="34" s="1"/>
  <c r="V50" i="34"/>
  <c r="U50" i="34"/>
  <c r="T50" i="34"/>
  <c r="S50" i="34"/>
  <c r="W50" i="34" s="1"/>
  <c r="X50" i="34" s="1"/>
  <c r="J50" i="34"/>
  <c r="I50" i="34"/>
  <c r="H50" i="34"/>
  <c r="G50" i="34"/>
  <c r="K50" i="34" s="1"/>
  <c r="L50" i="34" s="1"/>
  <c r="V49" i="34"/>
  <c r="U49" i="34"/>
  <c r="T49" i="34"/>
  <c r="S49" i="34"/>
  <c r="W49" i="34" s="1"/>
  <c r="X49" i="34" s="1"/>
  <c r="J49" i="34"/>
  <c r="I49" i="34"/>
  <c r="H49" i="34"/>
  <c r="G49" i="34"/>
  <c r="K49" i="34" s="1"/>
  <c r="L49" i="34" s="1"/>
  <c r="V48" i="34"/>
  <c r="U48" i="34"/>
  <c r="T48" i="34"/>
  <c r="S48" i="34"/>
  <c r="W48" i="34" s="1"/>
  <c r="X48" i="34" s="1"/>
  <c r="J48" i="34"/>
  <c r="I48" i="34"/>
  <c r="H48" i="34"/>
  <c r="G48" i="34"/>
  <c r="K48" i="34" s="1"/>
  <c r="L48" i="34" s="1"/>
  <c r="V47" i="34"/>
  <c r="U47" i="34"/>
  <c r="T47" i="34"/>
  <c r="S47" i="34"/>
  <c r="W47" i="34" s="1"/>
  <c r="X47" i="34" s="1"/>
  <c r="J47" i="34"/>
  <c r="I47" i="34"/>
  <c r="H47" i="34"/>
  <c r="G47" i="34"/>
  <c r="K47" i="34" s="1"/>
  <c r="L47" i="34" s="1"/>
  <c r="V46" i="34"/>
  <c r="U46" i="34"/>
  <c r="T46" i="34"/>
  <c r="S46" i="34"/>
  <c r="W46" i="34" s="1"/>
  <c r="X46" i="34" s="1"/>
  <c r="J46" i="34"/>
  <c r="I46" i="34"/>
  <c r="H46" i="34"/>
  <c r="G46" i="34"/>
  <c r="K46" i="34" s="1"/>
  <c r="L46" i="34" s="1"/>
  <c r="V45" i="34"/>
  <c r="U45" i="34"/>
  <c r="T45" i="34"/>
  <c r="S45" i="34"/>
  <c r="W45" i="34" s="1"/>
  <c r="X45" i="34" s="1"/>
  <c r="J45" i="34"/>
  <c r="I45" i="34"/>
  <c r="H45" i="34"/>
  <c r="G45" i="34"/>
  <c r="K45" i="34" s="1"/>
  <c r="L45" i="34" s="1"/>
  <c r="V44" i="34"/>
  <c r="U44" i="34"/>
  <c r="T44" i="34"/>
  <c r="S44" i="34"/>
  <c r="W44" i="34" s="1"/>
  <c r="X44" i="34" s="1"/>
  <c r="J44" i="34"/>
  <c r="I44" i="34"/>
  <c r="H44" i="34"/>
  <c r="G44" i="34"/>
  <c r="K44" i="34" s="1"/>
  <c r="L44" i="34" s="1"/>
  <c r="V43" i="34"/>
  <c r="U43" i="34"/>
  <c r="T43" i="34"/>
  <c r="S43" i="34"/>
  <c r="W43" i="34" s="1"/>
  <c r="X43" i="34" s="1"/>
  <c r="J43" i="34"/>
  <c r="I43" i="34"/>
  <c r="H43" i="34"/>
  <c r="G43" i="34"/>
  <c r="K43" i="34" s="1"/>
  <c r="L43" i="34" s="1"/>
  <c r="V42" i="34"/>
  <c r="U42" i="34"/>
  <c r="T42" i="34"/>
  <c r="S42" i="34"/>
  <c r="W42" i="34" s="1"/>
  <c r="X42" i="34" s="1"/>
  <c r="J42" i="34"/>
  <c r="I42" i="34"/>
  <c r="H42" i="34"/>
  <c r="G42" i="34"/>
  <c r="K42" i="34" s="1"/>
  <c r="L42" i="34" s="1"/>
  <c r="V41" i="34"/>
  <c r="U41" i="34"/>
  <c r="T41" i="34"/>
  <c r="S41" i="34"/>
  <c r="W41" i="34" s="1"/>
  <c r="X41" i="34" s="1"/>
  <c r="J41" i="34"/>
  <c r="I41" i="34"/>
  <c r="H41" i="34"/>
  <c r="G41" i="34"/>
  <c r="K41" i="34" s="1"/>
  <c r="L41" i="34" s="1"/>
  <c r="V40" i="34"/>
  <c r="U40" i="34"/>
  <c r="T40" i="34"/>
  <c r="S40" i="34"/>
  <c r="W40" i="34" s="1"/>
  <c r="X40" i="34" s="1"/>
  <c r="J40" i="34"/>
  <c r="I40" i="34"/>
  <c r="H40" i="34"/>
  <c r="G40" i="34"/>
  <c r="K40" i="34" s="1"/>
  <c r="L40" i="34" s="1"/>
  <c r="V39" i="34"/>
  <c r="U39" i="34"/>
  <c r="T39" i="34"/>
  <c r="S39" i="34"/>
  <c r="W39" i="34" s="1"/>
  <c r="X39" i="34" s="1"/>
  <c r="J39" i="34"/>
  <c r="I39" i="34"/>
  <c r="H39" i="34"/>
  <c r="G39" i="34"/>
  <c r="K39" i="34" s="1"/>
  <c r="L39" i="34" s="1"/>
  <c r="V38" i="34"/>
  <c r="U38" i="34"/>
  <c r="T38" i="34"/>
  <c r="S38" i="34"/>
  <c r="W38" i="34" s="1"/>
  <c r="X38" i="34" s="1"/>
  <c r="J38" i="34"/>
  <c r="I38" i="34"/>
  <c r="H38" i="34"/>
  <c r="G38" i="34"/>
  <c r="K38" i="34" s="1"/>
  <c r="L38" i="34" s="1"/>
  <c r="V37" i="34"/>
  <c r="U37" i="34"/>
  <c r="T37" i="34"/>
  <c r="S37" i="34"/>
  <c r="W37" i="34" s="1"/>
  <c r="X37" i="34" s="1"/>
  <c r="J37" i="34"/>
  <c r="I37" i="34"/>
  <c r="H37" i="34"/>
  <c r="G37" i="34"/>
  <c r="K37" i="34" s="1"/>
  <c r="L37" i="34" s="1"/>
  <c r="V36" i="34"/>
  <c r="U36" i="34"/>
  <c r="T36" i="34"/>
  <c r="S36" i="34"/>
  <c r="W36" i="34" s="1"/>
  <c r="X36" i="34" s="1"/>
  <c r="J36" i="34"/>
  <c r="I36" i="34"/>
  <c r="H36" i="34"/>
  <c r="G36" i="34"/>
  <c r="K36" i="34" s="1"/>
  <c r="L36" i="34" s="1"/>
  <c r="V35" i="34"/>
  <c r="U35" i="34"/>
  <c r="T35" i="34"/>
  <c r="S35" i="34"/>
  <c r="W35" i="34" s="1"/>
  <c r="X35" i="34" s="1"/>
  <c r="J35" i="34"/>
  <c r="I35" i="34"/>
  <c r="H35" i="34"/>
  <c r="G35" i="34"/>
  <c r="K35" i="34" s="1"/>
  <c r="L35" i="34" s="1"/>
  <c r="V34" i="34"/>
  <c r="U34" i="34"/>
  <c r="T34" i="34"/>
  <c r="S34" i="34"/>
  <c r="W34" i="34" s="1"/>
  <c r="X34" i="34" s="1"/>
  <c r="J34" i="34"/>
  <c r="I34" i="34"/>
  <c r="H34" i="34"/>
  <c r="G34" i="34"/>
  <c r="K34" i="34" s="1"/>
  <c r="L34" i="34" s="1"/>
  <c r="V33" i="34"/>
  <c r="U33" i="34"/>
  <c r="T33" i="34"/>
  <c r="S33" i="34"/>
  <c r="W33" i="34" s="1"/>
  <c r="X33" i="34" s="1"/>
  <c r="J33" i="34"/>
  <c r="I33" i="34"/>
  <c r="H33" i="34"/>
  <c r="G33" i="34"/>
  <c r="K33" i="34" s="1"/>
  <c r="L33" i="34" s="1"/>
  <c r="V32" i="34"/>
  <c r="U32" i="34"/>
  <c r="T32" i="34"/>
  <c r="S32" i="34"/>
  <c r="W32" i="34" s="1"/>
  <c r="X32" i="34" s="1"/>
  <c r="J32" i="34"/>
  <c r="I32" i="34"/>
  <c r="H32" i="34"/>
  <c r="G32" i="34"/>
  <c r="K32" i="34" s="1"/>
  <c r="L32" i="34" s="1"/>
  <c r="V31" i="34"/>
  <c r="U31" i="34"/>
  <c r="T31" i="34"/>
  <c r="S31" i="34"/>
  <c r="W31" i="34" s="1"/>
  <c r="X31" i="34" s="1"/>
  <c r="J31" i="34"/>
  <c r="I31" i="34"/>
  <c r="H31" i="34"/>
  <c r="G31" i="34"/>
  <c r="K31" i="34" s="1"/>
  <c r="L31" i="34" s="1"/>
  <c r="V30" i="34"/>
  <c r="U30" i="34"/>
  <c r="T30" i="34"/>
  <c r="S30" i="34"/>
  <c r="W30" i="34" s="1"/>
  <c r="X30" i="34" s="1"/>
  <c r="J30" i="34"/>
  <c r="I30" i="34"/>
  <c r="H30" i="34"/>
  <c r="G30" i="34"/>
  <c r="K30" i="34" s="1"/>
  <c r="L30" i="34" s="1"/>
  <c r="V29" i="34"/>
  <c r="U29" i="34"/>
  <c r="T29" i="34"/>
  <c r="S29" i="34"/>
  <c r="W29" i="34" s="1"/>
  <c r="X29" i="34" s="1"/>
  <c r="J29" i="34"/>
  <c r="I29" i="34"/>
  <c r="H29" i="34"/>
  <c r="G29" i="34"/>
  <c r="K29" i="34" s="1"/>
  <c r="L29" i="34" s="1"/>
  <c r="V28" i="34"/>
  <c r="U28" i="34"/>
  <c r="T28" i="34"/>
  <c r="S28" i="34"/>
  <c r="W28" i="34" s="1"/>
  <c r="X28" i="34" s="1"/>
  <c r="J28" i="34"/>
  <c r="I28" i="34"/>
  <c r="H28" i="34"/>
  <c r="G28" i="34"/>
  <c r="K28" i="34" s="1"/>
  <c r="L28" i="34" s="1"/>
  <c r="V27" i="34"/>
  <c r="U27" i="34"/>
  <c r="T27" i="34"/>
  <c r="S27" i="34"/>
  <c r="W27" i="34" s="1"/>
  <c r="X27" i="34" s="1"/>
  <c r="J27" i="34"/>
  <c r="I27" i="34"/>
  <c r="H27" i="34"/>
  <c r="G27" i="34"/>
  <c r="K27" i="34" s="1"/>
  <c r="L27" i="34" s="1"/>
  <c r="V26" i="34"/>
  <c r="U26" i="34"/>
  <c r="T26" i="34"/>
  <c r="S26" i="34"/>
  <c r="W26" i="34" s="1"/>
  <c r="X26" i="34" s="1"/>
  <c r="J26" i="34"/>
  <c r="I26" i="34"/>
  <c r="H26" i="34"/>
  <c r="G26" i="34"/>
  <c r="K26" i="34" s="1"/>
  <c r="L26" i="34" s="1"/>
  <c r="V25" i="34"/>
  <c r="U25" i="34"/>
  <c r="T25" i="34"/>
  <c r="S25" i="34"/>
  <c r="W25" i="34" s="1"/>
  <c r="X25" i="34" s="1"/>
  <c r="J25" i="34"/>
  <c r="I25" i="34"/>
  <c r="H25" i="34"/>
  <c r="G25" i="34"/>
  <c r="K25" i="34" s="1"/>
  <c r="L25" i="34" s="1"/>
  <c r="V24" i="34"/>
  <c r="U24" i="34"/>
  <c r="T24" i="34"/>
  <c r="S24" i="34"/>
  <c r="W24" i="34" s="1"/>
  <c r="X24" i="34" s="1"/>
  <c r="K24" i="34"/>
  <c r="L24" i="34" s="1"/>
  <c r="J24" i="34"/>
  <c r="I24" i="34"/>
  <c r="H24" i="34"/>
  <c r="G24" i="34"/>
  <c r="V23" i="34"/>
  <c r="U23" i="34"/>
  <c r="T23" i="34"/>
  <c r="S23" i="34"/>
  <c r="W23" i="34" s="1"/>
  <c r="X23" i="34" s="1"/>
  <c r="J23" i="34"/>
  <c r="I23" i="34"/>
  <c r="H23" i="34"/>
  <c r="G23" i="34"/>
  <c r="K23" i="34" s="1"/>
  <c r="L23" i="34" s="1"/>
  <c r="V22" i="34"/>
  <c r="U22" i="34"/>
  <c r="T22" i="34"/>
  <c r="S22" i="34"/>
  <c r="W22" i="34" s="1"/>
  <c r="X22" i="34" s="1"/>
  <c r="J22" i="34"/>
  <c r="I22" i="34"/>
  <c r="H22" i="34"/>
  <c r="G22" i="34"/>
  <c r="K22" i="34" s="1"/>
  <c r="L22" i="34" s="1"/>
  <c r="V21" i="34"/>
  <c r="U21" i="34"/>
  <c r="T21" i="34"/>
  <c r="S21" i="34"/>
  <c r="W21" i="34" s="1"/>
  <c r="X21" i="34" s="1"/>
  <c r="J21" i="34"/>
  <c r="I21" i="34"/>
  <c r="H21" i="34"/>
  <c r="G21" i="34"/>
  <c r="K21" i="34" s="1"/>
  <c r="L21" i="34" s="1"/>
  <c r="V20" i="34"/>
  <c r="U20" i="34"/>
  <c r="T20" i="34"/>
  <c r="S20" i="34"/>
  <c r="W20" i="34" s="1"/>
  <c r="X20" i="34" s="1"/>
  <c r="J20" i="34"/>
  <c r="I20" i="34"/>
  <c r="H20" i="34"/>
  <c r="G20" i="34"/>
  <c r="K20" i="34" s="1"/>
  <c r="L20" i="34" s="1"/>
  <c r="V19" i="34"/>
  <c r="U19" i="34"/>
  <c r="T19" i="34"/>
  <c r="S19" i="34"/>
  <c r="W19" i="34" s="1"/>
  <c r="X19" i="34" s="1"/>
  <c r="J19" i="34"/>
  <c r="I19" i="34"/>
  <c r="H19" i="34"/>
  <c r="G19" i="34"/>
  <c r="K19" i="34" s="1"/>
  <c r="L19" i="34" s="1"/>
  <c r="V18" i="34"/>
  <c r="U18" i="34"/>
  <c r="T18" i="34"/>
  <c r="S18" i="34"/>
  <c r="W18" i="34" s="1"/>
  <c r="X18" i="34" s="1"/>
  <c r="J18" i="34"/>
  <c r="I18" i="34"/>
  <c r="H18" i="34"/>
  <c r="G18" i="34"/>
  <c r="K18" i="34" s="1"/>
  <c r="L18" i="34" s="1"/>
  <c r="V17" i="34"/>
  <c r="U17" i="34"/>
  <c r="T17" i="34"/>
  <c r="S17" i="34"/>
  <c r="W17" i="34" s="1"/>
  <c r="X17" i="34" s="1"/>
  <c r="J17" i="34"/>
  <c r="I17" i="34"/>
  <c r="H17" i="34"/>
  <c r="G17" i="34"/>
  <c r="K17" i="34" s="1"/>
  <c r="L17" i="34" s="1"/>
  <c r="V16" i="34"/>
  <c r="U16" i="34"/>
  <c r="T16" i="34"/>
  <c r="S16" i="34"/>
  <c r="W16" i="34" s="1"/>
  <c r="X16" i="34" s="1"/>
  <c r="J16" i="34"/>
  <c r="I16" i="34"/>
  <c r="H16" i="34"/>
  <c r="G16" i="34"/>
  <c r="K16" i="34" s="1"/>
  <c r="L16" i="34" s="1"/>
  <c r="V15" i="34"/>
  <c r="U15" i="34"/>
  <c r="T15" i="34"/>
  <c r="S15" i="34"/>
  <c r="W15" i="34" s="1"/>
  <c r="X15" i="34" s="1"/>
  <c r="J15" i="34"/>
  <c r="I15" i="34"/>
  <c r="H15" i="34"/>
  <c r="G15" i="34"/>
  <c r="K15" i="34" s="1"/>
  <c r="L15" i="34" s="1"/>
  <c r="V14" i="34"/>
  <c r="U14" i="34"/>
  <c r="T14" i="34"/>
  <c r="S14" i="34"/>
  <c r="W14" i="34" s="1"/>
  <c r="X14" i="34" s="1"/>
  <c r="J14" i="34"/>
  <c r="I14" i="34"/>
  <c r="H14" i="34"/>
  <c r="G14" i="34"/>
  <c r="K14" i="34" s="1"/>
  <c r="L14" i="34" s="1"/>
  <c r="D146" i="33"/>
  <c r="E146" i="33" s="1"/>
  <c r="D145" i="33"/>
  <c r="E145" i="33" s="1"/>
  <c r="D144" i="33"/>
  <c r="E144" i="33" s="1"/>
  <c r="D143" i="33"/>
  <c r="E143" i="33" s="1"/>
  <c r="D142" i="33"/>
  <c r="E142" i="33" s="1"/>
  <c r="D141" i="33"/>
  <c r="E141" i="33" s="1"/>
  <c r="D140" i="33"/>
  <c r="E140" i="33" s="1"/>
  <c r="D139" i="33"/>
  <c r="E139" i="33" s="1"/>
  <c r="D138" i="33"/>
  <c r="E138" i="33" s="1"/>
  <c r="D137" i="33"/>
  <c r="E137" i="33" s="1"/>
  <c r="D136" i="33"/>
  <c r="E136" i="33" s="1"/>
  <c r="D135" i="33"/>
  <c r="E135" i="33" s="1"/>
  <c r="I134" i="33"/>
  <c r="J134" i="33" s="1"/>
  <c r="D134" i="33"/>
  <c r="E134" i="33" s="1"/>
  <c r="I133" i="33"/>
  <c r="J133" i="33" s="1"/>
  <c r="D133" i="33"/>
  <c r="E133" i="33" s="1"/>
  <c r="I132" i="33"/>
  <c r="J132" i="33" s="1"/>
  <c r="D132" i="33"/>
  <c r="E132" i="33" s="1"/>
  <c r="I131" i="33"/>
  <c r="J131" i="33" s="1"/>
  <c r="D131" i="33"/>
  <c r="E131" i="33" s="1"/>
  <c r="I130" i="33"/>
  <c r="J130" i="33" s="1"/>
  <c r="D130" i="33"/>
  <c r="E130" i="33" s="1"/>
  <c r="I129" i="33"/>
  <c r="J129" i="33" s="1"/>
  <c r="D129" i="33"/>
  <c r="E129" i="33" s="1"/>
  <c r="I128" i="33"/>
  <c r="J128" i="33" s="1"/>
  <c r="D128" i="33"/>
  <c r="E128" i="33" s="1"/>
  <c r="I127" i="33"/>
  <c r="J127" i="33" s="1"/>
  <c r="D127" i="33"/>
  <c r="E127" i="33" s="1"/>
  <c r="I126" i="33"/>
  <c r="J126" i="33" s="1"/>
  <c r="D126" i="33"/>
  <c r="E126" i="33" s="1"/>
  <c r="I125" i="33"/>
  <c r="J125" i="33" s="1"/>
  <c r="D125" i="33"/>
  <c r="E125" i="33" s="1"/>
  <c r="I124" i="33"/>
  <c r="J124" i="33" s="1"/>
  <c r="D124" i="33"/>
  <c r="E124" i="33" s="1"/>
  <c r="I123" i="33"/>
  <c r="J123" i="33" s="1"/>
  <c r="D123" i="33"/>
  <c r="E123" i="33" s="1"/>
  <c r="I122" i="33"/>
  <c r="J122" i="33" s="1"/>
  <c r="D122" i="33"/>
  <c r="E122" i="33" s="1"/>
  <c r="I121" i="33"/>
  <c r="J121" i="33" s="1"/>
  <c r="D121" i="33"/>
  <c r="E121" i="33" s="1"/>
  <c r="I120" i="33"/>
  <c r="J120" i="33" s="1"/>
  <c r="D120" i="33"/>
  <c r="E120" i="33" s="1"/>
  <c r="I119" i="33"/>
  <c r="J119" i="33" s="1"/>
  <c r="D119" i="33"/>
  <c r="E119" i="33" s="1"/>
  <c r="I118" i="33"/>
  <c r="J118" i="33" s="1"/>
  <c r="D118" i="33"/>
  <c r="E118" i="33" s="1"/>
  <c r="I117" i="33"/>
  <c r="J117" i="33" s="1"/>
  <c r="D117" i="33"/>
  <c r="E117" i="33" s="1"/>
  <c r="I116" i="33"/>
  <c r="J116" i="33" s="1"/>
  <c r="D116" i="33"/>
  <c r="E116" i="33" s="1"/>
  <c r="I115" i="33"/>
  <c r="J115" i="33" s="1"/>
  <c r="D115" i="33"/>
  <c r="E115" i="33" s="1"/>
  <c r="I114" i="33"/>
  <c r="J114" i="33" s="1"/>
  <c r="D114" i="33"/>
  <c r="E114" i="33" s="1"/>
  <c r="I113" i="33"/>
  <c r="J113" i="33" s="1"/>
  <c r="D113" i="33"/>
  <c r="E113" i="33" s="1"/>
  <c r="I112" i="33"/>
  <c r="J112" i="33" s="1"/>
  <c r="D112" i="33"/>
  <c r="E112" i="33" s="1"/>
  <c r="I111" i="33"/>
  <c r="J111" i="33" s="1"/>
  <c r="D111" i="33"/>
  <c r="E111" i="33" s="1"/>
  <c r="I110" i="33"/>
  <c r="J110" i="33" s="1"/>
  <c r="D110" i="33"/>
  <c r="E110" i="33" s="1"/>
  <c r="I109" i="33"/>
  <c r="J109" i="33" s="1"/>
  <c r="D109" i="33"/>
  <c r="E109" i="33" s="1"/>
  <c r="I108" i="33"/>
  <c r="J108" i="33" s="1"/>
  <c r="D108" i="33"/>
  <c r="E108" i="33" s="1"/>
  <c r="I107" i="33"/>
  <c r="J107" i="33" s="1"/>
  <c r="D107" i="33"/>
  <c r="E107" i="33" s="1"/>
  <c r="I106" i="33"/>
  <c r="J106" i="33" s="1"/>
  <c r="D106" i="33"/>
  <c r="E106" i="33" s="1"/>
  <c r="I105" i="33"/>
  <c r="J105" i="33" s="1"/>
  <c r="D105" i="33"/>
  <c r="E105" i="33" s="1"/>
  <c r="I104" i="33"/>
  <c r="J104" i="33" s="1"/>
  <c r="D104" i="33"/>
  <c r="E104" i="33" s="1"/>
  <c r="I103" i="33"/>
  <c r="J103" i="33" s="1"/>
  <c r="D103" i="33"/>
  <c r="E103" i="33" s="1"/>
  <c r="I102" i="33"/>
  <c r="J102" i="33" s="1"/>
  <c r="D102" i="33"/>
  <c r="E102" i="33" s="1"/>
  <c r="I101" i="33"/>
  <c r="J101" i="33" s="1"/>
  <c r="D101" i="33"/>
  <c r="E101" i="33" s="1"/>
  <c r="I100" i="33"/>
  <c r="J100" i="33" s="1"/>
  <c r="D100" i="33"/>
  <c r="E100" i="33" s="1"/>
  <c r="I99" i="33"/>
  <c r="J99" i="33" s="1"/>
  <c r="D99" i="33"/>
  <c r="E99" i="33" s="1"/>
  <c r="I98" i="33"/>
  <c r="J98" i="33" s="1"/>
  <c r="D98" i="33"/>
  <c r="E98" i="33" s="1"/>
  <c r="I97" i="33"/>
  <c r="J97" i="33" s="1"/>
  <c r="D97" i="33"/>
  <c r="E97" i="33" s="1"/>
  <c r="I96" i="33"/>
  <c r="J96" i="33" s="1"/>
  <c r="D96" i="33"/>
  <c r="E96" i="33" s="1"/>
  <c r="I95" i="33"/>
  <c r="J95" i="33" s="1"/>
  <c r="D95" i="33"/>
  <c r="E95" i="33" s="1"/>
  <c r="I94" i="33"/>
  <c r="J94" i="33" s="1"/>
  <c r="D94" i="33"/>
  <c r="E94" i="33" s="1"/>
  <c r="I93" i="33"/>
  <c r="J93" i="33" s="1"/>
  <c r="D93" i="33"/>
  <c r="E93" i="33" s="1"/>
  <c r="I92" i="33"/>
  <c r="J92" i="33" s="1"/>
  <c r="D92" i="33"/>
  <c r="E92" i="33" s="1"/>
  <c r="I91" i="33"/>
  <c r="J91" i="33" s="1"/>
  <c r="D91" i="33"/>
  <c r="E91" i="33" s="1"/>
  <c r="I90" i="33"/>
  <c r="J90" i="33" s="1"/>
  <c r="D90" i="33"/>
  <c r="E90" i="33" s="1"/>
  <c r="I89" i="33"/>
  <c r="J89" i="33" s="1"/>
  <c r="D89" i="33"/>
  <c r="E89" i="33" s="1"/>
  <c r="I88" i="33"/>
  <c r="J88" i="33" s="1"/>
  <c r="D88" i="33"/>
  <c r="E88" i="33" s="1"/>
  <c r="I87" i="33"/>
  <c r="J87" i="33" s="1"/>
  <c r="D87" i="33"/>
  <c r="E87" i="33" s="1"/>
  <c r="I86" i="33"/>
  <c r="J86" i="33" s="1"/>
  <c r="D86" i="33"/>
  <c r="E86" i="33" s="1"/>
  <c r="I85" i="33"/>
  <c r="J85" i="33" s="1"/>
  <c r="D85" i="33"/>
  <c r="E85" i="33" s="1"/>
  <c r="I84" i="33"/>
  <c r="J84" i="33" s="1"/>
  <c r="D84" i="33"/>
  <c r="E84" i="33" s="1"/>
  <c r="I83" i="33"/>
  <c r="J83" i="33" s="1"/>
  <c r="D83" i="33"/>
  <c r="E83" i="33" s="1"/>
  <c r="I82" i="33"/>
  <c r="J82" i="33" s="1"/>
  <c r="D82" i="33"/>
  <c r="E82" i="33" s="1"/>
  <c r="I81" i="33"/>
  <c r="J81" i="33" s="1"/>
  <c r="D81" i="33"/>
  <c r="E81" i="33" s="1"/>
  <c r="I80" i="33"/>
  <c r="J80" i="33" s="1"/>
  <c r="D80" i="33"/>
  <c r="E80" i="33" s="1"/>
  <c r="I79" i="33"/>
  <c r="J79" i="33" s="1"/>
  <c r="D79" i="33"/>
  <c r="E79" i="33" s="1"/>
  <c r="I78" i="33"/>
  <c r="J78" i="33" s="1"/>
  <c r="D78" i="33"/>
  <c r="E78" i="33" s="1"/>
  <c r="I77" i="33"/>
  <c r="J77" i="33" s="1"/>
  <c r="D77" i="33"/>
  <c r="E77" i="33" s="1"/>
  <c r="I76" i="33"/>
  <c r="J76" i="33" s="1"/>
  <c r="D76" i="33"/>
  <c r="E76" i="33" s="1"/>
  <c r="I75" i="33"/>
  <c r="J75" i="33" s="1"/>
  <c r="D75" i="33"/>
  <c r="E75" i="33" s="1"/>
  <c r="I74" i="33"/>
  <c r="J74" i="33" s="1"/>
  <c r="D74" i="33"/>
  <c r="E74" i="33" s="1"/>
  <c r="I73" i="33"/>
  <c r="J73" i="33" s="1"/>
  <c r="D73" i="33"/>
  <c r="E73" i="33" s="1"/>
  <c r="I72" i="33"/>
  <c r="J72" i="33" s="1"/>
  <c r="D72" i="33"/>
  <c r="E72" i="33" s="1"/>
  <c r="I71" i="33"/>
  <c r="J71" i="33" s="1"/>
  <c r="D71" i="33"/>
  <c r="E71" i="33" s="1"/>
  <c r="I70" i="33"/>
  <c r="J70" i="33" s="1"/>
  <c r="D70" i="33"/>
  <c r="E70" i="33" s="1"/>
  <c r="I69" i="33"/>
  <c r="J69" i="33" s="1"/>
  <c r="D69" i="33"/>
  <c r="E69" i="33" s="1"/>
  <c r="I68" i="33"/>
  <c r="J68" i="33" s="1"/>
  <c r="D68" i="33"/>
  <c r="E68" i="33" s="1"/>
  <c r="I67" i="33"/>
  <c r="J67" i="33" s="1"/>
  <c r="D67" i="33"/>
  <c r="E67" i="33" s="1"/>
  <c r="I66" i="33"/>
  <c r="J66" i="33" s="1"/>
  <c r="D66" i="33"/>
  <c r="E66" i="33" s="1"/>
  <c r="I65" i="33"/>
  <c r="J65" i="33" s="1"/>
  <c r="D65" i="33"/>
  <c r="E65" i="33" s="1"/>
  <c r="I64" i="33"/>
  <c r="J64" i="33" s="1"/>
  <c r="D64" i="33"/>
  <c r="E64" i="33" s="1"/>
  <c r="I63" i="33"/>
  <c r="J63" i="33" s="1"/>
  <c r="D63" i="33"/>
  <c r="E63" i="33" s="1"/>
  <c r="I62" i="33"/>
  <c r="J62" i="33" s="1"/>
  <c r="D62" i="33"/>
  <c r="E62" i="33" s="1"/>
  <c r="I61" i="33"/>
  <c r="J61" i="33" s="1"/>
  <c r="D61" i="33"/>
  <c r="E61" i="33" s="1"/>
  <c r="I60" i="33"/>
  <c r="J60" i="33" s="1"/>
  <c r="D60" i="33"/>
  <c r="E60" i="33" s="1"/>
  <c r="I59" i="33"/>
  <c r="J59" i="33" s="1"/>
  <c r="D59" i="33"/>
  <c r="E59" i="33" s="1"/>
  <c r="I58" i="33"/>
  <c r="J58" i="33" s="1"/>
  <c r="D58" i="33"/>
  <c r="E58" i="33" s="1"/>
  <c r="I57" i="33"/>
  <c r="J57" i="33" s="1"/>
  <c r="D57" i="33"/>
  <c r="E57" i="33" s="1"/>
  <c r="I56" i="33"/>
  <c r="J56" i="33" s="1"/>
  <c r="D56" i="33"/>
  <c r="E56" i="33" s="1"/>
  <c r="I55" i="33"/>
  <c r="J55" i="33" s="1"/>
  <c r="D55" i="33"/>
  <c r="E55" i="33" s="1"/>
  <c r="I54" i="33"/>
  <c r="J54" i="33" s="1"/>
  <c r="D54" i="33"/>
  <c r="E54" i="33" s="1"/>
  <c r="I53" i="33"/>
  <c r="J53" i="33" s="1"/>
  <c r="D53" i="33"/>
  <c r="E53" i="33" s="1"/>
  <c r="I52" i="33"/>
  <c r="J52" i="33" s="1"/>
  <c r="D52" i="33"/>
  <c r="E52" i="33" s="1"/>
  <c r="I51" i="33"/>
  <c r="J51" i="33" s="1"/>
  <c r="D51" i="33"/>
  <c r="E51" i="33" s="1"/>
  <c r="I50" i="33"/>
  <c r="J50" i="33" s="1"/>
  <c r="D50" i="33"/>
  <c r="E50" i="33" s="1"/>
  <c r="I49" i="33"/>
  <c r="J49" i="33" s="1"/>
  <c r="D49" i="33"/>
  <c r="E49" i="33" s="1"/>
  <c r="I48" i="33"/>
  <c r="J48" i="33" s="1"/>
  <c r="D48" i="33"/>
  <c r="E48" i="33" s="1"/>
  <c r="I47" i="33"/>
  <c r="J47" i="33" s="1"/>
  <c r="D47" i="33"/>
  <c r="E47" i="33" s="1"/>
  <c r="I46" i="33"/>
  <c r="J46" i="33" s="1"/>
  <c r="D46" i="33"/>
  <c r="E46" i="33" s="1"/>
  <c r="I45" i="33"/>
  <c r="J45" i="33" s="1"/>
  <c r="D45" i="33"/>
  <c r="E45" i="33" s="1"/>
  <c r="I44" i="33"/>
  <c r="J44" i="33" s="1"/>
  <c r="D44" i="33"/>
  <c r="E44" i="33" s="1"/>
  <c r="I43" i="33"/>
  <c r="J43" i="33" s="1"/>
  <c r="D43" i="33"/>
  <c r="E43" i="33" s="1"/>
  <c r="I42" i="33"/>
  <c r="J42" i="33" s="1"/>
  <c r="D42" i="33"/>
  <c r="E42" i="33" s="1"/>
  <c r="I41" i="33"/>
  <c r="J41" i="33" s="1"/>
  <c r="D41" i="33"/>
  <c r="E41" i="33" s="1"/>
  <c r="I40" i="33"/>
  <c r="J40" i="33" s="1"/>
  <c r="D40" i="33"/>
  <c r="E40" i="33" s="1"/>
  <c r="I39" i="33"/>
  <c r="J39" i="33" s="1"/>
  <c r="D39" i="33"/>
  <c r="E39" i="33" s="1"/>
  <c r="I38" i="33"/>
  <c r="J38" i="33" s="1"/>
  <c r="D38" i="33"/>
  <c r="E38" i="33" s="1"/>
  <c r="I37" i="33"/>
  <c r="J37" i="33" s="1"/>
  <c r="D37" i="33"/>
  <c r="E37" i="33" s="1"/>
  <c r="I36" i="33"/>
  <c r="J36" i="33" s="1"/>
  <c r="D36" i="33"/>
  <c r="E36" i="33" s="1"/>
  <c r="I35" i="33"/>
  <c r="J35" i="33" s="1"/>
  <c r="D35" i="33"/>
  <c r="E35" i="33" s="1"/>
  <c r="I34" i="33"/>
  <c r="J34" i="33" s="1"/>
  <c r="D34" i="33"/>
  <c r="E34" i="33" s="1"/>
  <c r="I33" i="33"/>
  <c r="J33" i="33" s="1"/>
  <c r="D33" i="33"/>
  <c r="E33" i="33" s="1"/>
  <c r="I32" i="33"/>
  <c r="J32" i="33" s="1"/>
  <c r="D32" i="33"/>
  <c r="E32" i="33" s="1"/>
  <c r="I31" i="33"/>
  <c r="J31" i="33" s="1"/>
  <c r="D31" i="33"/>
  <c r="E31" i="33" s="1"/>
  <c r="I30" i="33"/>
  <c r="J30" i="33" s="1"/>
  <c r="D30" i="33"/>
  <c r="E30" i="33" s="1"/>
  <c r="I29" i="33"/>
  <c r="J29" i="33" s="1"/>
  <c r="D29" i="33"/>
  <c r="E29" i="33" s="1"/>
  <c r="I28" i="33"/>
  <c r="J28" i="33" s="1"/>
  <c r="D28" i="33"/>
  <c r="E28" i="33" s="1"/>
  <c r="I27" i="33"/>
  <c r="J27" i="33" s="1"/>
  <c r="D27" i="33"/>
  <c r="E27" i="33" s="1"/>
  <c r="I26" i="33"/>
  <c r="J26" i="33" s="1"/>
  <c r="D26" i="33"/>
  <c r="E26" i="33" s="1"/>
  <c r="I25" i="33"/>
  <c r="J25" i="33" s="1"/>
  <c r="D25" i="33"/>
  <c r="E25" i="33" s="1"/>
  <c r="I24" i="33"/>
  <c r="J24" i="33" s="1"/>
  <c r="D24" i="33"/>
  <c r="E24" i="33" s="1"/>
  <c r="I23" i="33"/>
  <c r="J23" i="33" s="1"/>
  <c r="D23" i="33"/>
  <c r="E23" i="33" s="1"/>
  <c r="I22" i="33"/>
  <c r="J22" i="33" s="1"/>
  <c r="D22" i="33"/>
  <c r="E22" i="33" s="1"/>
  <c r="I21" i="33"/>
  <c r="J21" i="33" s="1"/>
  <c r="D21" i="33"/>
  <c r="E21" i="33" s="1"/>
  <c r="I20" i="33"/>
  <c r="J20" i="33" s="1"/>
  <c r="D20" i="33"/>
  <c r="E20" i="33" s="1"/>
  <c r="I19" i="33"/>
  <c r="J19" i="33" s="1"/>
  <c r="D19" i="33"/>
  <c r="E19" i="33" s="1"/>
  <c r="I18" i="33"/>
  <c r="J18" i="33" s="1"/>
  <c r="D18" i="33"/>
  <c r="E18" i="33" s="1"/>
  <c r="I17" i="33"/>
  <c r="J17" i="33" s="1"/>
  <c r="D17" i="33"/>
  <c r="E17" i="33" s="1"/>
  <c r="I16" i="33"/>
  <c r="J16" i="33" s="1"/>
  <c r="D16" i="33"/>
  <c r="E16" i="33" s="1"/>
  <c r="I15" i="33"/>
  <c r="J15" i="33" s="1"/>
  <c r="D15" i="33"/>
  <c r="E15" i="33" s="1"/>
  <c r="I14" i="33"/>
  <c r="J14" i="33" s="1"/>
  <c r="D14" i="33"/>
  <c r="E14" i="33" s="1"/>
  <c r="I13" i="33"/>
  <c r="J13" i="33" s="1"/>
  <c r="D13" i="33"/>
  <c r="E13" i="33" s="1"/>
  <c r="I12" i="33"/>
  <c r="J12" i="33" s="1"/>
  <c r="D12" i="33"/>
  <c r="E12" i="33" s="1"/>
  <c r="I11" i="33"/>
  <c r="J11" i="33" s="1"/>
  <c r="D11" i="33"/>
  <c r="E11" i="33" s="1"/>
  <c r="I10" i="33"/>
  <c r="J10" i="33" s="1"/>
  <c r="D10" i="33"/>
  <c r="E10" i="33" s="1"/>
  <c r="I9" i="33"/>
  <c r="J9" i="33" s="1"/>
  <c r="D9" i="33"/>
  <c r="E9" i="33" s="1"/>
  <c r="I8" i="33"/>
  <c r="J8" i="33" s="1"/>
  <c r="D8" i="33"/>
  <c r="E8" i="33" s="1"/>
  <c r="I7" i="33"/>
  <c r="J7" i="33" s="1"/>
  <c r="D7" i="33"/>
  <c r="E7" i="33" s="1"/>
  <c r="I6" i="33"/>
  <c r="J6" i="33" s="1"/>
  <c r="D6" i="33"/>
  <c r="E6" i="33" s="1"/>
  <c r="I5" i="33"/>
  <c r="J5" i="33" s="1"/>
  <c r="D5" i="33"/>
  <c r="E5" i="33" s="1"/>
  <c r="E11" i="13"/>
  <c r="E12" i="13"/>
  <c r="E13" i="13"/>
  <c r="E14" i="13"/>
  <c r="E15" i="13"/>
  <c r="E16" i="13"/>
  <c r="G11" i="13"/>
  <c r="G12" i="13"/>
  <c r="G13" i="13"/>
  <c r="G14" i="13"/>
  <c r="G15" i="13"/>
  <c r="G16" i="13"/>
  <c r="E35" i="13"/>
  <c r="F14" i="13"/>
  <c r="F15" i="13"/>
  <c r="F16" i="13"/>
  <c r="F12" i="13"/>
  <c r="D16" i="13"/>
  <c r="D15" i="13"/>
  <c r="D14" i="13"/>
  <c r="D13" i="13"/>
  <c r="D12" i="13"/>
  <c r="F11" i="13"/>
  <c r="D11" i="13"/>
  <c r="K19" i="35" l="1"/>
  <c r="L19" i="35" s="1"/>
  <c r="K22" i="35"/>
  <c r="L22" i="35" s="1"/>
  <c r="K25" i="35"/>
  <c r="L25" i="35" s="1"/>
  <c r="K28" i="35"/>
  <c r="L28" i="35" s="1"/>
  <c r="K31" i="35"/>
  <c r="L31" i="35" s="1"/>
  <c r="K34" i="35"/>
  <c r="L34" i="35" s="1"/>
  <c r="K37" i="35"/>
  <c r="L37" i="35" s="1"/>
  <c r="K40" i="35"/>
  <c r="L40" i="35" s="1"/>
  <c r="K43" i="35"/>
  <c r="L43" i="35" s="1"/>
  <c r="K46" i="35"/>
  <c r="L46" i="35" s="1"/>
  <c r="K49" i="35"/>
  <c r="L49" i="35" s="1"/>
  <c r="K52" i="35"/>
  <c r="L52" i="35" s="1"/>
  <c r="K55" i="35"/>
  <c r="L55" i="35" s="1"/>
  <c r="K20" i="35"/>
  <c r="L20" i="35" s="1"/>
  <c r="K23" i="35"/>
  <c r="L23" i="35" s="1"/>
  <c r="K26" i="35"/>
  <c r="L26" i="35" s="1"/>
  <c r="K29" i="35"/>
  <c r="L29" i="35" s="1"/>
  <c r="K32" i="35"/>
  <c r="L32" i="35" s="1"/>
  <c r="K35" i="35"/>
  <c r="L35" i="35" s="1"/>
  <c r="K38" i="35"/>
  <c r="L38" i="35" s="1"/>
  <c r="K41" i="35"/>
  <c r="L41" i="35" s="1"/>
  <c r="K44" i="35"/>
  <c r="L44" i="35" s="1"/>
  <c r="K47" i="35"/>
  <c r="L47" i="35" s="1"/>
  <c r="K50" i="35"/>
  <c r="L50" i="35" s="1"/>
  <c r="K53" i="35"/>
  <c r="L53" i="35" s="1"/>
  <c r="K56" i="35"/>
  <c r="L56" i="35" s="1"/>
  <c r="W14" i="35"/>
  <c r="X14" i="35" s="1"/>
  <c r="W17" i="35"/>
  <c r="X17" i="35" s="1"/>
  <c r="K18" i="35"/>
  <c r="L18" i="35" s="1"/>
  <c r="K21" i="35"/>
  <c r="L21" i="35" s="1"/>
  <c r="K24" i="35"/>
  <c r="L24" i="35" s="1"/>
  <c r="K27" i="35"/>
  <c r="L27" i="35" s="1"/>
  <c r="K30" i="35"/>
  <c r="L30" i="35" s="1"/>
  <c r="K33" i="35"/>
  <c r="L33" i="35" s="1"/>
  <c r="K36" i="35"/>
  <c r="L36" i="35" s="1"/>
  <c r="K39" i="35"/>
  <c r="L39" i="35" s="1"/>
  <c r="K42" i="35"/>
  <c r="L42" i="35" s="1"/>
  <c r="K45" i="35"/>
  <c r="L45" i="35" s="1"/>
  <c r="K48" i="35"/>
  <c r="L48" i="35" s="1"/>
  <c r="K51" i="35"/>
  <c r="L51" i="35" s="1"/>
  <c r="K54" i="35"/>
  <c r="L54" i="35" s="1"/>
  <c r="W67" i="35"/>
  <c r="X67" i="35" s="1"/>
  <c r="W16" i="35"/>
  <c r="X16" i="35" s="1"/>
  <c r="R80" i="32"/>
  <c r="R91" i="32"/>
  <c r="R88" i="32"/>
  <c r="R87" i="32"/>
  <c r="R98" i="32"/>
  <c r="R97" i="32"/>
  <c r="R85" i="32"/>
  <c r="R84" i="32"/>
  <c r="R90" i="32"/>
  <c r="R89" i="32"/>
  <c r="R86" i="32"/>
  <c r="R96" i="32"/>
  <c r="R78" i="32"/>
  <c r="R95" i="32"/>
  <c r="R83" i="32"/>
  <c r="R94" i="32"/>
  <c r="R82" i="32"/>
  <c r="R93" i="32"/>
  <c r="R81" i="32"/>
  <c r="R92" i="32"/>
  <c r="R79" i="32"/>
  <c r="R77" i="32"/>
  <c r="P81" i="32"/>
  <c r="P89" i="32"/>
  <c r="P97" i="32"/>
  <c r="P82" i="32"/>
  <c r="P90" i="32"/>
  <c r="P98" i="32"/>
  <c r="P91" i="32"/>
  <c r="P86" i="32"/>
  <c r="P83" i="32"/>
  <c r="P84" i="32"/>
  <c r="P92" i="32"/>
  <c r="P77" i="32"/>
  <c r="P85" i="32"/>
  <c r="P94" i="32"/>
  <c r="P93" i="32"/>
  <c r="P78" i="32"/>
  <c r="P80" i="32"/>
  <c r="P87" i="32"/>
  <c r="P88" i="32"/>
  <c r="P79" i="32"/>
  <c r="P95" i="32"/>
  <c r="P96" i="32"/>
  <c r="Q79" i="32"/>
  <c r="Q87" i="32"/>
  <c r="Q95" i="32"/>
  <c r="Q80" i="32"/>
  <c r="Q88" i="32"/>
  <c r="Q96" i="32"/>
  <c r="Q77" i="32"/>
  <c r="Q89" i="32"/>
  <c r="Q78" i="32"/>
  <c r="Q90" i="32"/>
  <c r="Q94" i="32"/>
  <c r="Q81" i="32"/>
  <c r="Q91" i="32"/>
  <c r="Q82" i="32"/>
  <c r="Q92" i="32"/>
  <c r="Q83" i="32"/>
  <c r="Q93" i="32"/>
  <c r="Q84" i="32"/>
  <c r="Q86" i="32"/>
  <c r="Q85" i="32"/>
  <c r="Q97" i="32"/>
  <c r="Q98" i="32"/>
  <c r="O80" i="32"/>
  <c r="O88" i="32"/>
  <c r="O96" i="32"/>
  <c r="O89" i="32"/>
  <c r="O97" i="32"/>
  <c r="O91" i="32"/>
  <c r="O92" i="32"/>
  <c r="O81" i="32"/>
  <c r="O84" i="32"/>
  <c r="O82" i="32"/>
  <c r="O90" i="32"/>
  <c r="O98" i="32"/>
  <c r="O83" i="32"/>
  <c r="O94" i="32"/>
  <c r="O77" i="32"/>
  <c r="O95" i="32"/>
  <c r="O78" i="32"/>
  <c r="O93" i="32"/>
  <c r="O79" i="32"/>
  <c r="O86" i="32"/>
  <c r="O85" i="32"/>
  <c r="O87" i="32"/>
  <c r="W15" i="35"/>
  <c r="X15" i="35" s="1"/>
  <c r="W18" i="35"/>
  <c r="X18" i="35" s="1"/>
  <c r="W19" i="35"/>
  <c r="X19" i="35" s="1"/>
  <c r="W21" i="35"/>
  <c r="X21" i="35" s="1"/>
  <c r="W22" i="35"/>
  <c r="X22" i="35" s="1"/>
  <c r="W24" i="35"/>
  <c r="X24" i="35" s="1"/>
  <c r="W26" i="35"/>
  <c r="X26" i="35" s="1"/>
  <c r="W27" i="35"/>
  <c r="X27" i="35" s="1"/>
  <c r="W29" i="35"/>
  <c r="X29" i="35" s="1"/>
  <c r="W30" i="35"/>
  <c r="X30" i="35" s="1"/>
  <c r="W32" i="35"/>
  <c r="X32" i="35" s="1"/>
  <c r="W33" i="35"/>
  <c r="X33" i="35" s="1"/>
  <c r="W34" i="35"/>
  <c r="X34" i="35" s="1"/>
  <c r="W35" i="35"/>
  <c r="X35" i="35" s="1"/>
  <c r="W37" i="35"/>
  <c r="X37" i="35" s="1"/>
  <c r="W38" i="35"/>
  <c r="X38" i="35" s="1"/>
  <c r="W40" i="35"/>
  <c r="X40" i="35" s="1"/>
  <c r="W41" i="35"/>
  <c r="X41" i="35" s="1"/>
  <c r="W43" i="35"/>
  <c r="X43" i="35" s="1"/>
  <c r="W44" i="35"/>
  <c r="X44" i="35" s="1"/>
  <c r="W46" i="35"/>
  <c r="X46" i="35" s="1"/>
  <c r="W47" i="35"/>
  <c r="X47" i="35" s="1"/>
  <c r="W49" i="35"/>
  <c r="X49" i="35" s="1"/>
  <c r="W50" i="35"/>
  <c r="X50" i="35" s="1"/>
  <c r="W52" i="35"/>
  <c r="X52" i="35" s="1"/>
  <c r="W53" i="35"/>
  <c r="X53" i="35" s="1"/>
  <c r="W55" i="35"/>
  <c r="X55" i="35" s="1"/>
  <c r="W56" i="35"/>
  <c r="X56" i="35" s="1"/>
  <c r="W58" i="35"/>
  <c r="X58" i="35" s="1"/>
  <c r="W59" i="35"/>
  <c r="X59" i="35" s="1"/>
  <c r="W61" i="35"/>
  <c r="X61" i="35" s="1"/>
  <c r="W62" i="35"/>
  <c r="X62" i="35" s="1"/>
  <c r="W64" i="35"/>
  <c r="X64" i="35" s="1"/>
  <c r="W65" i="35"/>
  <c r="X65" i="35" s="1"/>
  <c r="W68" i="35"/>
  <c r="X68" i="35" s="1"/>
  <c r="W23" i="35"/>
  <c r="X23" i="35" s="1"/>
  <c r="W66" i="35"/>
  <c r="X66" i="35" s="1"/>
  <c r="W69" i="35"/>
  <c r="X69" i="35" s="1"/>
  <c r="K14" i="35"/>
  <c r="L14" i="35" s="1"/>
  <c r="K15" i="35"/>
  <c r="L15" i="35" s="1"/>
  <c r="K16" i="35"/>
  <c r="L16" i="35" s="1"/>
  <c r="K17" i="35"/>
  <c r="L17" i="35" s="1"/>
  <c r="W25" i="35"/>
  <c r="X25" i="35" s="1"/>
  <c r="W28" i="35"/>
  <c r="X28" i="35" s="1"/>
  <c r="W31" i="35"/>
  <c r="X31" i="35" s="1"/>
  <c r="W36" i="35"/>
  <c r="X36" i="35" s="1"/>
  <c r="W39" i="35"/>
  <c r="X39" i="35" s="1"/>
  <c r="W42" i="35"/>
  <c r="X42" i="35" s="1"/>
  <c r="W45" i="35"/>
  <c r="X45" i="35" s="1"/>
  <c r="W48" i="35"/>
  <c r="X48" i="35" s="1"/>
  <c r="W51" i="35"/>
  <c r="X51" i="35" s="1"/>
  <c r="W54" i="35"/>
  <c r="X54" i="35" s="1"/>
  <c r="W57" i="35"/>
  <c r="X57" i="35" s="1"/>
  <c r="W60" i="35"/>
  <c r="X60" i="35" s="1"/>
  <c r="W63" i="35"/>
  <c r="X63" i="35" s="1"/>
  <c r="W20" i="35"/>
  <c r="X20" i="35" s="1"/>
  <c r="O112" i="26" l="1"/>
  <c r="O136" i="26"/>
  <c r="O113" i="26"/>
  <c r="O137" i="26"/>
  <c r="O106" i="26"/>
  <c r="O114" i="26"/>
  <c r="O130" i="26"/>
  <c r="O138" i="26"/>
  <c r="O107" i="26"/>
  <c r="O115" i="26"/>
  <c r="O131" i="26"/>
  <c r="O108" i="26"/>
  <c r="O116" i="26"/>
  <c r="O132" i="26"/>
  <c r="O109" i="26"/>
  <c r="O117" i="26"/>
  <c r="O133" i="26"/>
  <c r="O110" i="26"/>
  <c r="O118" i="26"/>
  <c r="O134" i="26"/>
  <c r="O111" i="26"/>
  <c r="O135" i="26"/>
  <c r="Q110" i="26"/>
  <c r="Q118" i="26"/>
  <c r="Q134" i="26"/>
  <c r="Q111" i="26"/>
  <c r="Q135" i="26"/>
  <c r="Q112" i="26"/>
  <c r="Q136" i="26"/>
  <c r="Q113" i="26"/>
  <c r="Q137" i="26"/>
  <c r="Q106" i="26"/>
  <c r="Q114" i="26"/>
  <c r="Q130" i="26"/>
  <c r="Q138" i="26"/>
  <c r="Q107" i="26"/>
  <c r="Q115" i="26"/>
  <c r="Q131" i="26"/>
  <c r="Q108" i="26"/>
  <c r="Q116" i="26"/>
  <c r="Q132" i="26"/>
  <c r="Q109" i="26"/>
  <c r="Q117" i="26"/>
  <c r="Q133" i="26"/>
  <c r="R112" i="26"/>
  <c r="R136" i="26"/>
  <c r="R113" i="26"/>
  <c r="R137" i="26"/>
  <c r="R106" i="26"/>
  <c r="R114" i="26"/>
  <c r="R130" i="26"/>
  <c r="R138" i="26"/>
  <c r="R107" i="26"/>
  <c r="R115" i="26"/>
  <c r="R131" i="26"/>
  <c r="R108" i="26"/>
  <c r="R116" i="26"/>
  <c r="R132" i="26"/>
  <c r="R109" i="26"/>
  <c r="R117" i="26"/>
  <c r="R133" i="26"/>
  <c r="R110" i="26"/>
  <c r="R118" i="26"/>
  <c r="R134" i="26"/>
  <c r="R111" i="26"/>
  <c r="R135" i="26"/>
  <c r="P116" i="26"/>
  <c r="P114" i="26"/>
  <c r="P117" i="26"/>
  <c r="P106" i="26"/>
  <c r="P118" i="26"/>
  <c r="P130" i="26"/>
  <c r="P107" i="26"/>
  <c r="P131" i="26"/>
  <c r="P108" i="26"/>
  <c r="P132" i="26"/>
  <c r="P109" i="26"/>
  <c r="P133" i="26"/>
  <c r="P110" i="26"/>
  <c r="P134" i="26"/>
  <c r="P138" i="26"/>
  <c r="P111" i="26"/>
  <c r="P135" i="26"/>
  <c r="P112" i="26"/>
  <c r="P136" i="26"/>
  <c r="P113" i="26"/>
  <c r="P137" i="26"/>
  <c r="P115" i="26"/>
  <c r="O68" i="27"/>
  <c r="O80" i="27"/>
  <c r="O92" i="27"/>
  <c r="O69" i="27"/>
  <c r="O81" i="27"/>
  <c r="O93" i="27"/>
  <c r="O70" i="27"/>
  <c r="O82" i="27"/>
  <c r="O71" i="27"/>
  <c r="O83" i="27"/>
  <c r="O85" i="27"/>
  <c r="O72" i="27"/>
  <c r="O84" i="27"/>
  <c r="O73" i="27"/>
  <c r="O61" i="27"/>
  <c r="O62" i="27"/>
  <c r="O74" i="27"/>
  <c r="O86" i="27"/>
  <c r="O66" i="27"/>
  <c r="O63" i="27"/>
  <c r="O75" i="27"/>
  <c r="O87" i="27"/>
  <c r="O78" i="27"/>
  <c r="O64" i="27"/>
  <c r="O76" i="27"/>
  <c r="O88" i="27"/>
  <c r="O90" i="27"/>
  <c r="O65" i="27"/>
  <c r="O77" i="27"/>
  <c r="O89" i="27"/>
  <c r="O67" i="27"/>
  <c r="O79" i="27"/>
  <c r="O91" i="27"/>
  <c r="R71" i="27"/>
  <c r="R83" i="27"/>
  <c r="R72" i="27"/>
  <c r="R84" i="27"/>
  <c r="R61" i="27"/>
  <c r="R73" i="27"/>
  <c r="R85" i="27"/>
  <c r="R62" i="27"/>
  <c r="R74" i="27"/>
  <c r="R86" i="27"/>
  <c r="R63" i="27"/>
  <c r="R75" i="27"/>
  <c r="R87" i="27"/>
  <c r="R81" i="27"/>
  <c r="R64" i="27"/>
  <c r="R76" i="27"/>
  <c r="R88" i="27"/>
  <c r="R69" i="27"/>
  <c r="R65" i="27"/>
  <c r="R77" i="27"/>
  <c r="R89" i="27"/>
  <c r="R66" i="27"/>
  <c r="R78" i="27"/>
  <c r="R90" i="27"/>
  <c r="R67" i="27"/>
  <c r="R79" i="27"/>
  <c r="R91" i="27"/>
  <c r="R68" i="27"/>
  <c r="R80" i="27"/>
  <c r="R92" i="27"/>
  <c r="R70" i="27"/>
  <c r="R82" i="27"/>
  <c r="R93" i="27"/>
  <c r="Q61" i="27"/>
  <c r="Q73" i="27"/>
  <c r="Q85" i="27"/>
  <c r="Q62" i="27"/>
  <c r="Q74" i="27"/>
  <c r="Q86" i="27"/>
  <c r="Q63" i="27"/>
  <c r="Q75" i="27"/>
  <c r="Q87" i="27"/>
  <c r="Q64" i="27"/>
  <c r="Q76" i="27"/>
  <c r="Q88" i="27"/>
  <c r="Q65" i="27"/>
  <c r="Q77" i="27"/>
  <c r="Q89" i="27"/>
  <c r="Q66" i="27"/>
  <c r="Q78" i="27"/>
  <c r="Q90" i="27"/>
  <c r="Q67" i="27"/>
  <c r="Q79" i="27"/>
  <c r="Q91" i="27"/>
  <c r="Q68" i="27"/>
  <c r="Q80" i="27"/>
  <c r="Q92" i="27"/>
  <c r="Q69" i="27"/>
  <c r="Q81" i="27"/>
  <c r="Q93" i="27"/>
  <c r="Q70" i="27"/>
  <c r="Q82" i="27"/>
  <c r="Q71" i="27"/>
  <c r="Q83" i="27"/>
  <c r="Q72" i="27"/>
  <c r="Q84" i="27"/>
  <c r="P63" i="27"/>
  <c r="P75" i="27"/>
  <c r="P87" i="27"/>
  <c r="P64" i="27"/>
  <c r="P76" i="27"/>
  <c r="P88" i="27"/>
  <c r="P89" i="27"/>
  <c r="P77" i="27"/>
  <c r="P66" i="27"/>
  <c r="P78" i="27"/>
  <c r="P90" i="27"/>
  <c r="P67" i="27"/>
  <c r="P79" i="27"/>
  <c r="P91" i="27"/>
  <c r="P68" i="27"/>
  <c r="P80" i="27"/>
  <c r="P92" i="27"/>
  <c r="P69" i="27"/>
  <c r="P81" i="27"/>
  <c r="P93" i="27"/>
  <c r="P72" i="27"/>
  <c r="P70" i="27"/>
  <c r="P82" i="27"/>
  <c r="P71" i="27"/>
  <c r="P83" i="27"/>
  <c r="P84" i="27"/>
  <c r="P61" i="27"/>
  <c r="P73" i="27"/>
  <c r="P85" i="27"/>
  <c r="P62" i="27"/>
  <c r="P74" i="27"/>
  <c r="P86" i="27"/>
  <c r="P65" i="27"/>
  <c r="AL20" i="32" l="1"/>
  <c r="AN20" i="32" s="1"/>
  <c r="AL19" i="32"/>
  <c r="AN19" i="32" s="1"/>
  <c r="AL18" i="32"/>
  <c r="AN18" i="32" s="1"/>
  <c r="AL17" i="32"/>
  <c r="AN17" i="32" s="1"/>
  <c r="AL16" i="32"/>
  <c r="AN16" i="32" s="1"/>
  <c r="AL15" i="32"/>
  <c r="AN15" i="32" s="1"/>
  <c r="AL14" i="32"/>
  <c r="AN14" i="32" s="1"/>
  <c r="AL13" i="32"/>
  <c r="AN13" i="32" s="1"/>
  <c r="AL12" i="32"/>
  <c r="AN12" i="32" s="1"/>
  <c r="D55" i="6"/>
  <c r="E55" i="6" s="1"/>
  <c r="D54" i="6"/>
  <c r="E54" i="6" s="1"/>
  <c r="M52" i="26" s="1"/>
  <c r="D53" i="6"/>
  <c r="E53" i="6" s="1"/>
  <c r="M67" i="26" s="1"/>
  <c r="N67" i="26" s="1"/>
  <c r="D52" i="6"/>
  <c r="E52" i="6" s="1"/>
  <c r="M82" i="26" s="1"/>
  <c r="N82" i="26" s="1"/>
  <c r="S82" i="26" s="1"/>
  <c r="D51" i="6"/>
  <c r="E51" i="6" s="1"/>
  <c r="D50" i="6"/>
  <c r="E50" i="6" s="1"/>
  <c r="M121" i="26" s="1"/>
  <c r="M60" i="26"/>
  <c r="N60" i="26" s="1"/>
  <c r="M58" i="26"/>
  <c r="AA58" i="26" s="1"/>
  <c r="AL20" i="26"/>
  <c r="AN20" i="26" s="1"/>
  <c r="AL19" i="26"/>
  <c r="AN19" i="26" s="1"/>
  <c r="AL18" i="26"/>
  <c r="AN18" i="26" s="1"/>
  <c r="AL17" i="26"/>
  <c r="AN17" i="26" s="1"/>
  <c r="AL16" i="26"/>
  <c r="AN16" i="26" s="1"/>
  <c r="AL15" i="26"/>
  <c r="AN15" i="26" s="1"/>
  <c r="AL14" i="26"/>
  <c r="AN14" i="26" s="1"/>
  <c r="AL13" i="26"/>
  <c r="AN13" i="26" s="1"/>
  <c r="AL12" i="26"/>
  <c r="AN12" i="26" s="1"/>
  <c r="AL11" i="26"/>
  <c r="AN11" i="26" s="1"/>
  <c r="M132" i="27"/>
  <c r="AA132" i="27" s="1"/>
  <c r="M131" i="27"/>
  <c r="N131" i="27" s="1"/>
  <c r="M121" i="27"/>
  <c r="N121" i="27" s="1"/>
  <c r="M97" i="27"/>
  <c r="N97" i="27" s="1"/>
  <c r="M54" i="27"/>
  <c r="N54" i="27" s="1"/>
  <c r="S54" i="27" s="1"/>
  <c r="M53" i="27"/>
  <c r="N53" i="27" s="1"/>
  <c r="M29" i="27"/>
  <c r="AA29" i="27" s="1"/>
  <c r="M28" i="27"/>
  <c r="N28" i="27" s="1"/>
  <c r="M27" i="27"/>
  <c r="AA27" i="27" s="1"/>
  <c r="M26" i="27"/>
  <c r="AA26" i="27" s="1"/>
  <c r="M25" i="27"/>
  <c r="AA25" i="27" s="1"/>
  <c r="M24" i="27"/>
  <c r="AA24" i="27" s="1"/>
  <c r="M23" i="27"/>
  <c r="AA23" i="27" s="1"/>
  <c r="M22" i="27"/>
  <c r="N22" i="27" s="1"/>
  <c r="M21" i="27"/>
  <c r="AA21" i="27" s="1"/>
  <c r="AL20" i="27"/>
  <c r="AN20" i="27" s="1"/>
  <c r="M20" i="27"/>
  <c r="N20" i="27" s="1"/>
  <c r="AL19" i="27"/>
  <c r="AN19" i="27" s="1"/>
  <c r="M19" i="27"/>
  <c r="AA19" i="27" s="1"/>
  <c r="AL18" i="27"/>
  <c r="AN18" i="27" s="1"/>
  <c r="M18" i="27"/>
  <c r="AA18" i="27" s="1"/>
  <c r="AF18" i="27" s="1"/>
  <c r="AL17" i="27"/>
  <c r="AN17" i="27" s="1"/>
  <c r="M17" i="27"/>
  <c r="AA17" i="27" s="1"/>
  <c r="AL16" i="27"/>
  <c r="AN16" i="27" s="1"/>
  <c r="M16" i="27"/>
  <c r="AA16" i="27" s="1"/>
  <c r="AL15" i="27"/>
  <c r="AN15" i="27" s="1"/>
  <c r="M15" i="27"/>
  <c r="AA15" i="27" s="1"/>
  <c r="AL14" i="27"/>
  <c r="AN14" i="27" s="1"/>
  <c r="M14" i="27"/>
  <c r="N14" i="27" s="1"/>
  <c r="AL13" i="27"/>
  <c r="AN13" i="27" s="1"/>
  <c r="M13" i="27"/>
  <c r="N13" i="27" s="1"/>
  <c r="AL12" i="27"/>
  <c r="AN12" i="27" s="1"/>
  <c r="M12" i="27"/>
  <c r="N12" i="27" s="1"/>
  <c r="AL11" i="27"/>
  <c r="AN11" i="27" s="1"/>
  <c r="C41" i="6"/>
  <c r="M16" i="26" l="1"/>
  <c r="N16" i="26" s="1"/>
  <c r="M139" i="27"/>
  <c r="N139" i="27" s="1"/>
  <c r="M140" i="27"/>
  <c r="AA140" i="27" s="1"/>
  <c r="M147" i="27"/>
  <c r="N147" i="27" s="1"/>
  <c r="M148" i="27"/>
  <c r="N148" i="27" s="1"/>
  <c r="M59" i="27"/>
  <c r="AA59" i="27" s="1"/>
  <c r="M40" i="26"/>
  <c r="N40" i="26" s="1"/>
  <c r="M55" i="27"/>
  <c r="AA55" i="27" s="1"/>
  <c r="M60" i="27"/>
  <c r="N60" i="27" s="1"/>
  <c r="M42" i="26"/>
  <c r="N42" i="26" s="1"/>
  <c r="M42" i="27"/>
  <c r="AA42" i="27" s="1"/>
  <c r="AF42" i="27" s="1"/>
  <c r="M43" i="27"/>
  <c r="AA43" i="27" s="1"/>
  <c r="M106" i="27"/>
  <c r="AA106" i="27" s="1"/>
  <c r="AF106" i="27" s="1"/>
  <c r="M46" i="27"/>
  <c r="AA46" i="27" s="1"/>
  <c r="M109" i="27"/>
  <c r="AA109" i="27" s="1"/>
  <c r="M47" i="27"/>
  <c r="AA47" i="27" s="1"/>
  <c r="M118" i="27"/>
  <c r="AA118" i="27" s="1"/>
  <c r="M74" i="26"/>
  <c r="N74" i="26" s="1"/>
  <c r="M81" i="26"/>
  <c r="N81" i="26" s="1"/>
  <c r="M50" i="27"/>
  <c r="AA50" i="27" s="1"/>
  <c r="M87" i="26"/>
  <c r="AA87" i="26" s="1"/>
  <c r="AF87" i="26" s="1"/>
  <c r="M48" i="27"/>
  <c r="AA48" i="27" s="1"/>
  <c r="AF48" i="27" s="1"/>
  <c r="M52" i="27"/>
  <c r="N52" i="27" s="1"/>
  <c r="S52" i="27" s="1"/>
  <c r="M95" i="27"/>
  <c r="AA95" i="27" s="1"/>
  <c r="M107" i="27"/>
  <c r="N107" i="27" s="1"/>
  <c r="S107" i="27" s="1"/>
  <c r="M119" i="27"/>
  <c r="AA119" i="27" s="1"/>
  <c r="M65" i="26"/>
  <c r="N65" i="26" s="1"/>
  <c r="M96" i="27"/>
  <c r="N96" i="27" s="1"/>
  <c r="M108" i="27"/>
  <c r="AA108" i="27" s="1"/>
  <c r="AF108" i="27" s="1"/>
  <c r="M120" i="27"/>
  <c r="N120" i="27" s="1"/>
  <c r="M76" i="26"/>
  <c r="N76" i="26" s="1"/>
  <c r="M98" i="27"/>
  <c r="AA98" i="27" s="1"/>
  <c r="M110" i="27"/>
  <c r="AA110" i="27" s="1"/>
  <c r="AF110" i="27" s="1"/>
  <c r="M122" i="27"/>
  <c r="AA122" i="27" s="1"/>
  <c r="AF122" i="27" s="1"/>
  <c r="M99" i="27"/>
  <c r="N99" i="27" s="1"/>
  <c r="S99" i="27" s="1"/>
  <c r="M111" i="27"/>
  <c r="AA111" i="27" s="1"/>
  <c r="M123" i="27"/>
  <c r="N123" i="27" s="1"/>
  <c r="M98" i="26"/>
  <c r="N98" i="26" s="1"/>
  <c r="M100" i="27"/>
  <c r="AA100" i="27" s="1"/>
  <c r="M112" i="27"/>
  <c r="N112" i="27" s="1"/>
  <c r="M124" i="27"/>
  <c r="N124" i="27" s="1"/>
  <c r="S124" i="27" s="1"/>
  <c r="T124" i="27" s="1"/>
  <c r="M99" i="26"/>
  <c r="AA99" i="26" s="1"/>
  <c r="M101" i="27"/>
  <c r="AA101" i="27" s="1"/>
  <c r="M113" i="27"/>
  <c r="N113" i="27" s="1"/>
  <c r="M125" i="27"/>
  <c r="AA125" i="27" s="1"/>
  <c r="AF125" i="27" s="1"/>
  <c r="M100" i="26"/>
  <c r="N100" i="26" s="1"/>
  <c r="S100" i="26" s="1"/>
  <c r="M102" i="27"/>
  <c r="N102" i="27" s="1"/>
  <c r="S102" i="27" s="1"/>
  <c r="M114" i="27"/>
  <c r="AA114" i="27" s="1"/>
  <c r="M126" i="27"/>
  <c r="AA126" i="27" s="1"/>
  <c r="M103" i="27"/>
  <c r="AA103" i="27" s="1"/>
  <c r="M115" i="27"/>
  <c r="N115" i="27" s="1"/>
  <c r="M127" i="27"/>
  <c r="AA127" i="27" s="1"/>
  <c r="M57" i="26"/>
  <c r="N57" i="26" s="1"/>
  <c r="S57" i="26" s="1"/>
  <c r="M14" i="32"/>
  <c r="M12" i="32"/>
  <c r="M104" i="27"/>
  <c r="N104" i="27" s="1"/>
  <c r="M116" i="27"/>
  <c r="N116" i="27" s="1"/>
  <c r="M128" i="27"/>
  <c r="N128" i="27" s="1"/>
  <c r="S128" i="27" s="1"/>
  <c r="M66" i="26"/>
  <c r="N66" i="26" s="1"/>
  <c r="S66" i="26" s="1"/>
  <c r="M94" i="27"/>
  <c r="M105" i="27"/>
  <c r="N105" i="27" s="1"/>
  <c r="M117" i="27"/>
  <c r="AA117" i="27" s="1"/>
  <c r="M129" i="27"/>
  <c r="N129" i="27" s="1"/>
  <c r="N140" i="27"/>
  <c r="N18" i="27"/>
  <c r="S18" i="27" s="1"/>
  <c r="AG18" i="27" s="1"/>
  <c r="N16" i="27"/>
  <c r="S16" i="27" s="1"/>
  <c r="AA131" i="27"/>
  <c r="AF131" i="27" s="1"/>
  <c r="N127" i="27"/>
  <c r="S127" i="27" s="1"/>
  <c r="N27" i="27"/>
  <c r="S27" i="27" s="1"/>
  <c r="N101" i="27"/>
  <c r="N111" i="27"/>
  <c r="M42" i="32"/>
  <c r="M50" i="32"/>
  <c r="M43" i="32"/>
  <c r="M51" i="32"/>
  <c r="M48" i="32"/>
  <c r="M49" i="32"/>
  <c r="M40" i="32"/>
  <c r="M52" i="32"/>
  <c r="M41" i="32"/>
  <c r="M53" i="32"/>
  <c r="M44" i="32"/>
  <c r="M54" i="32"/>
  <c r="M45" i="32"/>
  <c r="M46" i="32"/>
  <c r="M47" i="32"/>
  <c r="M30" i="26"/>
  <c r="N30" i="26" s="1"/>
  <c r="S30" i="26" s="1"/>
  <c r="M22" i="26"/>
  <c r="N22" i="26" s="1"/>
  <c r="S22" i="26" s="1"/>
  <c r="M37" i="27"/>
  <c r="N37" i="27" s="1"/>
  <c r="S37" i="27" s="1"/>
  <c r="M30" i="27"/>
  <c r="N30" i="27" s="1"/>
  <c r="M92" i="26"/>
  <c r="N92" i="26" s="1"/>
  <c r="S92" i="26" s="1"/>
  <c r="M28" i="26"/>
  <c r="N28" i="26" s="1"/>
  <c r="S28" i="26" s="1"/>
  <c r="M41" i="27"/>
  <c r="AA41" i="27" s="1"/>
  <c r="AF41" i="27" s="1"/>
  <c r="M35" i="27"/>
  <c r="AA35" i="27" s="1"/>
  <c r="AF35" i="27" s="1"/>
  <c r="M91" i="26"/>
  <c r="AA91" i="26" s="1"/>
  <c r="AF91" i="26" s="1"/>
  <c r="M27" i="26"/>
  <c r="AA27" i="26" s="1"/>
  <c r="AF27" i="26" s="1"/>
  <c r="M40" i="27"/>
  <c r="AA40" i="27" s="1"/>
  <c r="M29" i="26"/>
  <c r="AA29" i="26" s="1"/>
  <c r="AF29" i="26" s="1"/>
  <c r="M90" i="26"/>
  <c r="N90" i="26" s="1"/>
  <c r="S90" i="26" s="1"/>
  <c r="M34" i="27"/>
  <c r="M31" i="26"/>
  <c r="AA31" i="26" s="1"/>
  <c r="AF31" i="26" s="1"/>
  <c r="M23" i="26"/>
  <c r="AA23" i="26" s="1"/>
  <c r="AF23" i="26" s="1"/>
  <c r="M38" i="27"/>
  <c r="AA38" i="27" s="1"/>
  <c r="AF38" i="27" s="1"/>
  <c r="M21" i="26"/>
  <c r="AA21" i="26" s="1"/>
  <c r="M89" i="26"/>
  <c r="N89" i="26" s="1"/>
  <c r="M25" i="26"/>
  <c r="N25" i="26" s="1"/>
  <c r="M39" i="27"/>
  <c r="M33" i="27"/>
  <c r="AA33" i="27" s="1"/>
  <c r="M31" i="27"/>
  <c r="AA31" i="27" s="1"/>
  <c r="AF31" i="27" s="1"/>
  <c r="M36" i="27"/>
  <c r="N36" i="27" s="1"/>
  <c r="S36" i="27" s="1"/>
  <c r="M88" i="26"/>
  <c r="N88" i="26" s="1"/>
  <c r="S88" i="26" s="1"/>
  <c r="M24" i="26"/>
  <c r="N24" i="26" s="1"/>
  <c r="S24" i="26" s="1"/>
  <c r="M32" i="27"/>
  <c r="AA32" i="27" s="1"/>
  <c r="AF32" i="27" s="1"/>
  <c r="M14" i="26"/>
  <c r="AA14" i="26" s="1"/>
  <c r="M18" i="26"/>
  <c r="N18" i="26" s="1"/>
  <c r="S18" i="26" s="1"/>
  <c r="M33" i="26"/>
  <c r="AA33" i="26" s="1"/>
  <c r="AF33" i="26" s="1"/>
  <c r="AA42" i="26"/>
  <c r="AF42" i="26" s="1"/>
  <c r="AA67" i="26"/>
  <c r="AF67" i="26" s="1"/>
  <c r="M125" i="26"/>
  <c r="N125" i="26" s="1"/>
  <c r="S125" i="26" s="1"/>
  <c r="M106" i="32"/>
  <c r="M114" i="32"/>
  <c r="M122" i="32"/>
  <c r="M99" i="32"/>
  <c r="M107" i="32"/>
  <c r="M115" i="32"/>
  <c r="M123" i="32"/>
  <c r="M102" i="32"/>
  <c r="M112" i="32"/>
  <c r="M124" i="32"/>
  <c r="M103" i="32"/>
  <c r="M113" i="32"/>
  <c r="M125" i="32"/>
  <c r="M104" i="32"/>
  <c r="M116" i="32"/>
  <c r="M126" i="32"/>
  <c r="M105" i="32"/>
  <c r="M117" i="32"/>
  <c r="M127" i="32"/>
  <c r="M108" i="32"/>
  <c r="M119" i="32"/>
  <c r="M118" i="32"/>
  <c r="M109" i="32"/>
  <c r="M111" i="32"/>
  <c r="M120" i="32"/>
  <c r="M121" i="32"/>
  <c r="M101" i="32"/>
  <c r="M110" i="32"/>
  <c r="M100" i="32"/>
  <c r="M58" i="32"/>
  <c r="M66" i="32"/>
  <c r="M74" i="32"/>
  <c r="M59" i="32"/>
  <c r="M67" i="32"/>
  <c r="M75" i="32"/>
  <c r="M60" i="32"/>
  <c r="M70" i="32"/>
  <c r="M61" i="32"/>
  <c r="M71" i="32"/>
  <c r="M55" i="32"/>
  <c r="M62" i="32"/>
  <c r="M72" i="32"/>
  <c r="M65" i="32"/>
  <c r="M63" i="32"/>
  <c r="M73" i="32"/>
  <c r="M64" i="32"/>
  <c r="M76" i="32"/>
  <c r="M69" i="32"/>
  <c r="M57" i="32"/>
  <c r="M56" i="32"/>
  <c r="M68" i="32"/>
  <c r="N43" i="27"/>
  <c r="S43" i="27" s="1"/>
  <c r="M56" i="27"/>
  <c r="AA56" i="27" s="1"/>
  <c r="AF56" i="27" s="1"/>
  <c r="N26" i="27"/>
  <c r="S26" i="27" s="1"/>
  <c r="M44" i="27"/>
  <c r="N44" i="27" s="1"/>
  <c r="S44" i="27" s="1"/>
  <c r="M51" i="27"/>
  <c r="M57" i="27"/>
  <c r="AA57" i="27" s="1"/>
  <c r="AF57" i="27" s="1"/>
  <c r="M34" i="26"/>
  <c r="M43" i="26"/>
  <c r="AA43" i="26" s="1"/>
  <c r="AF43" i="26" s="1"/>
  <c r="M69" i="26"/>
  <c r="N69" i="26" s="1"/>
  <c r="S69" i="26" s="1"/>
  <c r="M83" i="26"/>
  <c r="AA83" i="26" s="1"/>
  <c r="AF83" i="26" s="1"/>
  <c r="M101" i="26"/>
  <c r="AA101" i="26" s="1"/>
  <c r="AF101" i="26" s="1"/>
  <c r="M127" i="26"/>
  <c r="N127" i="26" s="1"/>
  <c r="S127" i="26" s="1"/>
  <c r="M130" i="32"/>
  <c r="M138" i="32"/>
  <c r="M131" i="32"/>
  <c r="M139" i="32"/>
  <c r="M134" i="32"/>
  <c r="M135" i="32"/>
  <c r="M129" i="32"/>
  <c r="M136" i="32"/>
  <c r="M141" i="32"/>
  <c r="M137" i="32"/>
  <c r="M128" i="32"/>
  <c r="M140" i="32"/>
  <c r="M132" i="32"/>
  <c r="M142" i="32"/>
  <c r="M133" i="32"/>
  <c r="M45" i="27"/>
  <c r="AA45" i="27" s="1"/>
  <c r="AF45" i="27" s="1"/>
  <c r="M58" i="27"/>
  <c r="M11" i="26"/>
  <c r="N11" i="26" s="1"/>
  <c r="S11" i="26" s="1"/>
  <c r="M15" i="26"/>
  <c r="AA15" i="26" s="1"/>
  <c r="AF15" i="26" s="1"/>
  <c r="M26" i="26"/>
  <c r="N26" i="26" s="1"/>
  <c r="S26" i="26" s="1"/>
  <c r="M72" i="26"/>
  <c r="AA72" i="26" s="1"/>
  <c r="AF72" i="26" s="1"/>
  <c r="M84" i="26"/>
  <c r="N84" i="26" s="1"/>
  <c r="S84" i="26" s="1"/>
  <c r="M104" i="26"/>
  <c r="N104" i="26" s="1"/>
  <c r="S104" i="26" s="1"/>
  <c r="C49" i="6"/>
  <c r="D49" i="6" s="1"/>
  <c r="E49" i="6" s="1"/>
  <c r="M134" i="26" s="1"/>
  <c r="M36" i="26"/>
  <c r="N36" i="26" s="1"/>
  <c r="S36" i="26" s="1"/>
  <c r="M85" i="26"/>
  <c r="AA85" i="26" s="1"/>
  <c r="AF85" i="26" s="1"/>
  <c r="M12" i="26"/>
  <c r="N12" i="26" s="1"/>
  <c r="S12" i="26" s="1"/>
  <c r="M37" i="26"/>
  <c r="AA37" i="26" s="1"/>
  <c r="M86" i="26"/>
  <c r="N86" i="26" s="1"/>
  <c r="S86" i="26" s="1"/>
  <c r="M11" i="27"/>
  <c r="AA11" i="27" s="1"/>
  <c r="AF11" i="27" s="1"/>
  <c r="M18" i="32"/>
  <c r="M26" i="32"/>
  <c r="M34" i="32"/>
  <c r="M19" i="32"/>
  <c r="M27" i="32"/>
  <c r="M35" i="32"/>
  <c r="M16" i="32"/>
  <c r="M28" i="32"/>
  <c r="M38" i="32"/>
  <c r="M17" i="32"/>
  <c r="M29" i="32"/>
  <c r="M39" i="32"/>
  <c r="M23" i="32"/>
  <c r="M20" i="32"/>
  <c r="M30" i="32"/>
  <c r="M21" i="32"/>
  <c r="M31" i="32"/>
  <c r="M22" i="32"/>
  <c r="M33" i="32"/>
  <c r="M32" i="32"/>
  <c r="M25" i="32"/>
  <c r="M36" i="32"/>
  <c r="M24" i="32"/>
  <c r="M37" i="32"/>
  <c r="M15" i="32"/>
  <c r="M13" i="32"/>
  <c r="M11" i="32"/>
  <c r="M49" i="27"/>
  <c r="AA49" i="27" s="1"/>
  <c r="AF49" i="27" s="1"/>
  <c r="M13" i="26"/>
  <c r="AA13" i="26" s="1"/>
  <c r="AF13" i="26" s="1"/>
  <c r="M17" i="26"/>
  <c r="N17" i="26" s="1"/>
  <c r="S17" i="26" s="1"/>
  <c r="M41" i="26"/>
  <c r="N41" i="26" s="1"/>
  <c r="S41" i="26" s="1"/>
  <c r="AA76" i="26"/>
  <c r="AF76" i="26" s="1"/>
  <c r="N87" i="26"/>
  <c r="S87" i="26" s="1"/>
  <c r="AG87" i="26" s="1"/>
  <c r="AA18" i="26"/>
  <c r="AF18" i="26" s="1"/>
  <c r="AA28" i="26"/>
  <c r="AF28" i="26" s="1"/>
  <c r="N21" i="26"/>
  <c r="S21" i="26" s="1"/>
  <c r="N43" i="26"/>
  <c r="S43" i="26" s="1"/>
  <c r="N58" i="26"/>
  <c r="S58" i="26" s="1"/>
  <c r="AA82" i="26"/>
  <c r="AF82" i="26" s="1"/>
  <c r="AG82" i="26" s="1"/>
  <c r="N14" i="26"/>
  <c r="S14" i="26" s="1"/>
  <c r="N99" i="26"/>
  <c r="S99" i="26" s="1"/>
  <c r="S40" i="26"/>
  <c r="S98" i="26"/>
  <c r="S65" i="26"/>
  <c r="N37" i="26"/>
  <c r="S37" i="26" s="1"/>
  <c r="S139" i="27"/>
  <c r="S42" i="26"/>
  <c r="S67" i="26"/>
  <c r="AF50" i="27"/>
  <c r="S147" i="27"/>
  <c r="S13" i="27"/>
  <c r="S140" i="27"/>
  <c r="S76" i="26"/>
  <c r="S121" i="27"/>
  <c r="S129" i="27"/>
  <c r="AF24" i="27"/>
  <c r="AF114" i="27"/>
  <c r="S16" i="26"/>
  <c r="S89" i="26"/>
  <c r="T107" i="27"/>
  <c r="S97" i="27"/>
  <c r="N31" i="27"/>
  <c r="S31" i="27" s="1"/>
  <c r="N55" i="27"/>
  <c r="S55" i="27" s="1"/>
  <c r="S60" i="27"/>
  <c r="N106" i="27"/>
  <c r="S106" i="27" s="1"/>
  <c r="AG106" i="27" s="1"/>
  <c r="AA115" i="27"/>
  <c r="AF115" i="27" s="1"/>
  <c r="AF47" i="27"/>
  <c r="N40" i="27"/>
  <c r="S40" i="27" s="1"/>
  <c r="AF59" i="27"/>
  <c r="S105" i="27"/>
  <c r="S112" i="27"/>
  <c r="S113" i="27"/>
  <c r="S123" i="27"/>
  <c r="AA147" i="27"/>
  <c r="AF147" i="27" s="1"/>
  <c r="S22" i="27"/>
  <c r="N19" i="27"/>
  <c r="S19" i="27" s="1"/>
  <c r="AF46" i="27"/>
  <c r="N59" i="27"/>
  <c r="S59" i="27" s="1"/>
  <c r="N95" i="27"/>
  <c r="S95" i="27" s="1"/>
  <c r="N100" i="27"/>
  <c r="S100" i="27" s="1"/>
  <c r="N117" i="27"/>
  <c r="S117" i="27" s="1"/>
  <c r="AF98" i="27"/>
  <c r="S116" i="27"/>
  <c r="S131" i="27"/>
  <c r="N15" i="27"/>
  <c r="S15" i="27" s="1"/>
  <c r="N24" i="27"/>
  <c r="S24" i="27" s="1"/>
  <c r="AF43" i="27"/>
  <c r="S14" i="27"/>
  <c r="S115" i="27"/>
  <c r="S148" i="27"/>
  <c r="AF15" i="27"/>
  <c r="AF40" i="27"/>
  <c r="AF19" i="27"/>
  <c r="AF21" i="27"/>
  <c r="N23" i="27"/>
  <c r="S23" i="27" s="1"/>
  <c r="AF25" i="27"/>
  <c r="S28" i="27"/>
  <c r="N47" i="27"/>
  <c r="S47" i="27" s="1"/>
  <c r="S53" i="27"/>
  <c r="N103" i="27"/>
  <c r="S103" i="27" s="1"/>
  <c r="N109" i="27"/>
  <c r="S109" i="27" s="1"/>
  <c r="N114" i="27"/>
  <c r="S114" i="27" s="1"/>
  <c r="AF21" i="26"/>
  <c r="AF27" i="27"/>
  <c r="AF29" i="27"/>
  <c r="T54" i="27"/>
  <c r="AF33" i="27"/>
  <c r="S20" i="27"/>
  <c r="AF23" i="27"/>
  <c r="AF26" i="27"/>
  <c r="S30" i="27"/>
  <c r="AF55" i="27"/>
  <c r="S12" i="27"/>
  <c r="AF16" i="27"/>
  <c r="AF17" i="27"/>
  <c r="AA12" i="27"/>
  <c r="AF12" i="27" s="1"/>
  <c r="N17" i="27"/>
  <c r="S17" i="27" s="1"/>
  <c r="N25" i="27"/>
  <c r="S25" i="27" s="1"/>
  <c r="S101" i="27"/>
  <c r="AF119" i="27"/>
  <c r="N132" i="27"/>
  <c r="S132" i="27" s="1"/>
  <c r="AA139" i="27"/>
  <c r="AF139" i="27" s="1"/>
  <c r="AA54" i="27"/>
  <c r="AF54" i="27" s="1"/>
  <c r="AG54" i="27" s="1"/>
  <c r="AA13" i="27"/>
  <c r="AF13" i="27" s="1"/>
  <c r="N108" i="27"/>
  <c r="S108" i="27" s="1"/>
  <c r="AF100" i="27"/>
  <c r="S104" i="27"/>
  <c r="AF111" i="27"/>
  <c r="AA148" i="27"/>
  <c r="AF148" i="27" s="1"/>
  <c r="AF14" i="26"/>
  <c r="AA16" i="26"/>
  <c r="AF16" i="26" s="1"/>
  <c r="AA22" i="27"/>
  <c r="AF22" i="27" s="1"/>
  <c r="T82" i="26"/>
  <c r="AA53" i="27"/>
  <c r="AF53" i="27" s="1"/>
  <c r="AA14" i="27"/>
  <c r="AF14" i="27" s="1"/>
  <c r="N21" i="27"/>
  <c r="S21" i="27" s="1"/>
  <c r="AA28" i="27"/>
  <c r="AF28" i="27" s="1"/>
  <c r="N29" i="27"/>
  <c r="S29" i="27" s="1"/>
  <c r="AA44" i="27"/>
  <c r="AF44" i="27" s="1"/>
  <c r="N45" i="27"/>
  <c r="S45" i="27" s="1"/>
  <c r="AA60" i="27"/>
  <c r="AF60" i="27" s="1"/>
  <c r="AF103" i="27"/>
  <c r="AF117" i="27"/>
  <c r="AF140" i="27"/>
  <c r="AA20" i="27"/>
  <c r="AF20" i="27" s="1"/>
  <c r="S96" i="27"/>
  <c r="AA97" i="27"/>
  <c r="AF97" i="27" s="1"/>
  <c r="AF109" i="27"/>
  <c r="S111" i="27"/>
  <c r="S120" i="27"/>
  <c r="AA123" i="27"/>
  <c r="AF123" i="27" s="1"/>
  <c r="AF126" i="27"/>
  <c r="N46" i="27"/>
  <c r="S46" i="27" s="1"/>
  <c r="AF101" i="27"/>
  <c r="AF118" i="27"/>
  <c r="AF132" i="27"/>
  <c r="N121" i="26"/>
  <c r="S121" i="26" s="1"/>
  <c r="AA121" i="26"/>
  <c r="AF121" i="26" s="1"/>
  <c r="B41" i="6"/>
  <c r="M53" i="26"/>
  <c r="M45" i="26"/>
  <c r="M54" i="26"/>
  <c r="M46" i="26"/>
  <c r="M55" i="26"/>
  <c r="M47" i="26"/>
  <c r="M39" i="26"/>
  <c r="M56" i="26"/>
  <c r="M48" i="26"/>
  <c r="M51" i="26"/>
  <c r="M35" i="26"/>
  <c r="M151" i="27"/>
  <c r="M143" i="27"/>
  <c r="M135" i="27"/>
  <c r="M44" i="26"/>
  <c r="M152" i="27"/>
  <c r="M144" i="27"/>
  <c r="M136" i="27"/>
  <c r="M145" i="27"/>
  <c r="M137" i="27"/>
  <c r="M50" i="26"/>
  <c r="M146" i="27"/>
  <c r="M138" i="27"/>
  <c r="M130" i="27"/>
  <c r="M149" i="27"/>
  <c r="M141" i="27"/>
  <c r="M133" i="27"/>
  <c r="M49" i="26"/>
  <c r="M150" i="27"/>
  <c r="M142" i="27"/>
  <c r="M134" i="27"/>
  <c r="AA30" i="27"/>
  <c r="AF30" i="27" s="1"/>
  <c r="AF95" i="27"/>
  <c r="AF127" i="27"/>
  <c r="N52" i="26"/>
  <c r="S52" i="26" s="1"/>
  <c r="AA52" i="26"/>
  <c r="AF52" i="26" s="1"/>
  <c r="AF58" i="26"/>
  <c r="S60" i="26"/>
  <c r="M140" i="26"/>
  <c r="M93" i="26"/>
  <c r="M77" i="26"/>
  <c r="M70" i="26"/>
  <c r="M139" i="26"/>
  <c r="M102" i="26"/>
  <c r="M94" i="26"/>
  <c r="M71" i="26"/>
  <c r="M38" i="26"/>
  <c r="M103" i="26"/>
  <c r="M95" i="26"/>
  <c r="M79" i="26"/>
  <c r="M96" i="26"/>
  <c r="M80" i="26"/>
  <c r="M73" i="26"/>
  <c r="M64" i="26"/>
  <c r="M32" i="26"/>
  <c r="M105" i="26"/>
  <c r="M97" i="26"/>
  <c r="M68" i="26"/>
  <c r="AA65" i="26"/>
  <c r="AF65" i="26" s="1"/>
  <c r="AF99" i="26"/>
  <c r="M118" i="26"/>
  <c r="M110" i="26"/>
  <c r="M111" i="26"/>
  <c r="AA105" i="27"/>
  <c r="AF105" i="27" s="1"/>
  <c r="AA113" i="27"/>
  <c r="AF113" i="27" s="1"/>
  <c r="AA121" i="27"/>
  <c r="AF121" i="27" s="1"/>
  <c r="AA129" i="27"/>
  <c r="AF129" i="27" s="1"/>
  <c r="S25" i="26"/>
  <c r="AA60" i="26"/>
  <c r="AF60" i="26" s="1"/>
  <c r="S74" i="26"/>
  <c r="M122" i="26"/>
  <c r="M61" i="26"/>
  <c r="M128" i="26"/>
  <c r="M78" i="26"/>
  <c r="M62" i="26"/>
  <c r="M20" i="26"/>
  <c r="M123" i="26"/>
  <c r="M119" i="26"/>
  <c r="M63" i="26"/>
  <c r="M19" i="26"/>
  <c r="M120" i="26"/>
  <c r="M129" i="26"/>
  <c r="M124" i="26"/>
  <c r="M126" i="26"/>
  <c r="M75" i="26"/>
  <c r="M59" i="26"/>
  <c r="AA96" i="27"/>
  <c r="AF96" i="27" s="1"/>
  <c r="AA104" i="27"/>
  <c r="AF104" i="27" s="1"/>
  <c r="AA112" i="27"/>
  <c r="AF112" i="27" s="1"/>
  <c r="AA120" i="27"/>
  <c r="AF120" i="27" s="1"/>
  <c r="AF37" i="26"/>
  <c r="S81" i="26"/>
  <c r="AA92" i="26"/>
  <c r="AF92" i="26" s="1"/>
  <c r="AA25" i="26"/>
  <c r="AF25" i="26" s="1"/>
  <c r="AA74" i="26"/>
  <c r="AF74" i="26" s="1"/>
  <c r="AA98" i="26"/>
  <c r="AF98" i="26" s="1"/>
  <c r="AA81" i="26"/>
  <c r="AF81" i="26" s="1"/>
  <c r="AA40" i="26"/>
  <c r="AF40" i="26" s="1"/>
  <c r="AG43" i="26" l="1"/>
  <c r="AG28" i="26"/>
  <c r="N33" i="26"/>
  <c r="S33" i="26" s="1"/>
  <c r="AG42" i="26"/>
  <c r="AA11" i="26"/>
  <c r="AF11" i="26" s="1"/>
  <c r="AA107" i="27"/>
  <c r="AF107" i="27" s="1"/>
  <c r="AG107" i="27" s="1"/>
  <c r="N126" i="27"/>
  <c r="S126" i="27" s="1"/>
  <c r="AG126" i="27" s="1"/>
  <c r="N48" i="27"/>
  <c r="S48" i="27" s="1"/>
  <c r="AA89" i="26"/>
  <c r="AF89" i="26" s="1"/>
  <c r="AG89" i="26" s="1"/>
  <c r="AA52" i="27"/>
  <c r="AF52" i="27" s="1"/>
  <c r="N57" i="27"/>
  <c r="S57" i="27" s="1"/>
  <c r="N41" i="27"/>
  <c r="S41" i="27" s="1"/>
  <c r="T41" i="27" s="1"/>
  <c r="N42" i="27"/>
  <c r="S42" i="27" s="1"/>
  <c r="T42" i="27" s="1"/>
  <c r="AG21" i="27"/>
  <c r="AG25" i="26"/>
  <c r="AA125" i="26"/>
  <c r="AF125" i="26" s="1"/>
  <c r="AA57" i="26"/>
  <c r="AF57" i="26" s="1"/>
  <c r="AG57" i="26" s="1"/>
  <c r="N72" i="26"/>
  <c r="S72" i="26" s="1"/>
  <c r="AG72" i="26" s="1"/>
  <c r="AA124" i="27"/>
  <c r="AF124" i="27" s="1"/>
  <c r="AG124" i="27" s="1"/>
  <c r="N83" i="26"/>
  <c r="S83" i="26" s="1"/>
  <c r="AG83" i="26" s="1"/>
  <c r="N118" i="27"/>
  <c r="S118" i="27" s="1"/>
  <c r="N50" i="27"/>
  <c r="S50" i="27" s="1"/>
  <c r="N98" i="27"/>
  <c r="S98" i="27" s="1"/>
  <c r="T98" i="27" s="1"/>
  <c r="N119" i="27"/>
  <c r="S119" i="27" s="1"/>
  <c r="AG119" i="27" s="1"/>
  <c r="N33" i="27"/>
  <c r="S33" i="27" s="1"/>
  <c r="AG33" i="27" s="1"/>
  <c r="N27" i="26"/>
  <c r="S27" i="26" s="1"/>
  <c r="AG27" i="26" s="1"/>
  <c r="M133" i="26"/>
  <c r="AA133" i="26" s="1"/>
  <c r="AF133" i="26" s="1"/>
  <c r="AG125" i="26"/>
  <c r="AA37" i="27"/>
  <c r="AF37" i="27" s="1"/>
  <c r="AG37" i="27" s="1"/>
  <c r="M107" i="26"/>
  <c r="N12" i="32"/>
  <c r="S12" i="32" s="1"/>
  <c r="AA12" i="32"/>
  <c r="AF12" i="32" s="1"/>
  <c r="M137" i="26"/>
  <c r="M115" i="26"/>
  <c r="AA115" i="26" s="1"/>
  <c r="AF115" i="26" s="1"/>
  <c r="M109" i="26"/>
  <c r="AA109" i="26" s="1"/>
  <c r="AF109" i="26" s="1"/>
  <c r="N122" i="27"/>
  <c r="S122" i="27" s="1"/>
  <c r="AG122" i="27" s="1"/>
  <c r="AA14" i="32"/>
  <c r="AF14" i="32" s="1"/>
  <c r="N14" i="32"/>
  <c r="S14" i="32" s="1"/>
  <c r="AG81" i="26"/>
  <c r="AA127" i="26"/>
  <c r="AF127" i="26" s="1"/>
  <c r="M136" i="26"/>
  <c r="M117" i="26"/>
  <c r="AA66" i="26"/>
  <c r="AF66" i="26" s="1"/>
  <c r="AG66" i="26" s="1"/>
  <c r="AA116" i="27"/>
  <c r="AF116" i="27" s="1"/>
  <c r="AG116" i="27" s="1"/>
  <c r="N110" i="27"/>
  <c r="S110" i="27" s="1"/>
  <c r="AG110" i="27" s="1"/>
  <c r="AG37" i="26"/>
  <c r="AA100" i="26"/>
  <c r="AF100" i="26" s="1"/>
  <c r="AG100" i="26" s="1"/>
  <c r="M113" i="26"/>
  <c r="N113" i="26" s="1"/>
  <c r="S113" i="26" s="1"/>
  <c r="M132" i="26"/>
  <c r="AG47" i="27"/>
  <c r="N125" i="27"/>
  <c r="S125" i="27" s="1"/>
  <c r="T125" i="27" s="1"/>
  <c r="AG74" i="26"/>
  <c r="M135" i="26"/>
  <c r="M130" i="26"/>
  <c r="AG60" i="26"/>
  <c r="AA102" i="27"/>
  <c r="AF102" i="27" s="1"/>
  <c r="AG102" i="27" s="1"/>
  <c r="AA22" i="26"/>
  <c r="AF22" i="26" s="1"/>
  <c r="AG22" i="26" s="1"/>
  <c r="AA88" i="26"/>
  <c r="AF88" i="26" s="1"/>
  <c r="AG88" i="26" s="1"/>
  <c r="AA128" i="27"/>
  <c r="AF128" i="27" s="1"/>
  <c r="AG128" i="27" s="1"/>
  <c r="M112" i="26"/>
  <c r="N112" i="26" s="1"/>
  <c r="S112" i="26" s="1"/>
  <c r="M138" i="26"/>
  <c r="AA90" i="26"/>
  <c r="AF90" i="26" s="1"/>
  <c r="AG90" i="26" s="1"/>
  <c r="N56" i="27"/>
  <c r="S56" i="27" s="1"/>
  <c r="T56" i="27" s="1"/>
  <c r="M131" i="26"/>
  <c r="AA99" i="27"/>
  <c r="AF99" i="27" s="1"/>
  <c r="AG99" i="27" s="1"/>
  <c r="AG92" i="26"/>
  <c r="AA24" i="26"/>
  <c r="AF24" i="26" s="1"/>
  <c r="AG24" i="26" s="1"/>
  <c r="AG108" i="27"/>
  <c r="N32" i="27"/>
  <c r="S32" i="27" s="1"/>
  <c r="AG32" i="27" s="1"/>
  <c r="AG16" i="26"/>
  <c r="AG98" i="26"/>
  <c r="N94" i="27"/>
  <c r="S94" i="27" s="1"/>
  <c r="AG94" i="27" s="1"/>
  <c r="AA94" i="27"/>
  <c r="AF94" i="27" s="1"/>
  <c r="AG18" i="26"/>
  <c r="AG40" i="26"/>
  <c r="AG121" i="26"/>
  <c r="AG99" i="26"/>
  <c r="AG52" i="26"/>
  <c r="AG33" i="26"/>
  <c r="AG14" i="26"/>
  <c r="AG127" i="26"/>
  <c r="AG67" i="26"/>
  <c r="AG58" i="26"/>
  <c r="AG65" i="26"/>
  <c r="AG21" i="26"/>
  <c r="AG76" i="26"/>
  <c r="AG11" i="26"/>
  <c r="AG29" i="27"/>
  <c r="AG15" i="27"/>
  <c r="AG45" i="27"/>
  <c r="AG31" i="27"/>
  <c r="AG57" i="27"/>
  <c r="AG46" i="27"/>
  <c r="AG48" i="27"/>
  <c r="AG40" i="27"/>
  <c r="AG131" i="27"/>
  <c r="AG17" i="27"/>
  <c r="AG19" i="27"/>
  <c r="AG25" i="27"/>
  <c r="AG111" i="27"/>
  <c r="AG20" i="27"/>
  <c r="AG30" i="27"/>
  <c r="AG16" i="27"/>
  <c r="AG50" i="27"/>
  <c r="AG26" i="27"/>
  <c r="AG13" i="27"/>
  <c r="AG120" i="27"/>
  <c r="AG22" i="27"/>
  <c r="AG147" i="27"/>
  <c r="AG43" i="27"/>
  <c r="AG109" i="27"/>
  <c r="AG148" i="27"/>
  <c r="AG129" i="27"/>
  <c r="AG103" i="27"/>
  <c r="AG115" i="27"/>
  <c r="AG123" i="27"/>
  <c r="AG60" i="27"/>
  <c r="AG96" i="27"/>
  <c r="AG132" i="27"/>
  <c r="AG53" i="27"/>
  <c r="AG14" i="27"/>
  <c r="AG55" i="27"/>
  <c r="AG139" i="27"/>
  <c r="AG52" i="27"/>
  <c r="AG117" i="27"/>
  <c r="AG118" i="27"/>
  <c r="AG121" i="27"/>
  <c r="AG100" i="27"/>
  <c r="AG113" i="27"/>
  <c r="AG104" i="27"/>
  <c r="AG12" i="27"/>
  <c r="AG28" i="27"/>
  <c r="AG95" i="27"/>
  <c r="AG112" i="27"/>
  <c r="AG97" i="27"/>
  <c r="AG27" i="27"/>
  <c r="AG114" i="27"/>
  <c r="AG101" i="27"/>
  <c r="AG59" i="27"/>
  <c r="AG105" i="27"/>
  <c r="AG140" i="27"/>
  <c r="AG127" i="27"/>
  <c r="AG23" i="27"/>
  <c r="AG24" i="27"/>
  <c r="AG44" i="27"/>
  <c r="T140" i="27"/>
  <c r="N23" i="26"/>
  <c r="S23" i="26" s="1"/>
  <c r="AG23" i="26" s="1"/>
  <c r="AA12" i="26"/>
  <c r="AF12" i="26" s="1"/>
  <c r="AG12" i="26" s="1"/>
  <c r="N101" i="26"/>
  <c r="S101" i="26" s="1"/>
  <c r="AG101" i="26" s="1"/>
  <c r="AA36" i="26"/>
  <c r="AF36" i="26" s="1"/>
  <c r="AG36" i="26" s="1"/>
  <c r="AA41" i="26"/>
  <c r="AF41" i="26" s="1"/>
  <c r="AG41" i="26" s="1"/>
  <c r="N15" i="26"/>
  <c r="S15" i="26" s="1"/>
  <c r="AG15" i="26" s="1"/>
  <c r="AA26" i="26"/>
  <c r="AF26" i="26" s="1"/>
  <c r="AG26" i="26" s="1"/>
  <c r="N85" i="26"/>
  <c r="S85" i="26" s="1"/>
  <c r="AG85" i="26" s="1"/>
  <c r="N31" i="26"/>
  <c r="S31" i="26" s="1"/>
  <c r="AG31" i="26" s="1"/>
  <c r="N49" i="27"/>
  <c r="S49" i="27" s="1"/>
  <c r="AG49" i="27" s="1"/>
  <c r="N29" i="26"/>
  <c r="S29" i="26" s="1"/>
  <c r="AG29" i="26" s="1"/>
  <c r="T11" i="26"/>
  <c r="T92" i="26"/>
  <c r="T40" i="26"/>
  <c r="T98" i="26"/>
  <c r="T24" i="26"/>
  <c r="T76" i="26"/>
  <c r="T16" i="26"/>
  <c r="T37" i="26"/>
  <c r="T127" i="26"/>
  <c r="T88" i="26"/>
  <c r="T30" i="26"/>
  <c r="T89" i="26"/>
  <c r="T17" i="26"/>
  <c r="T104" i="26"/>
  <c r="T57" i="26"/>
  <c r="T65" i="26"/>
  <c r="T84" i="26"/>
  <c r="T58" i="26"/>
  <c r="T43" i="26"/>
  <c r="T26" i="26"/>
  <c r="T100" i="26"/>
  <c r="T67" i="26"/>
  <c r="T42" i="26"/>
  <c r="T18" i="26"/>
  <c r="T24" i="27"/>
  <c r="T59" i="27"/>
  <c r="T112" i="27"/>
  <c r="T37" i="27"/>
  <c r="T16" i="27"/>
  <c r="T105" i="27"/>
  <c r="T121" i="27"/>
  <c r="T139" i="27"/>
  <c r="T44" i="27"/>
  <c r="T97" i="27"/>
  <c r="T18" i="27"/>
  <c r="T26" i="27"/>
  <c r="T131" i="27"/>
  <c r="T27" i="27"/>
  <c r="T50" i="27"/>
  <c r="T148" i="27"/>
  <c r="T19" i="27"/>
  <c r="T40" i="27"/>
  <c r="T43" i="27"/>
  <c r="T116" i="27"/>
  <c r="T115" i="27"/>
  <c r="T22" i="27"/>
  <c r="T15" i="27"/>
  <c r="T53" i="27"/>
  <c r="T36" i="27"/>
  <c r="T14" i="27"/>
  <c r="T52" i="27"/>
  <c r="T127" i="27"/>
  <c r="T13" i="27"/>
  <c r="T123" i="27"/>
  <c r="T147" i="27"/>
  <c r="T28" i="27"/>
  <c r="T99" i="27"/>
  <c r="T60" i="27"/>
  <c r="T129" i="27"/>
  <c r="T100" i="27"/>
  <c r="T118" i="27"/>
  <c r="T23" i="27"/>
  <c r="T95" i="27"/>
  <c r="T113" i="27"/>
  <c r="T55" i="27"/>
  <c r="AA21" i="32"/>
  <c r="AF21" i="32" s="1"/>
  <c r="N21" i="32"/>
  <c r="S21" i="32" s="1"/>
  <c r="AA134" i="32"/>
  <c r="AF134" i="32" s="1"/>
  <c r="N134" i="32"/>
  <c r="S134" i="32" s="1"/>
  <c r="AG134" i="32" s="1"/>
  <c r="AA16" i="32"/>
  <c r="AF16" i="32" s="1"/>
  <c r="N16" i="32"/>
  <c r="S16" i="32" s="1"/>
  <c r="AG16" i="32" s="1"/>
  <c r="N68" i="32"/>
  <c r="S68" i="32" s="1"/>
  <c r="AG68" i="32" s="1"/>
  <c r="AA68" i="32"/>
  <c r="AF68" i="32" s="1"/>
  <c r="N35" i="27"/>
  <c r="S35" i="27" s="1"/>
  <c r="AG35" i="27" s="1"/>
  <c r="AA84" i="26"/>
  <c r="AF84" i="26" s="1"/>
  <c r="AG84" i="26" s="1"/>
  <c r="N36" i="32"/>
  <c r="S36" i="32" s="1"/>
  <c r="AA36" i="32"/>
  <c r="AF36" i="32" s="1"/>
  <c r="N20" i="32"/>
  <c r="S20" i="32" s="1"/>
  <c r="AA20" i="32"/>
  <c r="AF20" i="32" s="1"/>
  <c r="N35" i="32"/>
  <c r="S35" i="32" s="1"/>
  <c r="AA35" i="32"/>
  <c r="AF35" i="32" s="1"/>
  <c r="AA128" i="32"/>
  <c r="AF128" i="32" s="1"/>
  <c r="N128" i="32"/>
  <c r="S128" i="32" s="1"/>
  <c r="N131" i="32"/>
  <c r="S131" i="32" s="1"/>
  <c r="AG131" i="32" s="1"/>
  <c r="AA131" i="32"/>
  <c r="AF131" i="32" s="1"/>
  <c r="N34" i="26"/>
  <c r="S34" i="26" s="1"/>
  <c r="AA34" i="26"/>
  <c r="AF34" i="26" s="1"/>
  <c r="AA56" i="32"/>
  <c r="AF56" i="32" s="1"/>
  <c r="N56" i="32"/>
  <c r="S56" i="32" s="1"/>
  <c r="AG56" i="32" s="1"/>
  <c r="AA72" i="32"/>
  <c r="AF72" i="32" s="1"/>
  <c r="N72" i="32"/>
  <c r="S72" i="32" s="1"/>
  <c r="N67" i="32"/>
  <c r="S67" i="32" s="1"/>
  <c r="AA67" i="32"/>
  <c r="AF67" i="32" s="1"/>
  <c r="N100" i="32"/>
  <c r="S100" i="32" s="1"/>
  <c r="AA100" i="32"/>
  <c r="AF100" i="32" s="1"/>
  <c r="AA119" i="32"/>
  <c r="AF119" i="32" s="1"/>
  <c r="N119" i="32"/>
  <c r="S119" i="32" s="1"/>
  <c r="AA125" i="32"/>
  <c r="AF125" i="32" s="1"/>
  <c r="N125" i="32"/>
  <c r="S125" i="32" s="1"/>
  <c r="N107" i="32"/>
  <c r="S107" i="32" s="1"/>
  <c r="AA107" i="32"/>
  <c r="AF107" i="32" s="1"/>
  <c r="AA46" i="32"/>
  <c r="AF46" i="32" s="1"/>
  <c r="N46" i="32"/>
  <c r="S46" i="32" s="1"/>
  <c r="AA49" i="32"/>
  <c r="AF49" i="32" s="1"/>
  <c r="N49" i="32"/>
  <c r="S49" i="32" s="1"/>
  <c r="AA123" i="32"/>
  <c r="AF123" i="32" s="1"/>
  <c r="N123" i="32"/>
  <c r="S123" i="32" s="1"/>
  <c r="AA40" i="32"/>
  <c r="AF40" i="32" s="1"/>
  <c r="N40" i="32"/>
  <c r="S40" i="32" s="1"/>
  <c r="N11" i="27"/>
  <c r="S11" i="27" s="1"/>
  <c r="AG11" i="27" s="1"/>
  <c r="N13" i="26"/>
  <c r="S13" i="26" s="1"/>
  <c r="AG13" i="26" s="1"/>
  <c r="AA25" i="32"/>
  <c r="AF25" i="32" s="1"/>
  <c r="N25" i="32"/>
  <c r="S25" i="32" s="1"/>
  <c r="AA23" i="32"/>
  <c r="AF23" i="32" s="1"/>
  <c r="N23" i="32"/>
  <c r="S23" i="32" s="1"/>
  <c r="N27" i="32"/>
  <c r="S27" i="32" s="1"/>
  <c r="AA27" i="32"/>
  <c r="AF27" i="32" s="1"/>
  <c r="AA137" i="32"/>
  <c r="AF137" i="32" s="1"/>
  <c r="N137" i="32"/>
  <c r="S137" i="32" s="1"/>
  <c r="AA138" i="32"/>
  <c r="AF138" i="32" s="1"/>
  <c r="N138" i="32"/>
  <c r="S138" i="32" s="1"/>
  <c r="AA57" i="32"/>
  <c r="AF57" i="32" s="1"/>
  <c r="N57" i="32"/>
  <c r="S57" i="32" s="1"/>
  <c r="AG57" i="32" s="1"/>
  <c r="AA62" i="32"/>
  <c r="AF62" i="32" s="1"/>
  <c r="N62" i="32"/>
  <c r="S62" i="32" s="1"/>
  <c r="N59" i="32"/>
  <c r="S59" i="32" s="1"/>
  <c r="AG59" i="32" s="1"/>
  <c r="AA59" i="32"/>
  <c r="AF59" i="32" s="1"/>
  <c r="AA110" i="32"/>
  <c r="AF110" i="32" s="1"/>
  <c r="N110" i="32"/>
  <c r="S110" i="32" s="1"/>
  <c r="N108" i="32"/>
  <c r="S108" i="32" s="1"/>
  <c r="AA108" i="32"/>
  <c r="AF108" i="32" s="1"/>
  <c r="AA113" i="32"/>
  <c r="AF113" i="32" s="1"/>
  <c r="N113" i="32"/>
  <c r="S113" i="32" s="1"/>
  <c r="N99" i="32"/>
  <c r="S99" i="32" s="1"/>
  <c r="AG99" i="32" s="1"/>
  <c r="AA99" i="32"/>
  <c r="AF99" i="32" s="1"/>
  <c r="AA34" i="27"/>
  <c r="AF34" i="27" s="1"/>
  <c r="N34" i="27"/>
  <c r="S34" i="27" s="1"/>
  <c r="AA45" i="32"/>
  <c r="AF45" i="32" s="1"/>
  <c r="N45" i="32"/>
  <c r="S45" i="32" s="1"/>
  <c r="AA48" i="32"/>
  <c r="AF48" i="32" s="1"/>
  <c r="N48" i="32"/>
  <c r="S48" i="32" s="1"/>
  <c r="AA37" i="32"/>
  <c r="AF37" i="32" s="1"/>
  <c r="N37" i="32"/>
  <c r="S37" i="32" s="1"/>
  <c r="N60" i="32"/>
  <c r="S60" i="32" s="1"/>
  <c r="AA60" i="32"/>
  <c r="AF60" i="32" s="1"/>
  <c r="N116" i="32"/>
  <c r="S116" i="32" s="1"/>
  <c r="AA116" i="32"/>
  <c r="AF116" i="32" s="1"/>
  <c r="N140" i="32"/>
  <c r="S140" i="32" s="1"/>
  <c r="AA140" i="32"/>
  <c r="AF140" i="32" s="1"/>
  <c r="N75" i="32"/>
  <c r="S75" i="32" s="1"/>
  <c r="AA75" i="32"/>
  <c r="AF75" i="32" s="1"/>
  <c r="AA118" i="32"/>
  <c r="AF118" i="32" s="1"/>
  <c r="N118" i="32"/>
  <c r="S118" i="32" s="1"/>
  <c r="AA86" i="26"/>
  <c r="AF86" i="26" s="1"/>
  <c r="AG86" i="26" s="1"/>
  <c r="AA32" i="32"/>
  <c r="AF32" i="32" s="1"/>
  <c r="N32" i="32"/>
  <c r="S32" i="32" s="1"/>
  <c r="AA39" i="32"/>
  <c r="AF39" i="32" s="1"/>
  <c r="N39" i="32"/>
  <c r="S39" i="32" s="1"/>
  <c r="N19" i="32"/>
  <c r="S19" i="32" s="1"/>
  <c r="AA19" i="32"/>
  <c r="AF19" i="32" s="1"/>
  <c r="AA141" i="32"/>
  <c r="AF141" i="32" s="1"/>
  <c r="N141" i="32"/>
  <c r="S141" i="32" s="1"/>
  <c r="AA130" i="32"/>
  <c r="AF130" i="32" s="1"/>
  <c r="N130" i="32"/>
  <c r="S130" i="32" s="1"/>
  <c r="AG130" i="32" s="1"/>
  <c r="AA51" i="27"/>
  <c r="AF51" i="27" s="1"/>
  <c r="N51" i="27"/>
  <c r="S51" i="27" s="1"/>
  <c r="AA69" i="32"/>
  <c r="AF69" i="32" s="1"/>
  <c r="N69" i="32"/>
  <c r="S69" i="32" s="1"/>
  <c r="AA55" i="32"/>
  <c r="AF55" i="32" s="1"/>
  <c r="N55" i="32"/>
  <c r="S55" i="32" s="1"/>
  <c r="AG55" i="32" s="1"/>
  <c r="AA74" i="32"/>
  <c r="AF74" i="32" s="1"/>
  <c r="N74" i="32"/>
  <c r="S74" i="32" s="1"/>
  <c r="AA101" i="32"/>
  <c r="AF101" i="32" s="1"/>
  <c r="N101" i="32"/>
  <c r="S101" i="32" s="1"/>
  <c r="AG101" i="32" s="1"/>
  <c r="AA127" i="32"/>
  <c r="AF127" i="32" s="1"/>
  <c r="N127" i="32"/>
  <c r="S127" i="32" s="1"/>
  <c r="AA103" i="32"/>
  <c r="AF103" i="32" s="1"/>
  <c r="N103" i="32"/>
  <c r="S103" i="32" s="1"/>
  <c r="AA122" i="32"/>
  <c r="AF122" i="32" s="1"/>
  <c r="N122" i="32"/>
  <c r="S122" i="32" s="1"/>
  <c r="AG122" i="32" s="1"/>
  <c r="AA39" i="27"/>
  <c r="AF39" i="27" s="1"/>
  <c r="N39" i="27"/>
  <c r="S39" i="27" s="1"/>
  <c r="AA54" i="32"/>
  <c r="AF54" i="32" s="1"/>
  <c r="N54" i="32"/>
  <c r="S54" i="32" s="1"/>
  <c r="N51" i="32"/>
  <c r="S51" i="32" s="1"/>
  <c r="AA51" i="32"/>
  <c r="AF51" i="32" s="1"/>
  <c r="N28" i="32"/>
  <c r="S28" i="32" s="1"/>
  <c r="AA28" i="32"/>
  <c r="AF28" i="32" s="1"/>
  <c r="AA139" i="32"/>
  <c r="AF139" i="32" s="1"/>
  <c r="N139" i="32"/>
  <c r="S139" i="32" s="1"/>
  <c r="AA36" i="27"/>
  <c r="AF36" i="27" s="1"/>
  <c r="AG36" i="27" s="1"/>
  <c r="AA69" i="26"/>
  <c r="AF69" i="26" s="1"/>
  <c r="AG69" i="26" s="1"/>
  <c r="AA11" i="32"/>
  <c r="AF11" i="32" s="1"/>
  <c r="N11" i="32"/>
  <c r="S11" i="32" s="1"/>
  <c r="AA33" i="32"/>
  <c r="AF33" i="32" s="1"/>
  <c r="N33" i="32"/>
  <c r="S33" i="32" s="1"/>
  <c r="AA29" i="32"/>
  <c r="AF29" i="32" s="1"/>
  <c r="N29" i="32"/>
  <c r="S29" i="32" s="1"/>
  <c r="AA34" i="32"/>
  <c r="AF34" i="32" s="1"/>
  <c r="N34" i="32"/>
  <c r="S34" i="32" s="1"/>
  <c r="AA136" i="32"/>
  <c r="AF136" i="32" s="1"/>
  <c r="N136" i="32"/>
  <c r="S136" i="32" s="1"/>
  <c r="N76" i="32"/>
  <c r="S76" i="32" s="1"/>
  <c r="AA76" i="32"/>
  <c r="AF76" i="32" s="1"/>
  <c r="AA71" i="32"/>
  <c r="AF71" i="32" s="1"/>
  <c r="N71" i="32"/>
  <c r="S71" i="32" s="1"/>
  <c r="AA66" i="32"/>
  <c r="AF66" i="32" s="1"/>
  <c r="N66" i="32"/>
  <c r="S66" i="32" s="1"/>
  <c r="AA121" i="32"/>
  <c r="AF121" i="32" s="1"/>
  <c r="N121" i="32"/>
  <c r="S121" i="32" s="1"/>
  <c r="AA117" i="32"/>
  <c r="AF117" i="32" s="1"/>
  <c r="N117" i="32"/>
  <c r="S117" i="32" s="1"/>
  <c r="N124" i="32"/>
  <c r="S124" i="32" s="1"/>
  <c r="AA124" i="32"/>
  <c r="AF124" i="32" s="1"/>
  <c r="AA114" i="32"/>
  <c r="AF114" i="32" s="1"/>
  <c r="N114" i="32"/>
  <c r="S114" i="32" s="1"/>
  <c r="AG114" i="32" s="1"/>
  <c r="N44" i="32"/>
  <c r="S44" i="32" s="1"/>
  <c r="AA44" i="32"/>
  <c r="AF44" i="32" s="1"/>
  <c r="N43" i="32"/>
  <c r="S43" i="32" s="1"/>
  <c r="AA43" i="32"/>
  <c r="AF43" i="32" s="1"/>
  <c r="AA63" i="32"/>
  <c r="AF63" i="32" s="1"/>
  <c r="N63" i="32"/>
  <c r="S63" i="32" s="1"/>
  <c r="AG63" i="32" s="1"/>
  <c r="N91" i="26"/>
  <c r="S91" i="26" s="1"/>
  <c r="AG91" i="26" s="1"/>
  <c r="AA30" i="32"/>
  <c r="AF30" i="32" s="1"/>
  <c r="N30" i="32"/>
  <c r="S30" i="32" s="1"/>
  <c r="AA30" i="26"/>
  <c r="AF30" i="26" s="1"/>
  <c r="AG30" i="26" s="1"/>
  <c r="AA13" i="32"/>
  <c r="AF13" i="32" s="1"/>
  <c r="N13" i="32"/>
  <c r="S13" i="32" s="1"/>
  <c r="AG13" i="32" s="1"/>
  <c r="AA22" i="32"/>
  <c r="AF22" i="32" s="1"/>
  <c r="N22" i="32"/>
  <c r="S22" i="32" s="1"/>
  <c r="AA17" i="32"/>
  <c r="AF17" i="32" s="1"/>
  <c r="N17" i="32"/>
  <c r="S17" i="32" s="1"/>
  <c r="N26" i="32"/>
  <c r="S26" i="32" s="1"/>
  <c r="AA26" i="32"/>
  <c r="AF26" i="32" s="1"/>
  <c r="AA58" i="27"/>
  <c r="AF58" i="27" s="1"/>
  <c r="N58" i="27"/>
  <c r="S58" i="27" s="1"/>
  <c r="AA133" i="32"/>
  <c r="AF133" i="32" s="1"/>
  <c r="N133" i="32"/>
  <c r="S133" i="32" s="1"/>
  <c r="AA129" i="32"/>
  <c r="AF129" i="32" s="1"/>
  <c r="N129" i="32"/>
  <c r="S129" i="32" s="1"/>
  <c r="AG129" i="32" s="1"/>
  <c r="AA64" i="32"/>
  <c r="AF64" i="32" s="1"/>
  <c r="N64" i="32"/>
  <c r="S64" i="32" s="1"/>
  <c r="AG64" i="32" s="1"/>
  <c r="AA61" i="32"/>
  <c r="AF61" i="32" s="1"/>
  <c r="N61" i="32"/>
  <c r="S61" i="32" s="1"/>
  <c r="AG61" i="32" s="1"/>
  <c r="N58" i="32"/>
  <c r="S58" i="32" s="1"/>
  <c r="AG58" i="32" s="1"/>
  <c r="AA58" i="32"/>
  <c r="AF58" i="32" s="1"/>
  <c r="AA120" i="32"/>
  <c r="AF120" i="32" s="1"/>
  <c r="N120" i="32"/>
  <c r="S120" i="32" s="1"/>
  <c r="AA105" i="32"/>
  <c r="AF105" i="32" s="1"/>
  <c r="N105" i="32"/>
  <c r="S105" i="32" s="1"/>
  <c r="AA112" i="32"/>
  <c r="AF112" i="32" s="1"/>
  <c r="N112" i="32"/>
  <c r="S112" i="32" s="1"/>
  <c r="AG112" i="32" s="1"/>
  <c r="N106" i="32"/>
  <c r="S106" i="32" s="1"/>
  <c r="AA106" i="32"/>
  <c r="AF106" i="32" s="1"/>
  <c r="AA53" i="32"/>
  <c r="AF53" i="32" s="1"/>
  <c r="N53" i="32"/>
  <c r="S53" i="32" s="1"/>
  <c r="AA50" i="32"/>
  <c r="AF50" i="32" s="1"/>
  <c r="N50" i="32"/>
  <c r="S50" i="32" s="1"/>
  <c r="N132" i="32"/>
  <c r="S132" i="32" s="1"/>
  <c r="AA132" i="32"/>
  <c r="AF132" i="32" s="1"/>
  <c r="AA109" i="32"/>
  <c r="AF109" i="32" s="1"/>
  <c r="N109" i="32"/>
  <c r="S109" i="32" s="1"/>
  <c r="N52" i="32"/>
  <c r="S52" i="32" s="1"/>
  <c r="AA52" i="32"/>
  <c r="AF52" i="32" s="1"/>
  <c r="AA24" i="32"/>
  <c r="AF24" i="32" s="1"/>
  <c r="N24" i="32"/>
  <c r="S24" i="32" s="1"/>
  <c r="AA65" i="32"/>
  <c r="AF65" i="32" s="1"/>
  <c r="N65" i="32"/>
  <c r="S65" i="32" s="1"/>
  <c r="AG65" i="32" s="1"/>
  <c r="AA104" i="32"/>
  <c r="AF104" i="32" s="1"/>
  <c r="N104" i="32"/>
  <c r="S104" i="32" s="1"/>
  <c r="AA115" i="32"/>
  <c r="AF115" i="32" s="1"/>
  <c r="N115" i="32"/>
  <c r="S115" i="32" s="1"/>
  <c r="AA47" i="32"/>
  <c r="AF47" i="32" s="1"/>
  <c r="N47" i="32"/>
  <c r="S47" i="32" s="1"/>
  <c r="AA104" i="26"/>
  <c r="AF104" i="26" s="1"/>
  <c r="AG104" i="26" s="1"/>
  <c r="N38" i="27"/>
  <c r="S38" i="27" s="1"/>
  <c r="AG38" i="27" s="1"/>
  <c r="AA17" i="26"/>
  <c r="AF17" i="26" s="1"/>
  <c r="AG17" i="26" s="1"/>
  <c r="AA15" i="32"/>
  <c r="AF15" i="32" s="1"/>
  <c r="N15" i="32"/>
  <c r="S15" i="32" s="1"/>
  <c r="AA31" i="32"/>
  <c r="AF31" i="32" s="1"/>
  <c r="N31" i="32"/>
  <c r="S31" i="32" s="1"/>
  <c r="AA38" i="32"/>
  <c r="AF38" i="32" s="1"/>
  <c r="N38" i="32"/>
  <c r="S38" i="32" s="1"/>
  <c r="AA18" i="32"/>
  <c r="AF18" i="32" s="1"/>
  <c r="N18" i="32"/>
  <c r="S18" i="32" s="1"/>
  <c r="AG18" i="32" s="1"/>
  <c r="M82" i="32"/>
  <c r="M90" i="32"/>
  <c r="M98" i="32"/>
  <c r="M83" i="32"/>
  <c r="M91" i="32"/>
  <c r="M80" i="32"/>
  <c r="M92" i="32"/>
  <c r="M81" i="32"/>
  <c r="M93" i="32"/>
  <c r="M97" i="32"/>
  <c r="M84" i="32"/>
  <c r="M94" i="32"/>
  <c r="M85" i="32"/>
  <c r="M95" i="32"/>
  <c r="M96" i="32"/>
  <c r="M77" i="32"/>
  <c r="M87" i="32"/>
  <c r="M86" i="32"/>
  <c r="M78" i="32"/>
  <c r="M79" i="32"/>
  <c r="M88" i="32"/>
  <c r="M89" i="32"/>
  <c r="M116" i="26"/>
  <c r="M92" i="27"/>
  <c r="M86" i="27"/>
  <c r="M79" i="27"/>
  <c r="M73" i="27"/>
  <c r="M61" i="27"/>
  <c r="M85" i="27"/>
  <c r="M72" i="27"/>
  <c r="M108" i="26"/>
  <c r="M90" i="27"/>
  <c r="M84" i="27"/>
  <c r="M77" i="27"/>
  <c r="M71" i="27"/>
  <c r="M65" i="27"/>
  <c r="M106" i="26"/>
  <c r="M89" i="27"/>
  <c r="M83" i="27"/>
  <c r="M76" i="27"/>
  <c r="M70" i="27"/>
  <c r="M64" i="27"/>
  <c r="M66" i="27"/>
  <c r="M88" i="27"/>
  <c r="M69" i="27"/>
  <c r="M93" i="27"/>
  <c r="M67" i="27"/>
  <c r="M114" i="26"/>
  <c r="M91" i="27"/>
  <c r="M78" i="27"/>
  <c r="M82" i="27"/>
  <c r="M75" i="27"/>
  <c r="M68" i="27"/>
  <c r="M74" i="27"/>
  <c r="M62" i="27"/>
  <c r="M87" i="27"/>
  <c r="M81" i="27"/>
  <c r="M63" i="27"/>
  <c r="M80" i="27"/>
  <c r="N142" i="32"/>
  <c r="S142" i="32" s="1"/>
  <c r="AA142" i="32"/>
  <c r="AF142" i="32" s="1"/>
  <c r="AA135" i="32"/>
  <c r="AF135" i="32" s="1"/>
  <c r="N135" i="32"/>
  <c r="S135" i="32" s="1"/>
  <c r="AG135" i="32" s="1"/>
  <c r="AA73" i="32"/>
  <c r="AF73" i="32" s="1"/>
  <c r="N73" i="32"/>
  <c r="S73" i="32" s="1"/>
  <c r="AA70" i="32"/>
  <c r="AF70" i="32" s="1"/>
  <c r="N70" i="32"/>
  <c r="S70" i="32" s="1"/>
  <c r="AA111" i="32"/>
  <c r="AF111" i="32" s="1"/>
  <c r="N111" i="32"/>
  <c r="S111" i="32" s="1"/>
  <c r="AA126" i="32"/>
  <c r="AF126" i="32" s="1"/>
  <c r="N126" i="32"/>
  <c r="S126" i="32" s="1"/>
  <c r="AA102" i="32"/>
  <c r="AF102" i="32" s="1"/>
  <c r="N102" i="32"/>
  <c r="S102" i="32" s="1"/>
  <c r="AA41" i="32"/>
  <c r="AF41" i="32" s="1"/>
  <c r="N41" i="32"/>
  <c r="S41" i="32" s="1"/>
  <c r="AG41" i="32" s="1"/>
  <c r="AA42" i="32"/>
  <c r="AF42" i="32" s="1"/>
  <c r="N42" i="32"/>
  <c r="S42" i="32" s="1"/>
  <c r="T106" i="27"/>
  <c r="T72" i="26"/>
  <c r="T47" i="27"/>
  <c r="T114" i="27"/>
  <c r="T48" i="27"/>
  <c r="T31" i="27"/>
  <c r="T21" i="27"/>
  <c r="T57" i="27"/>
  <c r="T45" i="27"/>
  <c r="T25" i="27"/>
  <c r="T33" i="26"/>
  <c r="AA75" i="26"/>
  <c r="AF75" i="26" s="1"/>
  <c r="N75" i="26"/>
  <c r="S75" i="26" s="1"/>
  <c r="N123" i="26"/>
  <c r="S123" i="26" s="1"/>
  <c r="AA123" i="26"/>
  <c r="AF123" i="26" s="1"/>
  <c r="AA122" i="26"/>
  <c r="AF122" i="26" s="1"/>
  <c r="N122" i="26"/>
  <c r="S122" i="26" s="1"/>
  <c r="N110" i="26"/>
  <c r="S110" i="26" s="1"/>
  <c r="AA110" i="26"/>
  <c r="AF110" i="26" s="1"/>
  <c r="AA138" i="26"/>
  <c r="AF138" i="26" s="1"/>
  <c r="N138" i="26"/>
  <c r="S138" i="26" s="1"/>
  <c r="N32" i="26"/>
  <c r="S32" i="26" s="1"/>
  <c r="AA32" i="26"/>
  <c r="AF32" i="26" s="1"/>
  <c r="N38" i="26"/>
  <c r="S38" i="26" s="1"/>
  <c r="AA38" i="26"/>
  <c r="AF38" i="26" s="1"/>
  <c r="AA140" i="26"/>
  <c r="AF140" i="26" s="1"/>
  <c r="N140" i="26"/>
  <c r="S140" i="26" s="1"/>
  <c r="T60" i="26"/>
  <c r="AA133" i="27"/>
  <c r="AF133" i="27" s="1"/>
  <c r="N133" i="27"/>
  <c r="S133" i="27" s="1"/>
  <c r="N145" i="27"/>
  <c r="S145" i="27" s="1"/>
  <c r="AA145" i="27"/>
  <c r="AF145" i="27" s="1"/>
  <c r="AA35" i="26"/>
  <c r="AF35" i="26" s="1"/>
  <c r="N35" i="26"/>
  <c r="S35" i="26" s="1"/>
  <c r="N54" i="26"/>
  <c r="S54" i="26" s="1"/>
  <c r="AA54" i="26"/>
  <c r="AF54" i="26" s="1"/>
  <c r="T102" i="27"/>
  <c r="T108" i="27"/>
  <c r="T30" i="27"/>
  <c r="AA126" i="26"/>
  <c r="AF126" i="26" s="1"/>
  <c r="N126" i="26"/>
  <c r="S126" i="26" s="1"/>
  <c r="N20" i="26"/>
  <c r="S20" i="26" s="1"/>
  <c r="AA20" i="26"/>
  <c r="AF20" i="26" s="1"/>
  <c r="T25" i="26"/>
  <c r="N136" i="26"/>
  <c r="S136" i="26" s="1"/>
  <c r="AA136" i="26"/>
  <c r="AF136" i="26" s="1"/>
  <c r="N118" i="26"/>
  <c r="S118" i="26" s="1"/>
  <c r="AA118" i="26"/>
  <c r="AF118" i="26" s="1"/>
  <c r="N64" i="26"/>
  <c r="S64" i="26" s="1"/>
  <c r="AA64" i="26"/>
  <c r="AF64" i="26" s="1"/>
  <c r="N71" i="26"/>
  <c r="S71" i="26" s="1"/>
  <c r="AA71" i="26"/>
  <c r="AF71" i="26" s="1"/>
  <c r="AA141" i="27"/>
  <c r="AF141" i="27" s="1"/>
  <c r="N141" i="27"/>
  <c r="S141" i="27" s="1"/>
  <c r="N136" i="27"/>
  <c r="S136" i="27" s="1"/>
  <c r="AA136" i="27"/>
  <c r="AF136" i="27" s="1"/>
  <c r="AA51" i="26"/>
  <c r="AF51" i="26" s="1"/>
  <c r="N51" i="26"/>
  <c r="S51" i="26" s="1"/>
  <c r="AA45" i="26"/>
  <c r="AF45" i="26" s="1"/>
  <c r="N45" i="26"/>
  <c r="S45" i="26" s="1"/>
  <c r="T96" i="27"/>
  <c r="T117" i="27"/>
  <c r="N48" i="26"/>
  <c r="S48" i="26" s="1"/>
  <c r="AA48" i="26"/>
  <c r="AF48" i="26" s="1"/>
  <c r="N80" i="26"/>
  <c r="S80" i="26" s="1"/>
  <c r="AA80" i="26"/>
  <c r="AF80" i="26" s="1"/>
  <c r="N56" i="26"/>
  <c r="S56" i="26" s="1"/>
  <c r="AA56" i="26"/>
  <c r="AF56" i="26" s="1"/>
  <c r="T12" i="26"/>
  <c r="T109" i="27"/>
  <c r="T99" i="26"/>
  <c r="T69" i="26"/>
  <c r="T41" i="26"/>
  <c r="N120" i="26"/>
  <c r="S120" i="26" s="1"/>
  <c r="AA120" i="26"/>
  <c r="AF120" i="26" s="1"/>
  <c r="N128" i="26"/>
  <c r="S128" i="26" s="1"/>
  <c r="AA128" i="26"/>
  <c r="AF128" i="26" s="1"/>
  <c r="N96" i="26"/>
  <c r="S96" i="26" s="1"/>
  <c r="AA96" i="26"/>
  <c r="AF96" i="26" s="1"/>
  <c r="N139" i="26"/>
  <c r="S139" i="26" s="1"/>
  <c r="AA139" i="26"/>
  <c r="AF139" i="26" s="1"/>
  <c r="N134" i="27"/>
  <c r="S134" i="27" s="1"/>
  <c r="AA134" i="27"/>
  <c r="AF134" i="27" s="1"/>
  <c r="N138" i="27"/>
  <c r="S138" i="27" s="1"/>
  <c r="AA138" i="27"/>
  <c r="AF138" i="27" s="1"/>
  <c r="N44" i="26"/>
  <c r="S44" i="26" s="1"/>
  <c r="AA44" i="26"/>
  <c r="AF44" i="26" s="1"/>
  <c r="N39" i="26"/>
  <c r="S39" i="26" s="1"/>
  <c r="AA39" i="26"/>
  <c r="AF39" i="26" s="1"/>
  <c r="T121" i="26"/>
  <c r="T120" i="27"/>
  <c r="T128" i="27"/>
  <c r="T103" i="27"/>
  <c r="N62" i="26"/>
  <c r="S62" i="26" s="1"/>
  <c r="AA62" i="26"/>
  <c r="AF62" i="26" s="1"/>
  <c r="N94" i="26"/>
  <c r="S94" i="26" s="1"/>
  <c r="AA94" i="26"/>
  <c r="AF94" i="26" s="1"/>
  <c r="T29" i="27"/>
  <c r="N137" i="26"/>
  <c r="S137" i="26" s="1"/>
  <c r="AA137" i="26"/>
  <c r="AF137" i="26" s="1"/>
  <c r="N152" i="27"/>
  <c r="S152" i="27" s="1"/>
  <c r="AA152" i="27"/>
  <c r="AF152" i="27" s="1"/>
  <c r="T17" i="27"/>
  <c r="T22" i="26"/>
  <c r="N19" i="26"/>
  <c r="S19" i="26" s="1"/>
  <c r="AA19" i="26"/>
  <c r="AF19" i="26" s="1"/>
  <c r="N131" i="26"/>
  <c r="S131" i="26" s="1"/>
  <c r="AA131" i="26"/>
  <c r="AF131" i="26" s="1"/>
  <c r="AA117" i="26"/>
  <c r="AF117" i="26" s="1"/>
  <c r="N117" i="26"/>
  <c r="S117" i="26" s="1"/>
  <c r="T87" i="26"/>
  <c r="T52" i="26"/>
  <c r="AA68" i="26"/>
  <c r="AF68" i="26" s="1"/>
  <c r="N68" i="26"/>
  <c r="S68" i="26" s="1"/>
  <c r="N79" i="26"/>
  <c r="S79" i="26" s="1"/>
  <c r="AA79" i="26"/>
  <c r="AF79" i="26" s="1"/>
  <c r="AA70" i="26"/>
  <c r="AF70" i="26" s="1"/>
  <c r="N70" i="26"/>
  <c r="S70" i="26" s="1"/>
  <c r="N142" i="27"/>
  <c r="S142" i="27" s="1"/>
  <c r="AA142" i="27"/>
  <c r="AF142" i="27" s="1"/>
  <c r="N146" i="27"/>
  <c r="S146" i="27" s="1"/>
  <c r="AA146" i="27"/>
  <c r="AF146" i="27" s="1"/>
  <c r="AA135" i="27"/>
  <c r="AF135" i="27" s="1"/>
  <c r="N135" i="27"/>
  <c r="S135" i="27" s="1"/>
  <c r="N47" i="26"/>
  <c r="S47" i="26" s="1"/>
  <c r="AA47" i="26"/>
  <c r="AF47" i="26" s="1"/>
  <c r="T14" i="26"/>
  <c r="T125" i="26"/>
  <c r="T132" i="27"/>
  <c r="N124" i="26"/>
  <c r="S124" i="26" s="1"/>
  <c r="AA124" i="26"/>
  <c r="AF124" i="26" s="1"/>
  <c r="N133" i="26"/>
  <c r="S133" i="26" s="1"/>
  <c r="T27" i="26"/>
  <c r="N144" i="27"/>
  <c r="S144" i="27" s="1"/>
  <c r="AA144" i="27"/>
  <c r="AF144" i="27" s="1"/>
  <c r="N78" i="26"/>
  <c r="S78" i="26" s="1"/>
  <c r="AA78" i="26"/>
  <c r="AF78" i="26" s="1"/>
  <c r="T104" i="27"/>
  <c r="T46" i="27"/>
  <c r="T66" i="26"/>
  <c r="T28" i="26"/>
  <c r="N63" i="26"/>
  <c r="S63" i="26" s="1"/>
  <c r="AA63" i="26"/>
  <c r="AF63" i="26" s="1"/>
  <c r="AA61" i="26"/>
  <c r="AF61" i="26" s="1"/>
  <c r="N61" i="26"/>
  <c r="S61" i="26" s="1"/>
  <c r="N134" i="26"/>
  <c r="S134" i="26" s="1"/>
  <c r="AA134" i="26"/>
  <c r="AF134" i="26" s="1"/>
  <c r="AA132" i="26"/>
  <c r="AF132" i="26" s="1"/>
  <c r="N132" i="26"/>
  <c r="S132" i="26" s="1"/>
  <c r="N97" i="26"/>
  <c r="S97" i="26" s="1"/>
  <c r="AA97" i="26"/>
  <c r="AF97" i="26" s="1"/>
  <c r="N95" i="26"/>
  <c r="S95" i="26" s="1"/>
  <c r="AA95" i="26"/>
  <c r="AF95" i="26" s="1"/>
  <c r="AA77" i="26"/>
  <c r="AF77" i="26" s="1"/>
  <c r="N77" i="26"/>
  <c r="S77" i="26" s="1"/>
  <c r="T86" i="26"/>
  <c r="T110" i="27"/>
  <c r="N150" i="27"/>
  <c r="S150" i="27" s="1"/>
  <c r="AA150" i="27"/>
  <c r="AF150" i="27" s="1"/>
  <c r="N50" i="26"/>
  <c r="S50" i="26" s="1"/>
  <c r="AA50" i="26"/>
  <c r="AF50" i="26" s="1"/>
  <c r="AA143" i="27"/>
  <c r="AF143" i="27" s="1"/>
  <c r="N143" i="27"/>
  <c r="S143" i="27" s="1"/>
  <c r="N55" i="26"/>
  <c r="S55" i="26" s="1"/>
  <c r="AA55" i="26"/>
  <c r="AF55" i="26" s="1"/>
  <c r="T111" i="27"/>
  <c r="T101" i="27"/>
  <c r="T74" i="26"/>
  <c r="N73" i="26"/>
  <c r="S73" i="26" s="1"/>
  <c r="AA73" i="26"/>
  <c r="AF73" i="26" s="1"/>
  <c r="AA149" i="27"/>
  <c r="AF149" i="27" s="1"/>
  <c r="N149" i="27"/>
  <c r="S149" i="27" s="1"/>
  <c r="AA53" i="26"/>
  <c r="AF53" i="26" s="1"/>
  <c r="N53" i="26"/>
  <c r="S53" i="26" s="1"/>
  <c r="T81" i="26"/>
  <c r="N129" i="26"/>
  <c r="S129" i="26" s="1"/>
  <c r="AA129" i="26"/>
  <c r="AF129" i="26" s="1"/>
  <c r="N135" i="26"/>
  <c r="S135" i="26" s="1"/>
  <c r="AA135" i="26"/>
  <c r="AF135" i="26" s="1"/>
  <c r="N102" i="26"/>
  <c r="S102" i="26" s="1"/>
  <c r="AA102" i="26"/>
  <c r="AF102" i="26" s="1"/>
  <c r="N130" i="27"/>
  <c r="S130" i="27" s="1"/>
  <c r="AA130" i="27"/>
  <c r="AF130" i="27" s="1"/>
  <c r="T90" i="26"/>
  <c r="T20" i="27"/>
  <c r="T36" i="26"/>
  <c r="T21" i="26"/>
  <c r="AA59" i="26"/>
  <c r="AF59" i="26" s="1"/>
  <c r="N59" i="26"/>
  <c r="S59" i="26" s="1"/>
  <c r="AG59" i="26" s="1"/>
  <c r="N119" i="26"/>
  <c r="S119" i="26" s="1"/>
  <c r="AA119" i="26"/>
  <c r="AF119" i="26" s="1"/>
  <c r="AA107" i="26"/>
  <c r="AF107" i="26" s="1"/>
  <c r="N107" i="26"/>
  <c r="S107" i="26" s="1"/>
  <c r="N111" i="26"/>
  <c r="S111" i="26" s="1"/>
  <c r="AA111" i="26"/>
  <c r="AF111" i="26" s="1"/>
  <c r="AA130" i="26"/>
  <c r="AF130" i="26" s="1"/>
  <c r="N130" i="26"/>
  <c r="S130" i="26" s="1"/>
  <c r="N105" i="26"/>
  <c r="S105" i="26" s="1"/>
  <c r="AA105" i="26"/>
  <c r="AF105" i="26" s="1"/>
  <c r="N103" i="26"/>
  <c r="S103" i="26" s="1"/>
  <c r="AA103" i="26"/>
  <c r="AF103" i="26" s="1"/>
  <c r="AA93" i="26"/>
  <c r="AF93" i="26" s="1"/>
  <c r="N93" i="26"/>
  <c r="S93" i="26" s="1"/>
  <c r="N49" i="26"/>
  <c r="S49" i="26" s="1"/>
  <c r="AA49" i="26"/>
  <c r="AF49" i="26" s="1"/>
  <c r="N137" i="27"/>
  <c r="S137" i="27" s="1"/>
  <c r="AA137" i="27"/>
  <c r="AF137" i="27" s="1"/>
  <c r="AA151" i="27"/>
  <c r="AF151" i="27" s="1"/>
  <c r="N151" i="27"/>
  <c r="S151" i="27" s="1"/>
  <c r="N46" i="26"/>
  <c r="S46" i="26" s="1"/>
  <c r="AA46" i="26"/>
  <c r="AF46" i="26" s="1"/>
  <c r="T126" i="27"/>
  <c r="T12" i="27"/>
  <c r="AG70" i="26" l="1"/>
  <c r="AG46" i="26"/>
  <c r="AG105" i="26"/>
  <c r="AG97" i="26"/>
  <c r="AG39" i="26"/>
  <c r="T94" i="27"/>
  <c r="T33" i="27"/>
  <c r="AG20" i="26"/>
  <c r="AG42" i="27"/>
  <c r="AA113" i="26"/>
  <c r="AF113" i="26" s="1"/>
  <c r="AG113" i="26" s="1"/>
  <c r="AG53" i="26"/>
  <c r="AG98" i="27"/>
  <c r="N109" i="26"/>
  <c r="S109" i="26" s="1"/>
  <c r="AG109" i="26" s="1"/>
  <c r="AG41" i="27"/>
  <c r="AA112" i="26"/>
  <c r="AF112" i="26" s="1"/>
  <c r="AG37" i="32"/>
  <c r="AG137" i="32"/>
  <c r="AG123" i="32"/>
  <c r="T119" i="27"/>
  <c r="T122" i="27"/>
  <c r="AG110" i="26"/>
  <c r="AG93" i="26"/>
  <c r="AG77" i="26"/>
  <c r="AG126" i="26"/>
  <c r="AG122" i="26"/>
  <c r="AG140" i="26"/>
  <c r="AG49" i="26"/>
  <c r="AG102" i="26"/>
  <c r="AG56" i="27"/>
  <c r="AG133" i="26"/>
  <c r="AG125" i="27"/>
  <c r="AG124" i="26"/>
  <c r="AG131" i="26"/>
  <c r="AG120" i="26"/>
  <c r="AG48" i="26"/>
  <c r="AG71" i="26"/>
  <c r="AG142" i="32"/>
  <c r="AG124" i="32"/>
  <c r="AG62" i="26"/>
  <c r="AG126" i="32"/>
  <c r="AG115" i="32"/>
  <c r="AG120" i="32"/>
  <c r="AG117" i="32"/>
  <c r="AG34" i="32"/>
  <c r="AG127" i="32"/>
  <c r="AG27" i="32"/>
  <c r="AG67" i="32"/>
  <c r="AG35" i="32"/>
  <c r="T83" i="26"/>
  <c r="AG130" i="26"/>
  <c r="AG132" i="26"/>
  <c r="AG47" i="26"/>
  <c r="AG136" i="26"/>
  <c r="AG15" i="32"/>
  <c r="AG125" i="32"/>
  <c r="AG111" i="32"/>
  <c r="AG104" i="32"/>
  <c r="AG50" i="32"/>
  <c r="AG121" i="32"/>
  <c r="AG29" i="32"/>
  <c r="AG141" i="32"/>
  <c r="AG70" i="32"/>
  <c r="AG53" i="32"/>
  <c r="AG17" i="32"/>
  <c r="AG66" i="32"/>
  <c r="AG33" i="32"/>
  <c r="AG54" i="32"/>
  <c r="AG74" i="32"/>
  <c r="AG140" i="32"/>
  <c r="AG107" i="32"/>
  <c r="AG36" i="32"/>
  <c r="N115" i="26"/>
  <c r="S115" i="26" s="1"/>
  <c r="AG115" i="26" s="1"/>
  <c r="AG106" i="32"/>
  <c r="AG44" i="32"/>
  <c r="AG113" i="32"/>
  <c r="T12" i="32"/>
  <c r="AG12" i="32"/>
  <c r="AG45" i="26"/>
  <c r="AG73" i="26"/>
  <c r="AG137" i="26"/>
  <c r="AG32" i="26"/>
  <c r="T32" i="27"/>
  <c r="AG45" i="32"/>
  <c r="AG23" i="32"/>
  <c r="AG46" i="32"/>
  <c r="AG72" i="32"/>
  <c r="AG21" i="32"/>
  <c r="AG14" i="32"/>
  <c r="T14" i="32"/>
  <c r="AG55" i="26"/>
  <c r="AG19" i="26"/>
  <c r="AG78" i="26"/>
  <c r="AG68" i="26"/>
  <c r="AG139" i="26"/>
  <c r="AG64" i="26"/>
  <c r="AG38" i="26"/>
  <c r="AG123" i="26"/>
  <c r="AG50" i="26"/>
  <c r="AG111" i="26"/>
  <c r="AG134" i="26"/>
  <c r="AG96" i="26"/>
  <c r="AG118" i="26"/>
  <c r="AG54" i="26"/>
  <c r="AG75" i="26"/>
  <c r="AG107" i="26"/>
  <c r="AG61" i="26"/>
  <c r="AG51" i="26"/>
  <c r="AG35" i="26"/>
  <c r="AG117" i="26"/>
  <c r="AG138" i="26"/>
  <c r="AG119" i="26"/>
  <c r="AG135" i="26"/>
  <c r="AG63" i="26"/>
  <c r="AG94" i="26"/>
  <c r="AG44" i="26"/>
  <c r="AG112" i="26"/>
  <c r="AG56" i="26"/>
  <c r="AG79" i="26"/>
  <c r="AG103" i="26"/>
  <c r="AG129" i="26"/>
  <c r="AG95" i="26"/>
  <c r="AG128" i="26"/>
  <c r="AG80" i="26"/>
  <c r="AG34" i="26"/>
  <c r="T15" i="26"/>
  <c r="AG38" i="32"/>
  <c r="AG132" i="32"/>
  <c r="AG28" i="32"/>
  <c r="AG75" i="32"/>
  <c r="AG20" i="32"/>
  <c r="AG31" i="32"/>
  <c r="AG26" i="32"/>
  <c r="AG51" i="32"/>
  <c r="AG62" i="32"/>
  <c r="AG25" i="32"/>
  <c r="AG43" i="32"/>
  <c r="AG19" i="32"/>
  <c r="AG42" i="32"/>
  <c r="AG73" i="32"/>
  <c r="AG24" i="32"/>
  <c r="AG22" i="32"/>
  <c r="AG71" i="32"/>
  <c r="AG39" i="32"/>
  <c r="AG116" i="32"/>
  <c r="AG138" i="32"/>
  <c r="AG40" i="32"/>
  <c r="AG119" i="32"/>
  <c r="AG69" i="32"/>
  <c r="AG32" i="32"/>
  <c r="AG60" i="32"/>
  <c r="AG52" i="32"/>
  <c r="AG76" i="32"/>
  <c r="AG128" i="32"/>
  <c r="AG102" i="32"/>
  <c r="AG47" i="32"/>
  <c r="AG109" i="32"/>
  <c r="AG105" i="32"/>
  <c r="AG133" i="32"/>
  <c r="AG136" i="32"/>
  <c r="AG139" i="32"/>
  <c r="AG103" i="32"/>
  <c r="AG108" i="32"/>
  <c r="AG100" i="32"/>
  <c r="AG30" i="32"/>
  <c r="AG118" i="32"/>
  <c r="AG48" i="32"/>
  <c r="AG110" i="32"/>
  <c r="AG49" i="32"/>
  <c r="AG11" i="32"/>
  <c r="T123" i="32"/>
  <c r="T101" i="26"/>
  <c r="T23" i="26"/>
  <c r="AG58" i="27"/>
  <c r="AG146" i="27"/>
  <c r="AG151" i="27"/>
  <c r="AG51" i="27"/>
  <c r="AG138" i="27"/>
  <c r="AG143" i="27"/>
  <c r="AG39" i="27"/>
  <c r="AG152" i="27"/>
  <c r="AG34" i="27"/>
  <c r="AG130" i="27"/>
  <c r="AG135" i="27"/>
  <c r="AG142" i="27"/>
  <c r="AG149" i="27"/>
  <c r="AG134" i="27"/>
  <c r="AG137" i="27"/>
  <c r="AG144" i="27"/>
  <c r="AG136" i="27"/>
  <c r="AG145" i="27"/>
  <c r="AG150" i="27"/>
  <c r="AG141" i="27"/>
  <c r="AG133" i="27"/>
  <c r="T31" i="26"/>
  <c r="T85" i="26"/>
  <c r="T29" i="26"/>
  <c r="T49" i="27"/>
  <c r="T99" i="32"/>
  <c r="T43" i="32"/>
  <c r="T107" i="32"/>
  <c r="T140" i="32"/>
  <c r="T67" i="32"/>
  <c r="T55" i="32"/>
  <c r="T68" i="32"/>
  <c r="T76" i="32"/>
  <c r="T37" i="32"/>
  <c r="T137" i="32"/>
  <c r="T128" i="32"/>
  <c r="T138" i="32"/>
  <c r="T102" i="32"/>
  <c r="T109" i="32"/>
  <c r="T133" i="32"/>
  <c r="T139" i="32"/>
  <c r="T108" i="32"/>
  <c r="T129" i="32"/>
  <c r="T60" i="32"/>
  <c r="T142" i="32"/>
  <c r="T30" i="32"/>
  <c r="T124" i="32"/>
  <c r="T118" i="32"/>
  <c r="T48" i="32"/>
  <c r="T110" i="32"/>
  <c r="T134" i="32"/>
  <c r="T44" i="32"/>
  <c r="T112" i="32"/>
  <c r="T115" i="32"/>
  <c r="T120" i="32"/>
  <c r="T35" i="32"/>
  <c r="T106" i="32"/>
  <c r="T113" i="32"/>
  <c r="T40" i="32"/>
  <c r="T38" i="32"/>
  <c r="T45" i="32"/>
  <c r="T23" i="32"/>
  <c r="T72" i="32"/>
  <c r="T104" i="32"/>
  <c r="T63" i="32"/>
  <c r="T29" i="32"/>
  <c r="T101" i="32"/>
  <c r="T75" i="32"/>
  <c r="T59" i="32"/>
  <c r="T31" i="32"/>
  <c r="T58" i="32"/>
  <c r="T26" i="32"/>
  <c r="T51" i="32"/>
  <c r="T62" i="32"/>
  <c r="T25" i="32"/>
  <c r="T131" i="32"/>
  <c r="T53" i="32"/>
  <c r="T36" i="32"/>
  <c r="T70" i="32"/>
  <c r="T65" i="32"/>
  <c r="T61" i="32"/>
  <c r="T57" i="32"/>
  <c r="T125" i="32"/>
  <c r="T73" i="32"/>
  <c r="T22" i="32"/>
  <c r="T71" i="32"/>
  <c r="T39" i="32"/>
  <c r="T116" i="32"/>
  <c r="T34" i="26"/>
  <c r="T13" i="26"/>
  <c r="T91" i="26"/>
  <c r="T34" i="27"/>
  <c r="T38" i="27"/>
  <c r="T11" i="27"/>
  <c r="T39" i="27"/>
  <c r="T51" i="27"/>
  <c r="T58" i="27"/>
  <c r="T35" i="27"/>
  <c r="T119" i="32"/>
  <c r="T141" i="32"/>
  <c r="T49" i="32"/>
  <c r="T56" i="32"/>
  <c r="T127" i="32"/>
  <c r="T103" i="32"/>
  <c r="T54" i="32"/>
  <c r="T24" i="32"/>
  <c r="T111" i="32"/>
  <c r="T121" i="32"/>
  <c r="T42" i="32"/>
  <c r="T105" i="32"/>
  <c r="T50" i="32"/>
  <c r="T47" i="32"/>
  <c r="T136" i="32"/>
  <c r="T126" i="32"/>
  <c r="T117" i="32"/>
  <c r="T33" i="32"/>
  <c r="AA83" i="27"/>
  <c r="AF83" i="27" s="1"/>
  <c r="N83" i="27"/>
  <c r="S83" i="27" s="1"/>
  <c r="N116" i="26"/>
  <c r="S116" i="26" s="1"/>
  <c r="AA116" i="26"/>
  <c r="AF116" i="26" s="1"/>
  <c r="N92" i="32"/>
  <c r="S92" i="32" s="1"/>
  <c r="AA92" i="32"/>
  <c r="AF92" i="32" s="1"/>
  <c r="AA82" i="27"/>
  <c r="AF82" i="27" s="1"/>
  <c r="N82" i="27"/>
  <c r="S82" i="27" s="1"/>
  <c r="AA71" i="27"/>
  <c r="AF71" i="27" s="1"/>
  <c r="N71" i="27"/>
  <c r="S71" i="27" s="1"/>
  <c r="N84" i="32"/>
  <c r="S84" i="32" s="1"/>
  <c r="AA84" i="32"/>
  <c r="AF84" i="32" s="1"/>
  <c r="T20" i="32"/>
  <c r="T69" i="32"/>
  <c r="T132" i="32"/>
  <c r="AA63" i="27"/>
  <c r="AF63" i="27" s="1"/>
  <c r="N63" i="27"/>
  <c r="S63" i="27" s="1"/>
  <c r="AA78" i="27"/>
  <c r="AF78" i="27" s="1"/>
  <c r="N78" i="27"/>
  <c r="S78" i="27" s="1"/>
  <c r="AA64" i="27"/>
  <c r="AF64" i="27" s="1"/>
  <c r="N64" i="27"/>
  <c r="S64" i="27" s="1"/>
  <c r="AA77" i="27"/>
  <c r="AF77" i="27" s="1"/>
  <c r="N77" i="27"/>
  <c r="S77" i="27" s="1"/>
  <c r="AA79" i="27"/>
  <c r="AF79" i="27" s="1"/>
  <c r="N79" i="27"/>
  <c r="S79" i="27" s="1"/>
  <c r="AA86" i="32"/>
  <c r="AF86" i="32" s="1"/>
  <c r="N86" i="32"/>
  <c r="S86" i="32" s="1"/>
  <c r="AA97" i="32"/>
  <c r="AF97" i="32" s="1"/>
  <c r="N97" i="32"/>
  <c r="S97" i="32" s="1"/>
  <c r="N90" i="32"/>
  <c r="S90" i="32" s="1"/>
  <c r="AA90" i="32"/>
  <c r="AF90" i="32" s="1"/>
  <c r="T15" i="32"/>
  <c r="T19" i="32"/>
  <c r="T16" i="32"/>
  <c r="AA67" i="27"/>
  <c r="AF67" i="27" s="1"/>
  <c r="N67" i="27"/>
  <c r="S67" i="27" s="1"/>
  <c r="AA66" i="27"/>
  <c r="AF66" i="27" s="1"/>
  <c r="N66" i="27"/>
  <c r="S66" i="27" s="1"/>
  <c r="AA78" i="32"/>
  <c r="AF78" i="32" s="1"/>
  <c r="N78" i="32"/>
  <c r="S78" i="32" s="1"/>
  <c r="AA98" i="32"/>
  <c r="AF98" i="32" s="1"/>
  <c r="N98" i="32"/>
  <c r="S98" i="32" s="1"/>
  <c r="T32" i="32"/>
  <c r="AA81" i="27"/>
  <c r="AF81" i="27" s="1"/>
  <c r="N81" i="27"/>
  <c r="S81" i="27" s="1"/>
  <c r="N91" i="27"/>
  <c r="S91" i="27" s="1"/>
  <c r="AA91" i="27"/>
  <c r="AF91" i="27" s="1"/>
  <c r="N70" i="27"/>
  <c r="S70" i="27" s="1"/>
  <c r="AA70" i="27"/>
  <c r="AF70" i="27" s="1"/>
  <c r="N84" i="27"/>
  <c r="S84" i="27" s="1"/>
  <c r="AA84" i="27"/>
  <c r="AF84" i="27" s="1"/>
  <c r="AA86" i="27"/>
  <c r="AF86" i="27" s="1"/>
  <c r="N86" i="27"/>
  <c r="S86" i="27" s="1"/>
  <c r="AA87" i="32"/>
  <c r="AF87" i="32" s="1"/>
  <c r="N87" i="32"/>
  <c r="S87" i="32" s="1"/>
  <c r="AA93" i="32"/>
  <c r="AF93" i="32" s="1"/>
  <c r="N93" i="32"/>
  <c r="S93" i="32" s="1"/>
  <c r="N82" i="32"/>
  <c r="S82" i="32" s="1"/>
  <c r="AA82" i="32"/>
  <c r="AF82" i="32" s="1"/>
  <c r="T11" i="32"/>
  <c r="N108" i="26"/>
  <c r="S108" i="26" s="1"/>
  <c r="AA108" i="26"/>
  <c r="AF108" i="26" s="1"/>
  <c r="AA80" i="27"/>
  <c r="AF80" i="27" s="1"/>
  <c r="N80" i="27"/>
  <c r="S80" i="27" s="1"/>
  <c r="AA73" i="27"/>
  <c r="AF73" i="27" s="1"/>
  <c r="N73" i="27"/>
  <c r="S73" i="27" s="1"/>
  <c r="T27" i="32"/>
  <c r="T52" i="32"/>
  <c r="T100" i="32"/>
  <c r="T41" i="32"/>
  <c r="AA87" i="27"/>
  <c r="AF87" i="27" s="1"/>
  <c r="N87" i="27"/>
  <c r="S87" i="27" s="1"/>
  <c r="N114" i="26"/>
  <c r="S114" i="26" s="1"/>
  <c r="AA114" i="26"/>
  <c r="AF114" i="26" s="1"/>
  <c r="N76" i="27"/>
  <c r="S76" i="27" s="1"/>
  <c r="AA76" i="27"/>
  <c r="AF76" i="27" s="1"/>
  <c r="AA90" i="27"/>
  <c r="AF90" i="27" s="1"/>
  <c r="N90" i="27"/>
  <c r="S90" i="27" s="1"/>
  <c r="AA92" i="27"/>
  <c r="AF92" i="27" s="1"/>
  <c r="N92" i="27"/>
  <c r="S92" i="27" s="1"/>
  <c r="AA77" i="32"/>
  <c r="AF77" i="32" s="1"/>
  <c r="N77" i="32"/>
  <c r="S77" i="32" s="1"/>
  <c r="AA81" i="32"/>
  <c r="AF81" i="32" s="1"/>
  <c r="N81" i="32"/>
  <c r="S81" i="32" s="1"/>
  <c r="T18" i="32"/>
  <c r="T13" i="32"/>
  <c r="T122" i="32"/>
  <c r="T74" i="32"/>
  <c r="T66" i="32"/>
  <c r="AA74" i="27"/>
  <c r="AF74" i="27" s="1"/>
  <c r="N74" i="27"/>
  <c r="S74" i="27" s="1"/>
  <c r="N93" i="27"/>
  <c r="S93" i="27" s="1"/>
  <c r="AA93" i="27"/>
  <c r="AF93" i="27" s="1"/>
  <c r="N89" i="27"/>
  <c r="S89" i="27" s="1"/>
  <c r="AA89" i="27"/>
  <c r="AF89" i="27" s="1"/>
  <c r="AA72" i="27"/>
  <c r="AF72" i="27" s="1"/>
  <c r="N72" i="27"/>
  <c r="S72" i="27" s="1"/>
  <c r="AA89" i="32"/>
  <c r="AF89" i="32" s="1"/>
  <c r="N89" i="32"/>
  <c r="S89" i="32" s="1"/>
  <c r="AA95" i="32"/>
  <c r="AF95" i="32" s="1"/>
  <c r="N95" i="32"/>
  <c r="S95" i="32" s="1"/>
  <c r="AA80" i="32"/>
  <c r="AF80" i="32" s="1"/>
  <c r="N80" i="32"/>
  <c r="S80" i="32" s="1"/>
  <c r="T64" i="32"/>
  <c r="N62" i="27"/>
  <c r="S62" i="27" s="1"/>
  <c r="AA62" i="27"/>
  <c r="AF62" i="27" s="1"/>
  <c r="AA96" i="32"/>
  <c r="AF96" i="32" s="1"/>
  <c r="N96" i="32"/>
  <c r="S96" i="32" s="1"/>
  <c r="T130" i="32"/>
  <c r="N68" i="27"/>
  <c r="S68" i="27" s="1"/>
  <c r="AA68" i="27"/>
  <c r="AF68" i="27" s="1"/>
  <c r="N69" i="27"/>
  <c r="S69" i="27" s="1"/>
  <c r="AA69" i="27"/>
  <c r="AF69" i="27" s="1"/>
  <c r="N106" i="26"/>
  <c r="S106" i="26" s="1"/>
  <c r="AA106" i="26"/>
  <c r="AF106" i="26" s="1"/>
  <c r="AA85" i="27"/>
  <c r="AF85" i="27" s="1"/>
  <c r="N85" i="27"/>
  <c r="S85" i="27" s="1"/>
  <c r="AA88" i="32"/>
  <c r="AF88" i="32" s="1"/>
  <c r="N88" i="32"/>
  <c r="S88" i="32" s="1"/>
  <c r="AA85" i="32"/>
  <c r="AF85" i="32" s="1"/>
  <c r="N85" i="32"/>
  <c r="S85" i="32" s="1"/>
  <c r="N91" i="32"/>
  <c r="S91" i="32" s="1"/>
  <c r="AA91" i="32"/>
  <c r="AF91" i="32" s="1"/>
  <c r="T21" i="32"/>
  <c r="T34" i="32"/>
  <c r="T135" i="32"/>
  <c r="T28" i="32"/>
  <c r="T114" i="32"/>
  <c r="AA75" i="27"/>
  <c r="AF75" i="27" s="1"/>
  <c r="N75" i="27"/>
  <c r="S75" i="27" s="1"/>
  <c r="N88" i="27"/>
  <c r="S88" i="27" s="1"/>
  <c r="AA88" i="27"/>
  <c r="AF88" i="27" s="1"/>
  <c r="AA65" i="27"/>
  <c r="AF65" i="27" s="1"/>
  <c r="N65" i="27"/>
  <c r="S65" i="27" s="1"/>
  <c r="N61" i="27"/>
  <c r="S61" i="27" s="1"/>
  <c r="AA61" i="27"/>
  <c r="AF61" i="27" s="1"/>
  <c r="AA79" i="32"/>
  <c r="AF79" i="32" s="1"/>
  <c r="N79" i="32"/>
  <c r="S79" i="32" s="1"/>
  <c r="AA94" i="32"/>
  <c r="AF94" i="32" s="1"/>
  <c r="N94" i="32"/>
  <c r="S94" i="32" s="1"/>
  <c r="N83" i="32"/>
  <c r="S83" i="32" s="1"/>
  <c r="AA83" i="32"/>
  <c r="AF83" i="32" s="1"/>
  <c r="T17" i="32"/>
  <c r="T46" i="32"/>
  <c r="T63" i="26"/>
  <c r="T79" i="26"/>
  <c r="T19" i="26"/>
  <c r="T136" i="26"/>
  <c r="T110" i="26"/>
  <c r="T107" i="26"/>
  <c r="T143" i="27"/>
  <c r="T94" i="26"/>
  <c r="T45" i="26"/>
  <c r="T119" i="26"/>
  <c r="T146" i="27"/>
  <c r="T48" i="26"/>
  <c r="T20" i="26"/>
  <c r="T54" i="26"/>
  <c r="T123" i="26"/>
  <c r="T93" i="26"/>
  <c r="T59" i="26"/>
  <c r="T102" i="26"/>
  <c r="T129" i="26"/>
  <c r="T73" i="26"/>
  <c r="T39" i="26"/>
  <c r="T139" i="26"/>
  <c r="T51" i="26"/>
  <c r="T126" i="26"/>
  <c r="T35" i="26"/>
  <c r="T75" i="26"/>
  <c r="T46" i="26"/>
  <c r="T53" i="26"/>
  <c r="T50" i="26"/>
  <c r="T71" i="26"/>
  <c r="T38" i="26"/>
  <c r="T151" i="27"/>
  <c r="T130" i="26"/>
  <c r="T132" i="26"/>
  <c r="T61" i="26"/>
  <c r="T70" i="26"/>
  <c r="T117" i="26"/>
  <c r="T113" i="26"/>
  <c r="T44" i="26"/>
  <c r="T96" i="26"/>
  <c r="T128" i="26"/>
  <c r="T138" i="26"/>
  <c r="T137" i="27"/>
  <c r="T111" i="26"/>
  <c r="T55" i="26"/>
  <c r="T134" i="26"/>
  <c r="T133" i="26"/>
  <c r="T131" i="26"/>
  <c r="T137" i="26"/>
  <c r="T80" i="26"/>
  <c r="T68" i="26"/>
  <c r="T134" i="27"/>
  <c r="T140" i="26"/>
  <c r="T95" i="26"/>
  <c r="T142" i="27"/>
  <c r="T152" i="27"/>
  <c r="T56" i="26"/>
  <c r="T103" i="26"/>
  <c r="T150" i="27"/>
  <c r="T97" i="26"/>
  <c r="T78" i="26"/>
  <c r="T47" i="26"/>
  <c r="T136" i="27"/>
  <c r="T64" i="26"/>
  <c r="T118" i="26"/>
  <c r="T145" i="27"/>
  <c r="T32" i="26"/>
  <c r="T105" i="26"/>
  <c r="T144" i="27"/>
  <c r="T77" i="26"/>
  <c r="T49" i="26"/>
  <c r="T124" i="26"/>
  <c r="T149" i="27"/>
  <c r="T130" i="27"/>
  <c r="T135" i="26"/>
  <c r="T135" i="27"/>
  <c r="T62" i="26"/>
  <c r="T138" i="27"/>
  <c r="T112" i="26"/>
  <c r="T120" i="26"/>
  <c r="T141" i="27"/>
  <c r="T133" i="27"/>
  <c r="T122" i="26"/>
  <c r="T109" i="26" l="1"/>
  <c r="T115" i="26"/>
  <c r="AG106" i="26"/>
  <c r="AG93" i="32"/>
  <c r="AG88" i="32"/>
  <c r="AG84" i="32"/>
  <c r="AG79" i="32"/>
  <c r="AG90" i="32"/>
  <c r="AG95" i="32"/>
  <c r="AG97" i="32"/>
  <c r="AG89" i="32"/>
  <c r="AG86" i="32"/>
  <c r="AG77" i="32"/>
  <c r="AG98" i="32"/>
  <c r="AG116" i="26"/>
  <c r="AG114" i="26"/>
  <c r="AG108" i="26"/>
  <c r="AG80" i="32"/>
  <c r="AG87" i="32"/>
  <c r="AG92" i="32"/>
  <c r="AG78" i="32"/>
  <c r="AG91" i="32"/>
  <c r="AG85" i="32"/>
  <c r="AG96" i="32"/>
  <c r="AG81" i="32"/>
  <c r="AG82" i="32"/>
  <c r="AG83" i="32"/>
  <c r="AG94" i="32"/>
  <c r="AG86" i="27"/>
  <c r="AG63" i="27"/>
  <c r="AG93" i="27"/>
  <c r="AG80" i="27"/>
  <c r="AG75" i="27"/>
  <c r="AG71" i="27"/>
  <c r="AG72" i="27"/>
  <c r="AG79" i="27"/>
  <c r="AG88" i="27"/>
  <c r="AG74" i="27"/>
  <c r="AG78" i="27"/>
  <c r="AG65" i="27"/>
  <c r="AG68" i="27"/>
  <c r="AG84" i="27"/>
  <c r="AG66" i="27"/>
  <c r="AG83" i="27"/>
  <c r="AG77" i="27"/>
  <c r="AG92" i="27"/>
  <c r="AG82" i="27"/>
  <c r="AG89" i="27"/>
  <c r="AG85" i="27"/>
  <c r="AG62" i="27"/>
  <c r="AG81" i="27"/>
  <c r="AG64" i="27"/>
  <c r="AG90" i="27"/>
  <c r="AG73" i="27"/>
  <c r="AG69" i="27"/>
  <c r="AG61" i="27"/>
  <c r="AG76" i="27"/>
  <c r="AG87" i="27"/>
  <c r="AG70" i="27"/>
  <c r="AG67" i="27"/>
  <c r="AG91" i="27"/>
  <c r="T63" i="27"/>
  <c r="T96" i="32"/>
  <c r="T90" i="27"/>
  <c r="T90" i="32"/>
  <c r="T82" i="27"/>
  <c r="T94" i="32"/>
  <c r="T93" i="27"/>
  <c r="T108" i="26"/>
  <c r="T91" i="27"/>
  <c r="T66" i="27"/>
  <c r="T97" i="32"/>
  <c r="T64" i="27"/>
  <c r="T87" i="32"/>
  <c r="T88" i="27"/>
  <c r="T91" i="32"/>
  <c r="T106" i="26"/>
  <c r="T89" i="32"/>
  <c r="T74" i="27"/>
  <c r="T81" i="32"/>
  <c r="T86" i="27"/>
  <c r="T81" i="27"/>
  <c r="T83" i="32"/>
  <c r="T95" i="32"/>
  <c r="T79" i="32"/>
  <c r="T75" i="27"/>
  <c r="T85" i="32"/>
  <c r="T62" i="27"/>
  <c r="T76" i="27"/>
  <c r="T67" i="27"/>
  <c r="T86" i="32"/>
  <c r="T78" i="27"/>
  <c r="T92" i="32"/>
  <c r="T69" i="27"/>
  <c r="T72" i="27"/>
  <c r="T77" i="32"/>
  <c r="T73" i="27"/>
  <c r="T88" i="32"/>
  <c r="T114" i="26"/>
  <c r="T82" i="32"/>
  <c r="T84" i="27"/>
  <c r="T98" i="32"/>
  <c r="T79" i="27"/>
  <c r="T84" i="32"/>
  <c r="T116" i="26"/>
  <c r="T61" i="27"/>
  <c r="T68" i="27"/>
  <c r="T80" i="32"/>
  <c r="T92" i="27"/>
  <c r="T87" i="27"/>
  <c r="T80" i="27"/>
  <c r="T93" i="32"/>
  <c r="T71" i="27"/>
  <c r="T83" i="27"/>
  <c r="T65" i="27"/>
  <c r="T85" i="27"/>
  <c r="T89" i="27"/>
  <c r="T70" i="27"/>
  <c r="T78" i="32"/>
  <c r="T77" i="2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Valecia Stocchetti</author>
  </authors>
  <commentList>
    <comment ref="E34" authorId="0" shapeId="0" xr:uid="{493BFA74-EDDD-4957-A766-2A45CBF28B8D}">
      <text>
        <r>
          <rPr>
            <sz val="9"/>
            <color indexed="81"/>
            <rFont val="Tahoma"/>
            <family val="2"/>
          </rPr>
          <t>This enterprise could tolerate a loss up to $10,000.</t>
        </r>
      </text>
    </comment>
    <comment ref="E35" authorId="0" shapeId="0" xr:uid="{5C8D4536-CA35-4D44-A229-3F9BBE587278}">
      <text>
        <r>
          <rPr>
            <sz val="9"/>
            <color indexed="81"/>
            <rFont val="Tahoma"/>
            <family val="2"/>
          </rPr>
          <t>If this enterprise loses more than $500,000, they could not recover.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Valecia Stocchetti</author>
  </authors>
  <commentList>
    <comment ref="G42" authorId="0" shapeId="0" xr:uid="{4BBE69DC-9FB7-4A93-A24D-65639FDE15A7}">
      <text>
        <r>
          <rPr>
            <sz val="9"/>
            <color indexed="81"/>
            <rFont val="Tahoma"/>
            <family val="2"/>
          </rPr>
          <t>The highest Obligations Impact Score that an asset could cause would be '4'.</t>
        </r>
      </text>
    </comment>
    <comment ref="G46" authorId="0" shapeId="0" xr:uid="{F96C9502-049A-4A06-BFC3-DA52B3EB25B9}">
      <text>
        <r>
          <rPr>
            <sz val="9"/>
            <color indexed="81"/>
            <rFont val="Tahoma"/>
            <family val="2"/>
          </rPr>
          <t>If the network in this enterprise were compromised, the highest Obligations Impact it could create would be '1'.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Valecia Stocchetti</author>
  </authors>
  <commentList>
    <comment ref="Y15" authorId="0" shapeId="0" xr:uid="{6A0321F2-AC8C-40E3-90F3-1DC25C499D96}">
      <text>
        <r>
          <rPr>
            <sz val="9"/>
            <color indexed="81"/>
            <rFont val="Tahoma"/>
            <family val="2"/>
          </rPr>
          <t>This enterprise believes that permitting script engines on only system admin computers will address this risk.</t>
        </r>
      </text>
    </comment>
  </commentList>
</comments>
</file>

<file path=xl/sharedStrings.xml><?xml version="1.0" encoding="utf-8"?>
<sst xmlns="http://schemas.openxmlformats.org/spreadsheetml/2006/main" count="4153" uniqueCount="938">
  <si>
    <t>Impact to Mission</t>
  </si>
  <si>
    <t>Impact to Obligations</t>
  </si>
  <si>
    <t>Risk Score</t>
  </si>
  <si>
    <t>Risk Level</t>
  </si>
  <si>
    <t>Definition</t>
  </si>
  <si>
    <t>Impact Scores</t>
  </si>
  <si>
    <t>Mission</t>
  </si>
  <si>
    <t>Acceptable Risk Score</t>
  </si>
  <si>
    <t>Risk Acceptance Criteria</t>
  </si>
  <si>
    <t>Sum of Threat Count / Industry</t>
  </si>
  <si>
    <t>Percentage</t>
  </si>
  <si>
    <t>Maturity</t>
  </si>
  <si>
    <t>Index</t>
  </si>
  <si>
    <t>Maintain Detailed Asset Inventory</t>
  </si>
  <si>
    <t>Address Unauthorized Assets</t>
  </si>
  <si>
    <t>Maintain Inventory of Authorized Software</t>
  </si>
  <si>
    <t>Ensure Software is Supported by Vendor</t>
  </si>
  <si>
    <t>Address unapproved software</t>
  </si>
  <si>
    <t>Deploy Automated Operating System Patch Management Tools</t>
  </si>
  <si>
    <t>Deploy Automated Software Patch Management Tools</t>
  </si>
  <si>
    <t>Change Default Passwords</t>
  </si>
  <si>
    <t>Ensure the Use of Dedicated Administrative Accounts</t>
  </si>
  <si>
    <t>Use Unique Passwords</t>
  </si>
  <si>
    <t>Establish Secure Configurations</t>
  </si>
  <si>
    <t>Ensure Use of Only Fully Supported Browsers and Email Clients</t>
  </si>
  <si>
    <t>Use of DNS Filtering Services</t>
  </si>
  <si>
    <t>Configure Anti-Malware Scanning of Removable Devices</t>
  </si>
  <si>
    <t>Perform Complete System Backups</t>
  </si>
  <si>
    <t>Maintain an Inventory of Network Boundaries</t>
  </si>
  <si>
    <t>Remove Sensitive Data or Systems Not Regularly Accessed by Organization</t>
  </si>
  <si>
    <t>Leverage the Advanced Encryption Standard (AES) to Encrypt Wireless Data</t>
  </si>
  <si>
    <t>Create Separate Wireless Network for Personal and Untrusted Devices</t>
  </si>
  <si>
    <t>Disable Any Unassociated Accounts</t>
  </si>
  <si>
    <t>Disable Dormant Accounts</t>
  </si>
  <si>
    <t>Lock Workstation Sessions After Inactivity</t>
  </si>
  <si>
    <t>Implement a Security Awareness Program</t>
  </si>
  <si>
    <t>Train Workforce on Secure Authentication</t>
  </si>
  <si>
    <t>Train Workforce on Identifying Social Engineering Attacks</t>
  </si>
  <si>
    <t>Train Workforce on Sensitive Data Handling</t>
  </si>
  <si>
    <t>Train Workforce on Causes of Unintentional Data Exposure</t>
  </si>
  <si>
    <t>Train Workforce Members on Identifying and Reporting Incidents</t>
  </si>
  <si>
    <t>Document Incident Response Procedures</t>
  </si>
  <si>
    <t>Designate Management Personnel to Support Incident Handling</t>
  </si>
  <si>
    <t>Maintain Contact Information For Reporting Security Incidents</t>
  </si>
  <si>
    <t>Publish Information Regarding Reporting Computer Anomalies and Incidents</t>
  </si>
  <si>
    <t>Mission Impact</t>
  </si>
  <si>
    <t>Obligations Impact</t>
  </si>
  <si>
    <t>Impact Criteria</t>
  </si>
  <si>
    <t>VCDB Index</t>
  </si>
  <si>
    <t>VCDB Index Weight Table</t>
  </si>
  <si>
    <t>Asset Class</t>
  </si>
  <si>
    <t>Obligations</t>
  </si>
  <si>
    <t>Scope</t>
  </si>
  <si>
    <t>Last Completed (Date)</t>
  </si>
  <si>
    <t>Risk Register</t>
  </si>
  <si>
    <t>Inherent Risk Criteria</t>
  </si>
  <si>
    <t>Risk Treatment Safeguard</t>
  </si>
  <si>
    <t>Implementation Year</t>
  </si>
  <si>
    <t>Year</t>
  </si>
  <si>
    <t>Reasonable?</t>
  </si>
  <si>
    <t>Risk Treatment
Safeguard Title</t>
  </si>
  <si>
    <t>Risk Treatment
Safeguard Description</t>
  </si>
  <si>
    <t>Risk Treatment Safeguard Impact to Mission</t>
  </si>
  <si>
    <t>Risk Treatment Safeguard Impact to Obligations</t>
  </si>
  <si>
    <t>Risk Treatment Safeguard Cost</t>
  </si>
  <si>
    <t>Risk Treatment Safeguard Risk Score</t>
  </si>
  <si>
    <t>Activate Audit Logging</t>
  </si>
  <si>
    <t>Ensure Anti-Malware Software and Signatures Are Updated</t>
  </si>
  <si>
    <t>Configure Devices to Not Auto-Run Content</t>
  </si>
  <si>
    <t>Apply Host-Based Firewalls or Port-Filtering</t>
  </si>
  <si>
    <t>Ensure Regular Automated BackUps</t>
  </si>
  <si>
    <t>Protect Backups</t>
  </si>
  <si>
    <t>Ensure All Backups Have at Least One Offline Backup Destination</t>
  </si>
  <si>
    <t>Install the Latest Stable Version of Any Security-Related Updates on All Network Devices</t>
  </si>
  <si>
    <t>Deny Communication Over Unauthorized Ports</t>
  </si>
  <si>
    <t>Maintain an Inventory of Sensitive Information</t>
  </si>
  <si>
    <t>Encrypt Mobile Device Data</t>
  </si>
  <si>
    <t>Protect Information Through Access Control Lists</t>
  </si>
  <si>
    <t>Establish and Maintain Detailed Enterprise Asset Inventory</t>
  </si>
  <si>
    <t>Establish and Maintain a Software Inventory</t>
  </si>
  <si>
    <t xml:space="preserve">Ensure Authorized Software is Currently Supported </t>
  </si>
  <si>
    <t>Address Unauthorized Software</t>
  </si>
  <si>
    <t>Establish and Maintain a Data Management Process</t>
  </si>
  <si>
    <t>Establish and Maintain a Data Inventory</t>
  </si>
  <si>
    <t>Configure Data Access Control Lists</t>
  </si>
  <si>
    <t>Enforce Data Retention</t>
  </si>
  <si>
    <t>Securely Dispose of Data</t>
  </si>
  <si>
    <t>Encrypt Data on End-User Devices</t>
  </si>
  <si>
    <t>Establish and Maintain a Secure Configuration Process</t>
  </si>
  <si>
    <t>Establish and Maintain a Secure Configuration Process for Network Infrastructure</t>
  </si>
  <si>
    <t>Configure Automatic Session Locking on Enterprise Assets</t>
  </si>
  <si>
    <t>Implement and Manage a Firewall on Servers</t>
  </si>
  <si>
    <t>Implement and Manage a Firewall on End-User Devices</t>
  </si>
  <si>
    <t>Securely Manage Enterprise Assets and Software</t>
  </si>
  <si>
    <t>Manage Default Accounts on Enterprise Assets and Software</t>
  </si>
  <si>
    <t>Establish and Maintain an Inventory of Accounts</t>
  </si>
  <si>
    <t>Restrict Administrator Privileges to Dedicated Administrator Accounts</t>
  </si>
  <si>
    <t>Establish an Access Granting Process</t>
  </si>
  <si>
    <t>Establish an Access Revoking Process</t>
  </si>
  <si>
    <t>Require MFA for Externally-Exposed Applications</t>
  </si>
  <si>
    <t>Require MFA for Remote Network Access</t>
  </si>
  <si>
    <t>Require MFA for Administrative Access</t>
  </si>
  <si>
    <t>Establish and Maintain a Vulnerability Management Process</t>
  </si>
  <si>
    <t>Establish and Maintain a Remediation Process</t>
  </si>
  <si>
    <t>Perform Automated Operating System Patch Management</t>
  </si>
  <si>
    <t>Perform Automated Application Patch Management</t>
  </si>
  <si>
    <t>Establish and Maintain an Audit Log Management Process</t>
  </si>
  <si>
    <t>Collect Audit Logs</t>
  </si>
  <si>
    <t>Ensure Adequate Audit Log Storage</t>
  </si>
  <si>
    <t>Use DNS Filtering Services</t>
  </si>
  <si>
    <t>Deploy and Maintain Anti-Malware Software</t>
  </si>
  <si>
    <t>Configure Automatic Anti-Malware Signature Updates</t>
  </si>
  <si>
    <t>Disable Autorun and Autoplay for Removable Media</t>
  </si>
  <si>
    <t>Establish and Maintain a Data Recovery Process </t>
  </si>
  <si>
    <t>Perform Automated Backups </t>
  </si>
  <si>
    <t>Protect Recovery Data</t>
  </si>
  <si>
    <t>Establish and Maintain an Isolated Instance of Recovery Data </t>
  </si>
  <si>
    <t>Ensure Network Infrastructure is Up-to-Date</t>
  </si>
  <si>
    <t>Establish and Maintain a Security Awareness Program</t>
  </si>
  <si>
    <t>Train Workforce Members to Recognize Social Engineering Attacks</t>
  </si>
  <si>
    <t>Train Workforce Members on Authentication Best Practices</t>
  </si>
  <si>
    <t>Train Workforce on Data Handling Best Practices</t>
  </si>
  <si>
    <t>Train Workforce Members on Causes of Unintentional Data Exposure</t>
  </si>
  <si>
    <t>Train Workforce Members on Recognizing and Reporting Security Incidents</t>
  </si>
  <si>
    <t>Train Workforce on How to Identify and Report if Their Enterprise Assets are Missing Security Updates</t>
  </si>
  <si>
    <t>Train Workforce on the Dangers of Connecting to and Transmitting Enterprise Data Over Insecure Networks</t>
  </si>
  <si>
    <t>Establish and Maintain an Inventory of Service Providers</t>
  </si>
  <si>
    <t>Designate Personnel to Manage Incident Handling</t>
  </si>
  <si>
    <t>Establish and Maintain Contact Information for Reporting Security Incidents</t>
  </si>
  <si>
    <t>Establish and Maintain an Enterprise Process for Reporting Incidents</t>
  </si>
  <si>
    <t>Data</t>
  </si>
  <si>
    <t>Devices</t>
  </si>
  <si>
    <t>Applications</t>
  </si>
  <si>
    <t>Network</t>
  </si>
  <si>
    <t>Users</t>
  </si>
  <si>
    <t>Enterprise</t>
  </si>
  <si>
    <t>Enterprise Name</t>
  </si>
  <si>
    <t>Operational Objectives</t>
  </si>
  <si>
    <t>Financial Objectives</t>
  </si>
  <si>
    <t>Operational Objectives Impact</t>
  </si>
  <si>
    <t>Impact to Operational Objectives</t>
  </si>
  <si>
    <t>Risk Treatment Safeguard Impact to Operational Objectives</t>
  </si>
  <si>
    <t>Impact to Financial Objectives</t>
  </si>
  <si>
    <t>Incident Count</t>
  </si>
  <si>
    <t>As of</t>
  </si>
  <si>
    <t>VCDB Index Lookup</t>
  </si>
  <si>
    <t>Unknown</t>
  </si>
  <si>
    <t>Implementation Quarter</t>
  </si>
  <si>
    <t>Safeguard is not implemented or is inconsistently implemented.</t>
  </si>
  <si>
    <t>Safeguard is implemented fully on some assets or partially on all assets.</t>
  </si>
  <si>
    <t>Safeguard is implemented on all assets.</t>
  </si>
  <si>
    <t>CIS Safeguard #</t>
  </si>
  <si>
    <t>CIS Safeguard Title</t>
  </si>
  <si>
    <t>Our Planned Implementation</t>
  </si>
  <si>
    <t>Maintain an accurate and up-to-date inventory of all technology assets with the potential to store or process information. This inventory shall include all hardware assets, whether connected to the organization's network or not.</t>
  </si>
  <si>
    <t>Maintain an up-to-date list of all authorized software that is required in the enterprise for any business purpose on any business system.</t>
  </si>
  <si>
    <t>Ensure that unauthorized software is either removed or the inventory is updated in a timely manner</t>
  </si>
  <si>
    <t>Deploy automated software update tools in order to ensure that the operating systems are running the most recent security updates provided by the software vendor.</t>
  </si>
  <si>
    <t>Deploy automated software update tools in order to ensure that third-party software on all systems is running the most recent security updates provided by the software vendor.</t>
  </si>
  <si>
    <t>Before deploying any new asset, change all default passwords to have values consistent with administrative level accounts.</t>
  </si>
  <si>
    <t>Ensure that all users with administrative account access use a dedicated or secondary account for elevated activities. This account should only be used for administrative activities and not internet browsing, email, or similar activities.</t>
  </si>
  <si>
    <t>Ensure that local logging has been enabled on all systems and networking devices.</t>
  </si>
  <si>
    <t>Ensure that only fully supported web browsers and email clients are allowed to execute in the organization, ideally only using the latest version of the browsers and email clients provided by the vendor.</t>
  </si>
  <si>
    <t>Ensure that the organization's anti-malware software updates its scanning engine and signature database on a regular basis.</t>
  </si>
  <si>
    <t>Configure devices so that they automatically conduct an anti-malware scan of removable media when inserted or connected.</t>
  </si>
  <si>
    <t>Configure devices to not auto-run content from removable media.</t>
  </si>
  <si>
    <t>Ensure that backups are properly protected via physical security or encryption when they are stored, as well as when they are moved across the network. This includes remote backups and cloud services.</t>
  </si>
  <si>
    <t>Install the latest stable version of any security-related updates on all network devices.</t>
  </si>
  <si>
    <t>Maintain an up-to-date inventory of all of the organization's network boundaries.</t>
  </si>
  <si>
    <t>Deny communication over unauthorized TCP or UDP ports or application traffic to ensure that only authorized protocols are allowed to cross the network boundary in or out of the network at each of the organization's network boundaries.</t>
  </si>
  <si>
    <t>Protect all information stored on systems with file system, network share, claims, application, or database specific access control lists. These controls will enforce the principle that only authorized individuals should have access to the information based on their need to access the information as a part of their responsibilities.</t>
  </si>
  <si>
    <t>Maintain an inventory of authorized wireless access points connected to the wired network.</t>
  </si>
  <si>
    <t>Leverage the Advanced Encryption Standard (AES) to encrypt wireless data in transit.</t>
  </si>
  <si>
    <t>Disable any account that cannot be associated with a business process or business owner.</t>
  </si>
  <si>
    <t>Automatically disable dormant accounts after a set period of inactivity.</t>
  </si>
  <si>
    <t>Automatically lock workstation sessions after a standard period of inactivity.</t>
  </si>
  <si>
    <t>Create a security awareness program for all workforce members to complete on a regular basis to ensure they understand and exhibit the necessary behaviors and skills to help ensure the security of the organization. The organization's security awareness program should be communicated in a continuous and engaging manner.</t>
  </si>
  <si>
    <t>Train workforce members on the importance of enabling and utilizing secure authentication.</t>
  </si>
  <si>
    <t>Train workforce members to be aware of causes for unintentional data exposures, such as losing their mobile devices or emailing the wrong person due to autocomplete in email.</t>
  </si>
  <si>
    <t>Designate management personnel, as well as backups, who will support the incident handling process by acting in key decision-making roles.</t>
  </si>
  <si>
    <t>Risk Treatment</t>
  </si>
  <si>
    <t>Reasonable and Acceptable</t>
  </si>
  <si>
    <t>Risk Analysis</t>
  </si>
  <si>
    <t>Required</t>
  </si>
  <si>
    <t>Optional</t>
  </si>
  <si>
    <t>Color Key</t>
  </si>
  <si>
    <t>Meaning</t>
  </si>
  <si>
    <t>For user input. Risk assessors will add values into these columns.</t>
  </si>
  <si>
    <t>For optional user input. Risk assessors may add values into these columns if it's useful to them.</t>
  </si>
  <si>
    <t>Used to evaluate risk acceptance</t>
  </si>
  <si>
    <t>Used to populate "VCDB Index"</t>
  </si>
  <si>
    <t>Color</t>
  </si>
  <si>
    <t>Safeguard Maturity Score</t>
  </si>
  <si>
    <t>Risk Treatment Safeguard Maturity Score</t>
  </si>
  <si>
    <t>Used for "Safeguard Maturity Score" and "Risk Treatment Safeguard Maturity Score"</t>
  </si>
  <si>
    <t>Maturity Scores</t>
  </si>
  <si>
    <t>Risk Treatment Option</t>
  </si>
  <si>
    <t>Safeguard is tested and inconsistencies are corrected.</t>
  </si>
  <si>
    <t>Safeguard has mechanisms that ensure consistent implementation over time.</t>
  </si>
  <si>
    <t>1. Negligible</t>
  </si>
  <si>
    <t>2. Acceptable</t>
  </si>
  <si>
    <t>3. Unacceptable</t>
  </si>
  <si>
    <t>4. High</t>
  </si>
  <si>
    <t>5. Catastrophic</t>
  </si>
  <si>
    <t>Acceptable</t>
  </si>
  <si>
    <t>Unacceptable</t>
  </si>
  <si>
    <t>High</t>
  </si>
  <si>
    <t>What observable evidence would you have that your mission - as you defined it above - would be unaffected?</t>
  </si>
  <si>
    <t>What observable evidence would you have that your mission would be compromised, but it would not require correction?</t>
  </si>
  <si>
    <t>What observable evidence would you have that your mission would be compromised so badly that extraordinary efforts would be required to restore it?</t>
  </si>
  <si>
    <t>What observable evidence would you have that your mission would be compromised in a way that would require correction, but the correction could be achieved through the normal course of business?</t>
  </si>
  <si>
    <t>Catastrophic</t>
  </si>
  <si>
    <t>What business or organizational goals does the enterprise attempt to achieve?</t>
  </si>
  <si>
    <t>What are the unexpected cost outlays that your enterprise could or could not tolerate?</t>
  </si>
  <si>
    <t>What observable evidence would you have that your operational objectives - as you defined them above - would be unaffected?</t>
  </si>
  <si>
    <t>What observable evidence would you have that your operational objectives would be compromised, but it would not require correction?</t>
  </si>
  <si>
    <t>What observable evidence would you have that your operational objectives would be compromised in a way that would require correction, but the correction could be achieved through the normal course of business?</t>
  </si>
  <si>
    <t>What observable evidence would you have that your operational objectives would be compromised so badly that extraordinary efforts would be required to restore them?</t>
  </si>
  <si>
    <t>What observable evidence would you have that your financial objectives - as you defined them above - would be unaffected?</t>
  </si>
  <si>
    <t>What observable evidence would you have that your financial objectives would be compromised, but it would not require correction?</t>
  </si>
  <si>
    <t>What observable evidence would you have that your financial objectives would be compromised in a way that would require correction, but the correction could be achieved through the normal course of business?</t>
  </si>
  <si>
    <t>What observable evidence would you have that your financial objectives would be compromised so badly that extraordinary efforts would be required to restore them?</t>
  </si>
  <si>
    <t>Prompt</t>
  </si>
  <si>
    <t>Negligible</t>
  </si>
  <si>
    <t>Financial Objectives Impact</t>
  </si>
  <si>
    <t>Enterprise Risk Assessment Criteria</t>
  </si>
  <si>
    <t>Utilize Automated Software Inventory Tools</t>
  </si>
  <si>
    <t>Allowlist Authorized Software</t>
  </si>
  <si>
    <t>Allowlist Authorized Libraries</t>
  </si>
  <si>
    <t>Perform Automated Vulnerability Scans of Internal Enterprise Assets</t>
  </si>
  <si>
    <t>Perform Automated Vulnerability Scans of Externally-Exposed Enterprise Assets</t>
  </si>
  <si>
    <t>Remediate Detected Vulnerabilities</t>
  </si>
  <si>
    <t>Restrict Unnecessary or Unauthorized Browser and Email Client Extensions</t>
  </si>
  <si>
    <t>Establish and Maintain a Secure Application Development Process</t>
  </si>
  <si>
    <t>Establish and Maintain a Process to Accept and Address Software Vulnerabilities</t>
  </si>
  <si>
    <t>Perform Root Cause Analysis on Security Vulnerabilities</t>
  </si>
  <si>
    <t>Use Up-to-Date and Trusted Third-Party Software Components</t>
  </si>
  <si>
    <t>Establish and Maintain a Severity Rating System and Process for Application Vulnerabilities</t>
  </si>
  <si>
    <t>Use Standard Hardening Configuration Templates for Application Infrastructure</t>
  </si>
  <si>
    <t>Separate Production and Non-Production Systems</t>
  </si>
  <si>
    <t>Train Developers in Application Security Concepts and Secure Coding</t>
  </si>
  <si>
    <t>Apply Secure Design Principles in Application Architectures</t>
  </si>
  <si>
    <t>Leverage Vetted Modules or Services for Application Security Components</t>
  </si>
  <si>
    <t>Establish and Maintain a Data Classification Scheme</t>
  </si>
  <si>
    <t>Document Data Flows</t>
  </si>
  <si>
    <t>Encrypt Data on Removable Media</t>
  </si>
  <si>
    <t>Encrypt Sensitive Data in Transit</t>
  </si>
  <si>
    <t>Encrypt Sensitive Data at Rest</t>
  </si>
  <si>
    <t>Test Data Recovery</t>
  </si>
  <si>
    <t>Utilize an Active Discovery Tool</t>
  </si>
  <si>
    <t>Use Dynamic Host Configuration Protocol (DHCP) Logging to Update Enterprise Asset Inventory</t>
  </si>
  <si>
    <t>Uninstall or Disable Unnecessary Services on Enterprise Assets and Software</t>
  </si>
  <si>
    <t>Configure Trusted DNS Servers on Enterprise Assets</t>
  </si>
  <si>
    <t>Enforce Automatic Device Lockout on Portable End-User Devices</t>
  </si>
  <si>
    <t>Enforce Remote Wipe Capability on Portable End-User Devices</t>
  </si>
  <si>
    <t>Collect Command-Line Audit Logs</t>
  </si>
  <si>
    <t>Configure Automatic Anti-Malware Scanning of Removable Media</t>
  </si>
  <si>
    <t>Enable Anti-Exploitation Features</t>
  </si>
  <si>
    <t>Centrally Manage Anti-Malware Software</t>
  </si>
  <si>
    <t>Use Behavior-Based Anti-Malware Software</t>
  </si>
  <si>
    <t>Ensure Remote Devices Utilize a VPN and are Connecting to an Enterprise’s AAA Infrastructure</t>
  </si>
  <si>
    <t>Deploy a Host-Based Intrusion Detection Solution</t>
  </si>
  <si>
    <t>Manage Access Control for Remote Assets</t>
  </si>
  <si>
    <t>Conduct Role-Specific Security Awareness and Skills Training</t>
  </si>
  <si>
    <t>Establish and Maintain a Service Provider Management Policy</t>
  </si>
  <si>
    <t>Classify Service Providers</t>
  </si>
  <si>
    <t>Ensure Service Provider Contracts Include Security Requirements</t>
  </si>
  <si>
    <t>Establish and Maintain an Incident Response Process</t>
  </si>
  <si>
    <t>Assign Key Roles and Responsibilities</t>
  </si>
  <si>
    <t>Define Mechanisms for Communicating During Incident Response</t>
  </si>
  <si>
    <t>Conduct Routine Incident Response Exercises</t>
  </si>
  <si>
    <t>Conduct Post-Incident Reviews</t>
  </si>
  <si>
    <t>Establish and Maintain a Penetration Testing Program</t>
  </si>
  <si>
    <t>Segment Data Processing and Storage Based on Sensitivity</t>
  </si>
  <si>
    <t>Standardize Time Synchronization</t>
  </si>
  <si>
    <t>Collect Detailed Audit Logs</t>
  </si>
  <si>
    <t>Collect DNS Query Audit Logs</t>
  </si>
  <si>
    <t>Collect URL Request Audit Logs</t>
  </si>
  <si>
    <t>Centralize Audit Logs</t>
  </si>
  <si>
    <t>Retain Audit Logs</t>
  </si>
  <si>
    <t>Conduct Audit Log Reviews</t>
  </si>
  <si>
    <t>Maintain and Enforce Network-Based URL Filters</t>
  </si>
  <si>
    <t>Implement DMARC</t>
  </si>
  <si>
    <t>Block Unnecessary File Types</t>
  </si>
  <si>
    <t>Establish and Maintain a Secure Network Architecture</t>
  </si>
  <si>
    <t>Securely Manage Network Infrastructure</t>
  </si>
  <si>
    <t>Establish and Maintain Architecture Diagram(s)</t>
  </si>
  <si>
    <t>Centralize Network Authentication, Authorization, and Auditing (AAA)</t>
  </si>
  <si>
    <t>Use of Secure Network Management and Communication Protocols </t>
  </si>
  <si>
    <t>Centralize Security Event Alerting</t>
  </si>
  <si>
    <t>Deploy a Network Intrusion Detection Solution</t>
  </si>
  <si>
    <t>Perform Traffic Filtering Between Network Segments</t>
  </si>
  <si>
    <t xml:space="preserve">Collect Network Traffic Flow Logs </t>
  </si>
  <si>
    <t>Perform Periodic External Penetration Tests</t>
  </si>
  <si>
    <t>Remediate Penetration Test Findings</t>
  </si>
  <si>
    <t>Establish and Maintain an Inventory of Service Accounts</t>
  </si>
  <si>
    <t>Centralize Account Management</t>
  </si>
  <si>
    <t>Establish and Maintain an Inventory of Authentication and Authorization Systems</t>
  </si>
  <si>
    <t>Centralize Access Control</t>
  </si>
  <si>
    <t>Establish and Manage an Inventory of Third-Party Software Components</t>
  </si>
  <si>
    <t>Criteria</t>
  </si>
  <si>
    <t>Remote</t>
  </si>
  <si>
    <t>Unlikely</t>
  </si>
  <si>
    <t>As likely as not</t>
  </si>
  <si>
    <t>Likely</t>
  </si>
  <si>
    <t>Certain</t>
  </si>
  <si>
    <t>Impact</t>
  </si>
  <si>
    <t>Acceptable Risk is less than …</t>
  </si>
  <si>
    <t>To maintain our market position as the best custom widgets manufacturer.</t>
  </si>
  <si>
    <t>Impact Magnitude</t>
  </si>
  <si>
    <t>All orders would be produced within specifications and on time and without unplanned effort.</t>
  </si>
  <si>
    <t>We could not meet our mission.</t>
  </si>
  <si>
    <t>All orders would be produced within specifications and on time, but some may require unplanned effort to stay within tolerance metrics.</t>
  </si>
  <si>
    <t>Few orders each quarter (outside of our tolerance metrics) may miss targets, but could be corrected with adjustments or discounts.</t>
  </si>
  <si>
    <t xml:space="preserve">We would repeatedly miss targets outside of tolerance metrics, requiring regular adjustments or discounts per quarter, or would require significant re-investment to operate regularly within our tolerance metrics. </t>
  </si>
  <si>
    <t>To achieve our profit goals each year.</t>
  </si>
  <si>
    <t>Leave this blank</t>
  </si>
  <si>
    <t>Ranked as #1 in all categories in annual "Custom Widget World" Magazine poll.</t>
  </si>
  <si>
    <t>Ranked as #1 in only one category of "Custom Widget World" Magazine poll for only one year.</t>
  </si>
  <si>
    <t>Not ranked #1 in any category of "Custom Widget World" Magazine poll for one year.</t>
  </si>
  <si>
    <t>Not ranked in top three in any category of "Custom Widget World" Magazine poll for two years or more.</t>
  </si>
  <si>
    <t>Unable to rank well in annual "Custom Widget World" Magazine poll.</t>
  </si>
  <si>
    <t>Describe a condition where one or few others would be harmed to a degree that you could correct.</t>
  </si>
  <si>
    <t>To protect our customers from harm due to loss of their intellectual property.</t>
  </si>
  <si>
    <t>Any harm that could result would not require correction, repair, or compensation to make the harmed parties "whole."</t>
  </si>
  <si>
    <t>Correctible harm may occur to one or few others.</t>
  </si>
  <si>
    <t>Correctible harm may occur to many others, or harm that can be partially corrected for a few others may occur.</t>
  </si>
  <si>
    <t>We would not be able to protect others from any degree of harm.</t>
  </si>
  <si>
    <t>Describe a condition where others would not be harmed.</t>
  </si>
  <si>
    <t>Asset Name</t>
  </si>
  <si>
    <t>Automated or fixed values on the Risk Analysis side of the Risk Register. While the worksheet is in protected mode, these values cannot be changed.</t>
  </si>
  <si>
    <t>Automated or fixed values on the Risk Treatment side of the Risk Register. While the worksheet is in protected mode, these values cannot be changed.</t>
  </si>
  <si>
    <t>Title</t>
  </si>
  <si>
    <t>The unique CIS Safeguard identifier, as published in the CIS Controls.</t>
  </si>
  <si>
    <t>The title of the CIS Safeguard, as published in the CIS Controls.</t>
  </si>
  <si>
    <t>The asset class, as published in the CIS Controls.</t>
  </si>
  <si>
    <t>A score of '1' through '5' designating the reliability of a Safeguard's effectiveness against threats.</t>
  </si>
  <si>
    <t>An automatically calculated value to represent how common the related threat is as a cause for reported cybersecurity incidents.</t>
  </si>
  <si>
    <t>The magnitude of harm that a successful threat would cause to your Mission.</t>
  </si>
  <si>
    <t>The magnitude of harm that a successful threat would cause to your Operational Objectives.</t>
  </si>
  <si>
    <t>The magnitude of harm that a successful threat would cause to your Obligations.</t>
  </si>
  <si>
    <t>A statement about whether the enterprise will accept or reduce the risk.</t>
  </si>
  <si>
    <t>The description of the CIS Safeguard, as published in the CIS Controls.</t>
  </si>
  <si>
    <t>A brief description of how the Safeguard will be implemented and operated in the enterprise.</t>
  </si>
  <si>
    <t>A score of '1' through '5' designating the planned reliability of a Safeguard's effectiveness against threats.</t>
  </si>
  <si>
    <t>An automatically calculated value to represent how commonly the related threat would be the cause of a cybersecurity incident, given the planned Safeguard.</t>
  </si>
  <si>
    <t>A determination of whether the planned Safeguard is reasonable and acceptable.</t>
  </si>
  <si>
    <t>An estimate of how much the Safeguard is expected to cost.</t>
  </si>
  <si>
    <t>When the Safeguard is planned for completion of implementation (which quarter).</t>
  </si>
  <si>
    <t>When the Safeguard is planned for completion of implementation (which year).</t>
  </si>
  <si>
    <t>CIS CSAT Pro</t>
  </si>
  <si>
    <t>Instructions for Importing CIS CSAT Pro Scores into CIS RAM</t>
  </si>
  <si>
    <t>Note: Please ensure that your enterprise's method for scoring Safeguards in CSAT Pro aligns closely enough with the CIS RAM Maturity Scores (defined below). Adjustments may need to be made based on your current scoring.</t>
  </si>
  <si>
    <t>CIS CSAT Pro for CIS Controls v7.1</t>
  </si>
  <si>
    <t>CIS CSAT Pro for CIS Controls v8.0</t>
  </si>
  <si>
    <t>CSAT Pro Export Score</t>
  </si>
  <si>
    <t>CSAT Pro Score (Stripped)</t>
  </si>
  <si>
    <t>CIS RAM Maturity Score Final</t>
  </si>
  <si>
    <t>CIS-Hosted CSAT</t>
  </si>
  <si>
    <t>Instructions for Importing CIS-Hosted CSAT Scores into CIS RAM</t>
  </si>
  <si>
    <r>
      <t xml:space="preserve">Note: This method will average the four scoring categories in CIS-Hosted CSAT for each Safeguard and aligns those averages with the CIS RAM Maturity Scores.  Please review the CIS RAM Maturity Scores, </t>
    </r>
    <r>
      <rPr>
        <b/>
        <u/>
        <sz val="11"/>
        <color rgb="FFFF0000"/>
        <rFont val="Arial"/>
        <family val="2"/>
      </rPr>
      <t>as defined below</t>
    </r>
    <r>
      <rPr>
        <b/>
        <sz val="11"/>
        <color rgb="FFFF0000"/>
        <rFont val="Arial"/>
        <family val="2"/>
      </rPr>
      <t>, to ensure this method aligns closely enough for your enterprise's scoring practices.</t>
    </r>
  </si>
  <si>
    <t>CIS-Hosted CSAT Maturity Scores</t>
  </si>
  <si>
    <t>Policy Defined</t>
  </si>
  <si>
    <t>Control Implemented</t>
  </si>
  <si>
    <t>Control Automated</t>
  </si>
  <si>
    <t>Control Reported</t>
  </si>
  <si>
    <t>No Policy</t>
  </si>
  <si>
    <t>Not Implemented</t>
  </si>
  <si>
    <t>Not Automated</t>
  </si>
  <si>
    <t>Not Reported</t>
  </si>
  <si>
    <t>Informal Policy</t>
  </si>
  <si>
    <t>Parts of Policy Implemented</t>
  </si>
  <si>
    <t>Parts of Policy Automated</t>
  </si>
  <si>
    <t>Parts of Policy Reported</t>
  </si>
  <si>
    <t>Partially Written Policy</t>
  </si>
  <si>
    <t>Implemented on Some Systems</t>
  </si>
  <si>
    <t>Automated on Some Systems</t>
  </si>
  <si>
    <t>Reported on Some Systems</t>
  </si>
  <si>
    <t>Written Policy</t>
  </si>
  <si>
    <t>Implemented on Most Systems</t>
  </si>
  <si>
    <t>Automated on Most Systems</t>
  </si>
  <si>
    <t>Reported on Most Systems</t>
  </si>
  <si>
    <t>Approved Written Policy</t>
  </si>
  <si>
    <t>Implemented on All Systems</t>
  </si>
  <si>
    <t>Automated on All Systems</t>
  </si>
  <si>
    <t>Reported on All Systems</t>
  </si>
  <si>
    <t>Unknown - Unscored</t>
  </si>
  <si>
    <t>None</t>
  </si>
  <si>
    <t>Unknown - N/A</t>
  </si>
  <si>
    <t>Not Applicable</t>
  </si>
  <si>
    <t>CIS-Hosted CSAT for CIS Controls v7.1</t>
  </si>
  <si>
    <t>CIS-Hosted CSAT Values From XLSX Export</t>
  </si>
  <si>
    <t>Calculated Numerical Score</t>
  </si>
  <si>
    <t>CIS RAM Maturity Score Average</t>
  </si>
  <si>
    <t>CIS-Hosted CSAT for CIS Controls v8.0</t>
  </si>
  <si>
    <t>https://www.cisecurity.org/controls/v8/</t>
  </si>
  <si>
    <t>Join our Community where you can discuss the CIS Controls with our global army of experts and volunteers!</t>
  </si>
  <si>
    <t>https://workbench.cisecurity.org/dashboard</t>
  </si>
  <si>
    <t>CIS CSAT (Controls Self Assessment Tool)</t>
  </si>
  <si>
    <t>TWO TYPES:</t>
  </si>
  <si>
    <t>https://csat.cisecurity.org/</t>
  </si>
  <si>
    <t>https://www.cisecurity.org/controls/cis-controls-self-assessment-tool-cis-csat/</t>
  </si>
  <si>
    <t>Ensure that unauthorized assets are either removed from the network, quarantined, or the inventory is updated in a timely manner.</t>
  </si>
  <si>
    <t>Ensure that all system data is automatically backed up on a regular basis.</t>
  </si>
  <si>
    <t>Train the workforce on how to identify different forms of social engineering attacks, such as phishing, phone scams, and impersonation calls.</t>
  </si>
  <si>
    <t>Ensure that there are written incident response plans that define roles of personnel as well as phases of incident handling/management.</t>
  </si>
  <si>
    <t>5 (81-100%)</t>
  </si>
  <si>
    <t>3 (41-60%)</t>
  </si>
  <si>
    <t>4 (61-80%)</t>
  </si>
  <si>
    <t>2 (21-40%)</t>
  </si>
  <si>
    <t>Not Available</t>
  </si>
  <si>
    <r>
      <rPr>
        <b/>
        <i/>
        <sz val="10"/>
        <color theme="1"/>
        <rFont val="Arial"/>
        <family val="2"/>
      </rPr>
      <t>Instructions</t>
    </r>
    <r>
      <rPr>
        <i/>
        <sz val="10"/>
        <color theme="1"/>
        <rFont val="Arial"/>
        <family val="2"/>
      </rPr>
      <t>: Imagine that your enterprise suffers a cybersecurity or information security incident. Describe in the spaces provided below how you would determine that the impacts to your mission were acceptable, or unacceptable.</t>
    </r>
  </si>
  <si>
    <r>
      <rPr>
        <b/>
        <i/>
        <sz val="10"/>
        <color theme="1"/>
        <rFont val="Arial"/>
        <family val="2"/>
      </rPr>
      <t>Instructions</t>
    </r>
    <r>
      <rPr>
        <i/>
        <sz val="10"/>
        <color theme="1"/>
        <rFont val="Arial"/>
        <family val="2"/>
      </rPr>
      <t>: Imagine that your enterprise suffers a cybersecurity or information security incident. Describe in the spaces provided below how you would determine that the impacts to your operational objectives were acceptable, or unacceptable.</t>
    </r>
  </si>
  <si>
    <r>
      <rPr>
        <b/>
        <i/>
        <sz val="10"/>
        <color theme="1"/>
        <rFont val="Arial"/>
        <family val="2"/>
      </rPr>
      <t>Instructions</t>
    </r>
    <r>
      <rPr>
        <i/>
        <sz val="10"/>
        <color theme="1"/>
        <rFont val="Arial"/>
        <family val="2"/>
      </rPr>
      <t>: Imagine that your enterprise suffers a cybersecurity or information security incident. Describe in the spaces provided below how you would determine that the impacts to your financial objectives were acceptable, or unacceptable.</t>
    </r>
  </si>
  <si>
    <r>
      <rPr>
        <b/>
        <i/>
        <sz val="10"/>
        <color theme="1"/>
        <rFont val="Arial"/>
        <family val="2"/>
      </rPr>
      <t>Instructions</t>
    </r>
    <r>
      <rPr>
        <i/>
        <sz val="10"/>
        <color theme="1"/>
        <rFont val="Arial"/>
        <family val="2"/>
      </rPr>
      <t>: Imagine that your enterprise suffers a cybersecurity or information security incident. Describe in the spaces provided below how you would determine that the impacts to your obligations (harm, to others)  were acceptable, or unacceptable.</t>
    </r>
  </si>
  <si>
    <t>Establish and maintain an accurate, detailed, and up-to-date inventory of all enterprise assets with the potential to store or process data, to include: end-user devices (including portable and mobile), network devices, non-computing/IoT devices, and servers. Ensure the inventory records the network address (if static), hardware address, machine name, enterprise asset owner, department for each asset, and whether the asset has been approved to connect to the network. For mobile end-user devices, MDM type tools can support this process, where appropriate. This inventory includes assets connected to the infrastructure physically, virtually, remotely, and those within cloud environments. Additionally, it includes assets that are regularly connected to the enterprise’s network infrastructure, even if they are not under control of the enterprise. Review and update the inventory of all enterprise assets bi-annually, or more frequently.</t>
  </si>
  <si>
    <t>Ensure that a process exists to address unauthorized assets on a weekly basis. The enterprise may choose to remove the asset from the network, deny the asset from connecting remotely to the network, or quarantine the asset.</t>
  </si>
  <si>
    <t>Utilize an active discovery tool to identify assets connected to the enterprise’s network. Configure the active discovery tool to execute daily, or more frequently.</t>
  </si>
  <si>
    <t>Use DHCP logging on all DHCP servers or Internet Protocol (IP) address management tools to update the enterprise’s asset inventory. Review and use logs to update the enterprise’s asset inventory weekly, or more frequently.</t>
  </si>
  <si>
    <t>Establish and maintain a detailed inventory of all licensed software installed on enterprise assets. The software inventory must document the title, publisher, initial install/use date, and business purpose for each entry; where appropriate, include the Uniform Resource Locator (URL), app store(s), version(s), deployment mechanism, and decommission date. Review and update the software inventory bi-annually, or more frequently.</t>
  </si>
  <si>
    <t>Ensure that only currently supported software is designated as authorized in the software inventory for enterprise assets. If software is unsupported, yet necessary for the fulfillment of the enterprise’s mission, document an exception detailing mitigating controls and residual risk acceptance. For any unsupported software without an exception documentation, designate as unauthorized. Review the software list to verify software support at least monthly, or more frequently.</t>
  </si>
  <si>
    <t>Ensure that unauthorized software is either removed from use on enterprise assets or receives a documented exception. Review monthly, or more frequently.</t>
  </si>
  <si>
    <t xml:space="preserve">Utilize software inventory tools, when possible, throughout the enterprise to automate the discovery and documentation of installed software. </t>
  </si>
  <si>
    <t>Use technical controls, such as application allowlisting, to ensure that only authorized software can execute or be accessed. Reassess bi-annually, or more frequently.</t>
  </si>
  <si>
    <t xml:space="preserve"> Use technical controls to ensure that only authorized software libraries, such as specific .dll, .ocx, .so, etc., files, are allowed to load into a system process. Block unauthorized libraries from loading into a system process. Reassess bi-annually, or more frequently.</t>
  </si>
  <si>
    <t>Establish and maintain a data management process. In the process, address data sensitivity, data owner, handling of data, data retention limits, and disposal requirements, based on sensitivity and retention standards for the enterprise. Review and update documentation annually, or when significant enterprise changes occur that could impact this Safeguard.</t>
  </si>
  <si>
    <t>Establish and maintain a data inventory, based on the enterprise’s data management process. Inventory sensitive data, at a minimum. Review and update inventory annually, at a minimum, with a priority on sensitive data.</t>
  </si>
  <si>
    <t>Configure data access control lists based on a user’s need to know. Apply data access control lists, also known as access permissions, to local and remote file systems, databases, and applications.</t>
  </si>
  <si>
    <t>Retain data according to the enterprise’s data management process. Data retention must include both minimum and maximum timelines.</t>
  </si>
  <si>
    <t>Securely dispose of data as outlined in the enterprise’s data management process. Ensure the disposal process and method are commensurate with the data sensitivity.</t>
  </si>
  <si>
    <t>Encrypt data on end-user devices containing sensitive data. Example implementations can include: Windows BitLocker®, Apple FileVault®, Linux® dm-crypt.</t>
  </si>
  <si>
    <t>Establish and maintain an overall data classification scheme for the enterprise. Enterprises may use labels, such as “Sensitive,” “Confidential,” and “Public,” and classify their data according to those labels. Review and update the classification scheme annually, or when significant enterprise changes occur that could impact this Safeguard.</t>
  </si>
  <si>
    <t>Document data flows. Data flow documentation includes service provider data flows and should be based on the enterprise’s data management process. Review and update documentation annually, or when significant enterprise changes occur that could impact this Safeguard.</t>
  </si>
  <si>
    <t>Encrypt data on removable media.</t>
  </si>
  <si>
    <t>Encrypt sensitive data in transit. Example implementations can include: Transport Layer Security (TLS) and Open Secure Shell (OpenSSH).</t>
  </si>
  <si>
    <t xml:space="preserve">Encrypt sensitive data at rest on servers, applications, and databases containing sensitive data.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 </t>
  </si>
  <si>
    <t>Segment data processing and storage based on the sensitivity of the data. Do not process sensitive data on enterprise assets intended for lower sensitivity data.</t>
  </si>
  <si>
    <t>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
  </si>
  <si>
    <t>Establish and maintain a secure configuration process for network devices. Review and update documentation annually, or when significant enterprise changes occur that could impact this Safeguard.</t>
  </si>
  <si>
    <t>Configure automatic session locking on enterprise assets after a defined period of inactivity. For general purpose operating systems, the period must not exceed 15 minutes. For mobile end-user devices, the period must not exceed 2 minutes.</t>
  </si>
  <si>
    <t>Implement and manage a firewall on servers, where supported. Example implementations include a virtual firewall, operating system firewall, or a third-party firewall agent.</t>
  </si>
  <si>
    <t>Implement and manage a host-based firewall or port-filtering tool on end-user devices, with a default-deny rule that drops all traffic except those services and ports that are explicitly allowed.</t>
  </si>
  <si>
    <t>Securely manage enterprise assets and software. Example implementations include managing configuration through version-controlled-infrastructure-as-code and accessing administrative interfaces over secure network protocols, such as Secure Shell (SSH) and Hypertext Transfer Protocol Secure (HTTPS). Do not use insecure management protocols, such as Telnet (Teletype Network) and HTTP, unless operationally essential.</t>
  </si>
  <si>
    <t>Manage default accounts on enterprise assets and software, such as root, administrator, and other pre-configured vendor accounts. Example implementations can include: disabling default accounts or making them unusable.</t>
  </si>
  <si>
    <t>Uninstall or disable unnecessary services on enterprise assets and software, such as an unused file sharing service, web application module, or service function.</t>
  </si>
  <si>
    <t xml:space="preserve">Configure trusted DNS servers on enterprise assets. Example implementations include: configuring assets to use enterprise-controlled DNS servers and/or reputable externally accessible DNS servers. </t>
  </si>
  <si>
    <t>Enforce automatic device lockout following a predetermined threshold of local failed authentication attempts on portable end-user devices, where supported. For laptops, do not allow more than 20 failed authentication attempts; for tablets and smartphones, no more than 10 failed authentication attempts. Example implementations include Microsoft® InTune Device Lock and Apple® Configuration Profile maxFailedAttempts.</t>
  </si>
  <si>
    <t>Remotely wipe enterprise data from enterprise-owned portable end-user devices when deemed appropriate such as lost or stolen devices, or when an individual no longer supports the enterprise.</t>
  </si>
  <si>
    <t>Establish and maintain an inventory of all accounts managed in the enterprise. The inventory must include both user and administrator accounts. The inventory, at a minimum, should contain the person’s name, username, start/stop dates, and department. Validate that all active accounts are authorized, on a recurring schedule at a minimum quarterly, or more frequently.</t>
  </si>
  <si>
    <t xml:space="preserve">Use unique passwords for all enterprise assets. Best practice implementation includes, at a minimum, an 8-character password for accounts using MFA and a 14-character password for accounts not using MFA. </t>
  </si>
  <si>
    <t>Delete or disable any dormant accounts after a period of 45 days of inactivity, where supported.</t>
  </si>
  <si>
    <t>Restrict administrator privileges to dedicated administrator accounts on enterprise assets. Conduct general computing activities, such as internet browsing, email, and productivity suite use, from the user’s primary, non-privileged account.</t>
  </si>
  <si>
    <t>Establish and maintain an inventory of service accounts. The inventory, at a minimum, must contain department owner, review date, and purpose. Perform service account reviews to validate that all active accounts are authorized, on a recurring schedule at a minimum quarterly, or more frequently.</t>
  </si>
  <si>
    <t>Centralize account management through a directory or identity service.</t>
  </si>
  <si>
    <t>Establish and follow a process, preferably automated, for granting access to enterprise assets upon new hire, rights grant, or role change of a user.</t>
  </si>
  <si>
    <t>Establish and follow a process, preferably automated, for revoking access to enterprise assets, through disabling accounts immediately upon termination, rights revocation, or role change of a user. Disabling accounts, instead of deleting accounts, may be necessary to preserve audit trails.</t>
  </si>
  <si>
    <t>Require all externally-exposed enterprise or third-party applications to enforce MFA, where supported. Enforcing MFA through a directory service or SSO provider is a satisfactory implementation of this Safeguard.</t>
  </si>
  <si>
    <t>Require MFA for remote network access.</t>
  </si>
  <si>
    <t>Require MFA for all administrative access accounts, where supported, on all enterprise assets, whether managed on-site or through a third-party provider.</t>
  </si>
  <si>
    <t>Establish and maintain an inventory of the enterprise’s authentication and authorization systems, including those hosted on-site or at a remote service provider. Review and update the inventory, at a minimum, annually, or more frequently.</t>
  </si>
  <si>
    <t>Centralize access control for all enterprise assets through a directory service or SSO provider, where supported.</t>
  </si>
  <si>
    <t>Establish and maintain a documented vulnerability management process for enterprise assets. Review and update documentation annually, or when significant enterprise changes occur that could impact this Safeguard.</t>
  </si>
  <si>
    <t>Establish and maintain a risk-based remediation strategy documented in a remediation process, with monthly, or more frequent, reviews.</t>
  </si>
  <si>
    <t>Perform operating system updates on enterprise assets through automated patch management on a monthly, or more frequent, basis.</t>
  </si>
  <si>
    <t>Perform application updates on enterprise assets through automated patch management on a monthly, or more frequent, basis.</t>
  </si>
  <si>
    <t>Perform automated vulnerability scans of internal enterprise assets on a quarterly, or more frequent, basis. Conduct both authenticated and unauthenticated scans, using a SCAP-compliant vulnerability scanning tool.</t>
  </si>
  <si>
    <t xml:space="preserve">Perform automated vulnerability scans of externally-exposed enterprise assets using a SCAP-compliant vulnerability scanning tool. Perform scans on a monthly, or more frequent, basis. </t>
  </si>
  <si>
    <t>Remediate detected vulnerabilities in software through processes and tooling on a monthly, or more frequent, basis, based on the remediation process.</t>
  </si>
  <si>
    <t>Establish and maintain an audit log management process that defines the enterprise’s logging requirements. At a minimum, address the collection, review, and retention of audit logs for enterprise assets. Review and update documentation annually, or when significant enterprise changes occur that could impact this Safeguard.</t>
  </si>
  <si>
    <t>Collect audit logs. Ensure that logging, per the enterprise’s audit log management process, has been enabled across enterprise assets.</t>
  </si>
  <si>
    <t>Ensure that logging destinations maintain adequate storage to comply with the enterprise’s audit log management process.</t>
  </si>
  <si>
    <t>Standardize time synchronization. Configure at least two synchronized time sources across enterprise assets, where supported.</t>
  </si>
  <si>
    <t>Configure detailed audit logging for enterprise assets containing sensitive data. Include event source, date, username, timestamp, source addresses, destination addresses, and other useful elements that could assist in a forensic investigation.</t>
  </si>
  <si>
    <t>Collect DNS query audit logs on enterprise assets, where appropriate and supported.</t>
  </si>
  <si>
    <t>Collect URL request audit logs on enterprise assets, where appropriate and supported.</t>
  </si>
  <si>
    <t>Collect command-line audit logs. Example implementations include collecting audit logs from PowerShell®, BASH™, and remote administrative terminals.</t>
  </si>
  <si>
    <t>Centralize, to the extent possible, audit log collection and retention across enterprise assets.</t>
  </si>
  <si>
    <t>Retain audit logs across enterprise assets for a minimum of 90 days.</t>
  </si>
  <si>
    <t>Conduct reviews of audit logs to detect anomalies or abnormal events that could indicate a potential threat. Conduct reviews on a weekly, or more frequent, basis.</t>
  </si>
  <si>
    <t>Ensure only fully supported browsers and email clients are allowed to execute in the enterprise, only using the latest version of browsers and email clients provided through the vendor.</t>
  </si>
  <si>
    <t>Use DNS filtering services on all enterprise assets to block access to known malicious domains.</t>
  </si>
  <si>
    <t>Enforce and update network-based URL filters to limit an enterprise asset from connecting to potentially malicious or unapproved websites. Example implementations include category-based filtering, reputation-based filtering, or through the use of block lists. Enforce filters for all enterprise assets.</t>
  </si>
  <si>
    <t>Restrict, either through uninstalling or disabling, any unauthorized or unnecessary browser or email client plugins, extensions, and add-on applications.</t>
  </si>
  <si>
    <t>To lower the chance of spoofed or modified emails from valid domains, implement DMARC policy and verification, starting with implementing the Sender Policy Framework (SPF) and the DomainKeys Identified Mail (DKIM) standards.</t>
  </si>
  <si>
    <t>Block unnecessary file types attempting to enter the enterprise’s email gateway.</t>
  </si>
  <si>
    <t>Deploy and maintain anti-malware software on all enterprise assets.</t>
  </si>
  <si>
    <t>Configure automatic updates for anti-malware signature files on all enterprise assets.</t>
  </si>
  <si>
    <t>Disable autorun and autoplay auto-execute functionality for removable media.</t>
  </si>
  <si>
    <t>Configure anti-malware software to automatically scan removable media.</t>
  </si>
  <si>
    <t>Enable anti-exploitation features on enterprise assets and software, where possible, such as Microsoft® Data Execution Prevention (DEP), Windows® Defender Exploit Guard (WDEG), or Apple® System Integrity Protection (SIP) and Gatekeeper™.</t>
  </si>
  <si>
    <t>Centrally manage anti-malware software.</t>
  </si>
  <si>
    <t>Use behavior-based anti-malware software.</t>
  </si>
  <si>
    <t xml:space="preserve">Establish and maintain a data recovery process. In the process, address the scope of data recovery activities, recovery prioritization, and the security of backup data. Review and update documentation annually, or when significant enterprise changes occur that could impact this Safeguard. </t>
  </si>
  <si>
    <t>Perform automated backups of in-scope enterprise assets. Run backups weekly, or more frequently, based on the sensitivity of the data.</t>
  </si>
  <si>
    <t>Protect recovery data with equivalent controls to the original data. Reference encryption or data separation, based on requirements.</t>
  </si>
  <si>
    <t>Establish and maintain an isolated instance of recovery data. Example implementations include, version controlling backup destinations through offline, cloud, or off-site systems or services.</t>
  </si>
  <si>
    <t>Test backup recovery quarterly, or more frequently, for a sampling of in-scope enterprise assets.</t>
  </si>
  <si>
    <t>Ensure network infrastructure is kept up-to-date. Example implementations include running the latest stable release of software and/or using currently supported network-as-a-service (NaaS) offerings. Review software versions monthly, or more frequently, to verify software support.</t>
  </si>
  <si>
    <t>Establish and maintain a secure network architecture. A secure network architecture must address segmentation, least privilege, and availability, at a minimum.</t>
  </si>
  <si>
    <t xml:space="preserve">Securely manage network infrastructure. Example implementations include version-controlled-infrastructure-as-code, and the use of secure network protocols, such as SSH and HTTPS. </t>
  </si>
  <si>
    <t>Establish and maintain architecture diagram(s) and/or other network system documentation. Review and update documentation annually, or when significant enterprise changes occur that could impact this Safeguard.</t>
  </si>
  <si>
    <t>Centralize network AAA.</t>
  </si>
  <si>
    <t>Use secure network management and communication protocols (e.g., 802.1X, Wi-Fi Protected Access 2 (WPA2) Enterprise or greater).</t>
  </si>
  <si>
    <t>Require users to authenticate to enterprise-managed VPN and authentication services prior to accessing enterprise resources on end-user devices.</t>
  </si>
  <si>
    <t>Centralize security event alerting across enterprise assets for log correlation and analysis. Best practice implementation requires the use of a SIEM, which includes vendor-defined event correlation alerts. A log analytics platform configured with security-relevant correlation alerts also satisfies this Safeguard.</t>
  </si>
  <si>
    <t>Deploy a host-based intrusion detection solution on enterprise assets, where appropriate and/or supported.</t>
  </si>
  <si>
    <t>Deploy a network intrusion detection solution on enterprise assets, where appropriate. Example implementations include the use of a Network Intrusion Detection System (NIDS) or equivalent cloud service provider (CSP) service.</t>
  </si>
  <si>
    <t>Perform traffic filtering between network segments, where appropriate.</t>
  </si>
  <si>
    <t xml:space="preserve">Manage access control for assets remotely connecting to enterprise resources. Determine amount of access to enterprise resources based on: up-to-date anti-malware software installed, configuration compliance with the enterprise’s secure configuration process, and ensuring the operating system and applications are up-to-date.	 </t>
  </si>
  <si>
    <t>Collect network traffic flow logs and/or network traffic to review and alert upon from network devices.</t>
  </si>
  <si>
    <t>Establish and maintain a security awareness program. The purpose of a security awareness program is to educate the enterprise’s workforce on how to interact with enterprise assets and data in a secure manner. Conduct training at hire and, at a minimum, annually. Review and update content annually, or when significant enterprise changes occur that could impact this Safeguard.</t>
  </si>
  <si>
    <t>Train workforce members to recognize social engineering attacks, such as phishing, pre-texting, and tailgating. </t>
  </si>
  <si>
    <t>Train workforce members on authentication best practices. Example topics include MFA, password composition, and credential management.</t>
  </si>
  <si>
    <t>Train workforce members on how to identify and properly store, transfer, archive, and destroy sensitive data. This also includes training workforce members on clear screen and desk best practices, such as locking their screen when they step away from their enterprise asset, erasing physical and virtual whiteboards at the end of meetings, and storing data and assets securely.</t>
  </si>
  <si>
    <t>Train workforce members to be aware of causes for unintentional data exposure. Example topics include mis-delivery of sensitive data, losing a portable end-user device, or publishing data to unintended audiences.</t>
  </si>
  <si>
    <t>Train workforce members to be able to recognize a potential incident and be able to report such an incident. </t>
  </si>
  <si>
    <t>Train workforce to understand how to verify and report out-of-date software patches or any failures in automated processes and tools. Part of this training should include notifying IT personnel of any failures in automated processes and tools.</t>
  </si>
  <si>
    <t>Train workforce members on the dangers of connecting to, and transmitting data over, insecure networks for enterprise activities. If the enterprise has remote workers, training must include guidance to ensure that all users securely configure their home network infrastructure.</t>
  </si>
  <si>
    <t>Conduct role-specific security awareness and skills training. Example implementations include secure system administration courses for IT professionals, OWASP® Top 10 vulnerability awareness and prevention training for web application developers, and advanced social engineering awareness training for high-profile roles.</t>
  </si>
  <si>
    <t xml:space="preserve">Establish and maintain an inventory of service providers. The inventory is to list all known service providers, include classification(s), and designate an enterprise contact for each service provider. Review and update the inventory annually, or when significant enterprise changes occur that could impact this Safeguard. </t>
  </si>
  <si>
    <t>Establish and maintain a service provider management policy. Ensure the policy addresses the classification, inventory, assessment, monitoring, and decommissioning of service providers. Review and update the policy annually, or when significant enterprise changes occur that could impact this Safeguard.</t>
  </si>
  <si>
    <t>Classify service providers. Classification consideration may include one or more characteristics, such as data sensitivity, data volume, availability requirements, applicable regulations, inherent risk, and mitigated risk. Update and review classifications annually, or when significant enterprise changes occur that could impact this Safeguard.</t>
  </si>
  <si>
    <t>Ensure service provider contracts include security requirements. Example requirements may include minimum security program requirements, security incident and/or data breach notification and response, data encryption requirements, and data disposal commitments. These security requirements must be consistent with the enterprise’s service provider management policy. Review service provider contracts annually to ensure contracts are not missing security requirements.</t>
  </si>
  <si>
    <t>Establish and maintain a secure application development process. In the process, address such items as: secure application design standards, secure coding practices, developer training, vulnerability management, security of third-party code, and application security testing procedures. Review and update documentation annually, or when significant enterprise changes occur that could impact this Safeguard.</t>
  </si>
  <si>
    <t xml:space="preserve">Establish and maintain a process to accept and address reports of software vulnerabilities, including providing a means for external entities to report. The process is to include such items as: a vulnerability handling policy that identifies reporting process, responsible party for handling vulnerability reports, and a process for intake, assignment, remediation, and remediation testing. As part of the process, use a vulnerability tracking system that includes severity ratings, and metrics for measuring timing for identification, analysis, and remediation of vulnerabilities. Review and update documentation annually, or when significant enterprise changes occur that could impact this Safeguard.
Third-party application developers need to consider this an externally-facing policy that helps to set expectations for outside stakeholders. </t>
  </si>
  <si>
    <t>Perform root cause analysis on security vulnerabilities. When reviewing vulnerabilities, root cause analysis is the task of evaluating underlying issues that create vulnerabilities in code, and allows development teams to move beyond just fixing individual vulnerabilities as they arise.</t>
  </si>
  <si>
    <t>Establish and manage an updated inventory of third-party components used in development, often referred to as a “bill of materials,” as well as components slated for future use. This inventory is to include any risks that each third-party component could pose. Evaluate the list at least monthly to identify any changes or updates to these components, and validate that the component is still supported. </t>
  </si>
  <si>
    <t>Use up-to-date and trusted third-party software components. When possible, choose established and proven frameworks and libraries that provide adequate security. Acquire these components from trusted sources or evaluate the software for vulnerabilities before use.</t>
  </si>
  <si>
    <t>Establish and maintain a severity rating system and process for application vulnerabilities that facilitates prioritizing the order in which discovered vulnerabilities are fixed. This process includes setting a minimum level of security acceptability for releasing code or applications. Severity ratings bring a systematic way of triaging vulnerabilities that improves risk management and helps ensure the most severe bugs are fixed first. Review and update the system and process annually.</t>
  </si>
  <si>
    <t>Use standard, industry-recommended hardening configuration templates for application infrastructure components. This includes underlying servers, databases, and web servers, and applies to cloud containers, Platform as a Service (PaaS) components, and SaaS components. Do not allow in-house developed software to weaken configuration hardening.</t>
  </si>
  <si>
    <t>Maintain separate environments for production and non-production systems.</t>
  </si>
  <si>
    <t>Ensure that all software development personnel receive training in writing secure code for their specific development environment and responsibilities. Training can include general security principles and application security standard practices. Conduct training at least annually and design in a way to promote security within the development team, and build a culture of security among the developers.</t>
  </si>
  <si>
    <t>Apply secure design principles in application architectures. Secure design principles include the concept of least privilege and enforcing mediation to validate every operation that the user makes, promoting the concept of "never trust user input." Examples include ensuring that explicit error checking is performed and documented for all input, including for size, data type, and acceptable ranges or formats. Secure design also means minimizing the application infrastructure attack surface, such as turning off unprotected ports and services, removing unnecessary programs and files, and renaming or removing default accounts.</t>
  </si>
  <si>
    <t>Leverage vetted modules or services for application security components, such as identity management, encryption, and auditing and logging. Using platform features in critical security functions will reduce developers’ workload and minimize the likelihood of design or implementation errors. Modern operating systems provide effective mechanisms for identification, authentication, and authorization and make those mechanisms available to applications. Use only standardized, currently accepted, and extensively reviewed encryption algorithms. Operating systems also provide mechanisms to create and maintain secure audit logs.</t>
  </si>
  <si>
    <t>Designate one key person, and at least one backup, who will manage the enterprise’s incident handling process. Management personnel are responsible for the coordination and documentation of incident response and recovery efforts and can consist of employees internal to the enterprise, third-party vendors, or a hybrid approach. If using a third-party vendor, designate at least one person internal to the enterprise to oversee any third-party work. Review annually, or when significant enterprise changes occur that could impact this Safeguard.</t>
  </si>
  <si>
    <t>Establish and maintain contact information for parties that need to be informed of security incidents. Contacts may include internal staff, third-party vendors, law enforcement, cyber insurance providers, relevant government agencies, Information Sharing and Analysis Center (ISAC) partners, or other stakeholders. Verify contacts annually to ensure that information is up-to-date.</t>
  </si>
  <si>
    <t>Establish and maintain an enterprise process for the workforce to report security incidents. The process includes reporting timeframe, personnel to report to, mechanism for reporting, and the minimum information to be reported. Ensure the process is publicly available to all of the workforce. Review annually, or when significant enterprise changes occur that could impact this Safeguard.</t>
  </si>
  <si>
    <t>Establish and maintain an incident response process that addresses roles and responsibilities, compliance requirements, and a communication plan. Review annually, or when significant enterprise changes occur that could impact this Safeguard.</t>
  </si>
  <si>
    <t>Assign key roles and responsibilities for incident response, including staff from legal, IT, information security, facilities, public relations, human resources, incident responders, and analysts, as applicable. Review annually, or when significant enterprise changes occur that could impact this Safeguard.</t>
  </si>
  <si>
    <t>Determine which primary and secondary mechanisms will be used to communicate and report during a security incident. Mechanisms can include phone calls, emails, or letters. Keep in mind that certain mechanisms, such as emails, can be affected during a security incident. Review annually, or when significant enterprise changes occur that could impact this Safeguard.</t>
  </si>
  <si>
    <t>Plan and conduct routine incident response exercises and scenarios for key personnel involved in the incident response process to prepare for responding to real-world incidents. Exercises need to test communication channels, decision making, and workflows. Conduct testing on an annual basis, at a minimum.</t>
  </si>
  <si>
    <t>Conduct post-incident reviews. Post-incident reviews help prevent incident recurrence through identifying lessons learned and follow-up action.</t>
  </si>
  <si>
    <t>Establish and maintain a penetration testing program appropriate to the size, complexity, and maturity of the enterprise. Penetration testing program characteristics include scope, such as network, web application, Application Programming Interface (API), hosted services, and physical premise controls; frequency; limitations, such as acceptable hours, and excluded attack types; point of contact information; remediation, such as how findings will be routed internally; and retrospective requirements.</t>
  </si>
  <si>
    <t>Perform periodic external penetration tests based on program requirements, no less than annually. External penetration testing must include enterprise and environmental reconnaissance to detect exploitable information. Penetration testing requires specialized skills and experience and must be conducted through a qualified party. The testing may be clear box or opaque box.</t>
  </si>
  <si>
    <t>Remediate penetration test findings based on the enterprise’s policy for remediation scope and prioritization.</t>
  </si>
  <si>
    <t>15.10</t>
  </si>
  <si>
    <t>16.10</t>
  </si>
  <si>
    <t>17.1</t>
  </si>
  <si>
    <t>17.2</t>
  </si>
  <si>
    <t>17.3</t>
  </si>
  <si>
    <t>17.4</t>
  </si>
  <si>
    <t>17.5</t>
  </si>
  <si>
    <t>17.6</t>
  </si>
  <si>
    <t>17.7</t>
  </si>
  <si>
    <t>17.8</t>
  </si>
  <si>
    <t>17.9</t>
  </si>
  <si>
    <t>18.1</t>
  </si>
  <si>
    <t>18.2</t>
  </si>
  <si>
    <t>18.3</t>
  </si>
  <si>
    <t>18.4</t>
  </si>
  <si>
    <t>18.5</t>
  </si>
  <si>
    <t>18.6</t>
  </si>
  <si>
    <t>18.7</t>
  </si>
  <si>
    <t>18.8</t>
  </si>
  <si>
    <t>18.9</t>
  </si>
  <si>
    <t>19.1</t>
  </si>
  <si>
    <t>19.2</t>
  </si>
  <si>
    <t>19.3</t>
  </si>
  <si>
    <t>19.4</t>
  </si>
  <si>
    <t>19.5</t>
  </si>
  <si>
    <t>19.6</t>
  </si>
  <si>
    <t>19.7</t>
  </si>
  <si>
    <t>20.1</t>
  </si>
  <si>
    <t>20.2</t>
  </si>
  <si>
    <t>20.4</t>
  </si>
  <si>
    <t>20.5</t>
  </si>
  <si>
    <t>20.6</t>
  </si>
  <si>
    <t>20.8</t>
  </si>
  <si>
    <t>Use DHCP Logging to Update Asset Inventory</t>
  </si>
  <si>
    <t>Maintain Asset Inventory Information</t>
  </si>
  <si>
    <t>Deploy Port Level Access Control</t>
  </si>
  <si>
    <t>Utilize Software Inventory Tools</t>
  </si>
  <si>
    <t>Track Software Inventory Information</t>
  </si>
  <si>
    <t>Run Automated Vulnerability Scanning Tools</t>
  </si>
  <si>
    <t>Perform Authenticated Vulnerability Scanning</t>
  </si>
  <si>
    <t>Protect Dedicated Assessment Accounts</t>
  </si>
  <si>
    <t>Compare Back-to-Back Vulnerability Scans</t>
  </si>
  <si>
    <t>Utilize a Risk-Rating Process</t>
  </si>
  <si>
    <t>Maintain Inventory of Administrative Accounts</t>
  </si>
  <si>
    <t>Use Multi-Factor Authentication for All Administrative Access</t>
  </si>
  <si>
    <t>Use Dedicated Workstations For All Administrative Tasks</t>
  </si>
  <si>
    <t>Limit Access to Script Tools</t>
  </si>
  <si>
    <t>Log and Alert on Changes to Administrative Group Membership</t>
  </si>
  <si>
    <t>Log and Alert on Unsuccessful Administrative Account Login</t>
  </si>
  <si>
    <t>Maintain Secure Images</t>
  </si>
  <si>
    <t>Securely Store Master Images</t>
  </si>
  <si>
    <t>Deploy System Configuration Management Tools</t>
  </si>
  <si>
    <t>Implement Automated Configuration Monitoring Systems</t>
  </si>
  <si>
    <t>Utilize Three Synchronized Time Sources</t>
  </si>
  <si>
    <t>Enable Detailed Logging</t>
  </si>
  <si>
    <t>Ensure Adequate Storage for Logs</t>
  </si>
  <si>
    <t>Central Log Management</t>
  </si>
  <si>
    <t>Deploy SIEM or Log Analytic Tools</t>
  </si>
  <si>
    <t>Regularly Review Logs</t>
  </si>
  <si>
    <t>Disable Unnecessary or Unauthorized Browser or Email Client Plugins</t>
  </si>
  <si>
    <t>Limit Use of Scripting Languages in Web Browsers and Email Clients</t>
  </si>
  <si>
    <t>Subscribe to URL-Categorization Service</t>
  </si>
  <si>
    <t>Log All URL requester</t>
  </si>
  <si>
    <t>Implement DMARC and Enable Receiver-Side Verification</t>
  </si>
  <si>
    <t>Utilize Centrally Managed Anti-malware Software</t>
  </si>
  <si>
    <t>Enable Operating System Anti-Exploitation Features/Deploy Anti-Exploit Technologies</t>
  </si>
  <si>
    <t>Centralize Anti-Malware Logging</t>
  </si>
  <si>
    <t>Enable DNS Query Logging</t>
  </si>
  <si>
    <t>Enable Command-Line Audit Logging</t>
  </si>
  <si>
    <t>Associate Active Ports, Services, and Protocols to Asset Inventory</t>
  </si>
  <si>
    <t>Ensure Only Approved Ports, Protocols, and Services Are Running</t>
  </si>
  <si>
    <t>Perform Regular Automated Port Scans</t>
  </si>
  <si>
    <t>Test Data on Backup Media</t>
  </si>
  <si>
    <t>Maintain Standard Security Configurations for Network Devices</t>
  </si>
  <si>
    <t>Document Traffic Configuration Rules</t>
  </si>
  <si>
    <t>Use Automated Tools to Verify Standard Device Configurations and Detect Changes</t>
  </si>
  <si>
    <t>Manage Network Devices Using Multi-Factor Authentication and Encrypted Sessions</t>
  </si>
  <si>
    <t>Use Dedicated Machines For All Network Administrative Tasks</t>
  </si>
  <si>
    <t>Manage Network Infrastructure Through a Dedicated Network</t>
  </si>
  <si>
    <t>Scan for Unauthorized Connections Across Trusted Network Boundaries</t>
  </si>
  <si>
    <t>Deny Communications With Known Malicious IP Addresses</t>
  </si>
  <si>
    <t>Configure Monitoring Systems to Record Network Packets</t>
  </si>
  <si>
    <t>Deploy Network-Based IDS Sensors</t>
  </si>
  <si>
    <t>Deploy NetFlow Collection on Networking Boundary Devices</t>
  </si>
  <si>
    <t>Require All Remote Login to Use Multi-Factor Authentication</t>
  </si>
  <si>
    <t>Only Allow Access to Authorized Cloud Storage or Email Providers</t>
  </si>
  <si>
    <t>Manage USB Devices</t>
  </si>
  <si>
    <t>Segment the Network Based on Sensitivity</t>
  </si>
  <si>
    <t>Enable Firewall Filtering Between VLANs</t>
  </si>
  <si>
    <t>Disable Workstation to Workstation Communication</t>
  </si>
  <si>
    <t>Encrypt All Sensitive Information in Transit</t>
  </si>
  <si>
    <t>Maintain an Inventory of Authorized Wireless Access Points</t>
  </si>
  <si>
    <t>Detect Wireless Access Points Connected to the Wired Network</t>
  </si>
  <si>
    <t>Use a Wireless Intrusion Detection System</t>
  </si>
  <si>
    <t>Disable Peer-to-Peer Wireless Network Capabilities on Wireless Clients</t>
  </si>
  <si>
    <t>Disable Wireless Peripheral Access of Devices</t>
  </si>
  <si>
    <t>Maintain an Inventory of Authentication Systems</t>
  </si>
  <si>
    <t>Configure Centralized Point of Authentication</t>
  </si>
  <si>
    <t>Require Multi-Factor Authentication</t>
  </si>
  <si>
    <t>Encrypt or Hash all Authentication Credentials</t>
  </si>
  <si>
    <t>Encrypt Transmittal of Username and Authentication Credentials</t>
  </si>
  <si>
    <t>Maintain an Inventory of Accounts</t>
  </si>
  <si>
    <t>Establish Process for Revoking Access</t>
  </si>
  <si>
    <t>Ensure All Accounts Have An Expiration Date</t>
  </si>
  <si>
    <t>Monitor Attempts to Access Deactivated Accounts</t>
  </si>
  <si>
    <t>Perform a Skills Gap Analysis</t>
  </si>
  <si>
    <t>Deliver Training to Fill the Skills Gap</t>
  </si>
  <si>
    <t>Update Awareness Content Frequently</t>
  </si>
  <si>
    <t>Establish Secure Coding Practices</t>
  </si>
  <si>
    <t>Ensure That Explicit Error Checking is Performed for All In-House Developed Software</t>
  </si>
  <si>
    <t>Verify That Acquired Software is Still Supported</t>
  </si>
  <si>
    <t>Only Use Up-to-Date and Trusted Third-Party Components</t>
  </si>
  <si>
    <t>Use Only Standardized and Extensively Reviewed Encryption Algorithms</t>
  </si>
  <si>
    <t>Ensure Software Development Personnel are Trained in Secure Coding</t>
  </si>
  <si>
    <t>Apply Static and Dynamic Code Analysis Tools</t>
  </si>
  <si>
    <t>Establish a Process to Accept and Address Reports of Software Vulnerabilities</t>
  </si>
  <si>
    <t>Deploy Web Application Firewalls</t>
  </si>
  <si>
    <t>Use Standard Hardening Configuration Templates for Databases</t>
  </si>
  <si>
    <t>Assign Job Titles and Duties for Incident Response</t>
  </si>
  <si>
    <t>Devise Organization-wide Standards for Reporting Incidents</t>
  </si>
  <si>
    <t>Conduct Periodic Incident Scenario Sessions for Personnel</t>
  </si>
  <si>
    <t>Establish a Penetration Testing Program</t>
  </si>
  <si>
    <t>Conduct Regular External and Internal Penetration Tests</t>
  </si>
  <si>
    <t>Include Tests for Presence of Unprotected System Information and Artifacts</t>
  </si>
  <si>
    <t>Create Test Bed for Elements Not Typically Tested in Production</t>
  </si>
  <si>
    <t>Use Vulnerability Scanning and Penetration Testing Tools in Concert</t>
  </si>
  <si>
    <t>Control and Monitor Accounts Associated with Penetration Testing</t>
  </si>
  <si>
    <t>Utilize an active discovery tool to identify devices connected to the organization's network and update the hardware asset inventory.</t>
  </si>
  <si>
    <t>Use Dynamic Host Configuration Protocol (DHCP) logging on all DHCP servers or IP address management tools to update the organization's hardware asset inventory.</t>
  </si>
  <si>
    <t>Ensure that the hardware asset inventory records the network address, hardware address, machine name, data asset owner, and department for each asset and whether the hardware asset has been approved to connect to the network.</t>
  </si>
  <si>
    <t>Utilize port level access control, following 802.1x standards, to control which devices can authenticate to the network. The authentication system shall be tied into the hardware asset inventory data to ensure only authorized devices can connect to the network.</t>
  </si>
  <si>
    <t>Ensure that only software applications or operating systems currently supported and receiving vendor updates are added to the organization's authorized software inventory. Unsupported software should be tagged as unsupported in the inventory system.</t>
  </si>
  <si>
    <t>Utilize software inventory tools throughout the organization to automate the documentation of all software on business systems.</t>
  </si>
  <si>
    <t>The software inventory system should track the name, version, publisher, and install date for all software, including operating systems authorized by the organization.</t>
  </si>
  <si>
    <t>Utilize an up-to-date Security Content Automation Protocol (SCAP) compliant vulnerability scanning tool to automatically scan all systems on the network on a weekly or more frequent basis to identify all potential vulnerabilities on the organization's systems.</t>
  </si>
  <si>
    <t>Perform authenticated vulnerability scanning with agents running locally on each system or with remote scanners that are configured with elevated rights on the system being tested.</t>
  </si>
  <si>
    <t>Use a dedicated account for authenticated vulnerability scans, which should not be used for any other administrative activities and should be tied to specific machines at specific IP addresses.</t>
  </si>
  <si>
    <t>Regularly compare the results from consecutive vulnerability scans to verify that vulnerabilities have been remediated in a timely manner.</t>
  </si>
  <si>
    <t>Utilize a risk-rating process to prioritize the remediation of discovered vulnerabilities.</t>
  </si>
  <si>
    <t>Use automated tools to inventory all administrative accounts, including domain and local accounts, to ensure that only authorized individuals have elevated privileges.</t>
  </si>
  <si>
    <t>Where multi-factor authentication is not supported (such as local administrator, root, or service accounts), accounts will use passwords that are unique to that system.</t>
  </si>
  <si>
    <t>Use multi-factor authentication and encrypted channels for all administrative account access.</t>
  </si>
  <si>
    <t>Ensure administrators use a dedicated machine for all administrative tasks or tasks requiring administrative access. This machine will be segmented from the organization's primary network and not be allowed Internet access. This machine will not be used for reading e-mail, composing documents, or browsing the Internet.</t>
  </si>
  <si>
    <t>Limit access to scripting tools (such as Microsoft® PowerShell and Python) to only administrative or development users with the need to access those capabilities.</t>
  </si>
  <si>
    <t>Configure systems to issue a log entry and alert when an account is added to or removed from any group assigned administrative privileges.</t>
  </si>
  <si>
    <t>Configure systems to issue a log entry and alert on unsuccessful logins to an administrative account.</t>
  </si>
  <si>
    <t>Maintain documented security configuration standards for all authorized operating systems and software.</t>
  </si>
  <si>
    <t>Maintain secure images or templates for all systems in the enterprise based on the organization's approved configuration standards. Any new system deployment or existing system that becomes compromised should be imaged using one of those images or templates.</t>
  </si>
  <si>
    <t>Store the master images and templates on securely configured servers, validated with integrity monitoring tools, to ensure that only authorized changes to the images are possible.</t>
  </si>
  <si>
    <t>Deploy system configuration management tools that will automatically enforce and redeploy configuration settings to systems at regularly scheduled intervals.</t>
  </si>
  <si>
    <t>Utilize a Security Content Automation Protocol (SCAP) compliant configuration monitoring system to verify all security configuration elements, catalog approved exceptions, and alert when unauthorized changes occur.</t>
  </si>
  <si>
    <t>Use at least three synchronized time sources from which all servers and network devices retrieve time information on a regular basis so that timestamps in logs are consistent.</t>
  </si>
  <si>
    <t>Enable system logging to include detailed information such as a event source, date, user, timestamp, source addresses, destination addresses, and other useful elements.</t>
  </si>
  <si>
    <t>Ensure that all systems that store logs have adequate storage space for the logs generated.</t>
  </si>
  <si>
    <t>Ensure that appropriate logs are being aggregated to a central log management system for analysis and review.</t>
  </si>
  <si>
    <t>Deploy Security Information and Event Management (SIEM) or log analytic tool for log correlation and analysis.</t>
  </si>
  <si>
    <t>On a regular basis, review logs to identify anomalies or abnormal events.</t>
  </si>
  <si>
    <t>Uninstall or disable any unauthorized browser or email client plugins or add-on applications.</t>
  </si>
  <si>
    <t>Ensure that only authorized scripting languages are able to run in all web browsers and email clients.</t>
  </si>
  <si>
    <t>Enforce network-based URL filters that limit a system's ability to connect to websites not approved by the organization. This filtering shall be enforced for each of the organization's systems, whether they are physically at an organization's facilities or not.</t>
  </si>
  <si>
    <t>Subscribe to URL-categorization services to ensure that they are up-to-date with the most recent website category definitions available. Uncategorized sites shall be blocked by default.</t>
  </si>
  <si>
    <t>Log all URL requests from each of the organization's systems, whether on-site or a mobile device, in order to identify potentially malicious activity and assist incident handlers with identifying potentially compromised systems.</t>
  </si>
  <si>
    <t>Use Domain Name System (DNS) filtering services to help block access to known malicious domains.</t>
  </si>
  <si>
    <t>To lower the chance of spoofed or modified emails from valid domains, implement Domain-based Message Authentication, Reporting and Conformance (DMARC) policy and verification, starting by implementing the Sender Policy Framework (SPF) and the DomainKeys Identified Mail(DKIM) standards.</t>
  </si>
  <si>
    <t>Block all email attachments entering the organization's email gateway if the file types are unnecessary for the organization's business.</t>
  </si>
  <si>
    <t>Utilize centrally managed anti-malware software to continuously monitor and defend each of the organization's workstations and servers.</t>
  </si>
  <si>
    <t>Enable anti-exploitation features such as Data Execution Prevention (DEP) or Address Space Layout Randomization (ASLR) that are available in an operating system or deploy appropriate toolkits that can be configured to apply protection to a broader set of applications and executables.</t>
  </si>
  <si>
    <t>Send all malware detection events to enterprise anti-malware administration tools and event log servers for analysis and alerting.</t>
  </si>
  <si>
    <t>Enable Domain Name System (DNS) query logging to detect hostname lookups for known malicious domains.</t>
  </si>
  <si>
    <t>Enable command-line audit logging for command shells, such as Microsoft PowerShell and Bash.</t>
  </si>
  <si>
    <t>Associate active ports, services, and protocols to the hardware assets in the asset inventory.</t>
  </si>
  <si>
    <t>Ensure that only network ports, protocols, and services listening on a system with validated business needs are running on each system.</t>
  </si>
  <si>
    <t>Perform automated port scans on a regular basis against all systems and alert if unauthorized ports are detected on a system.</t>
  </si>
  <si>
    <t>Apply host-based firewalls or port-filtering tools on end systems, with a default-deny rule that drops all traffic except those services and ports that are explicitly allowed.</t>
  </si>
  <si>
    <t>Ensure that all of the organization's key systems are backed up as a complete system, through processes such as imaging, to enable the quick recovery of an entire system.</t>
  </si>
  <si>
    <t>Ensure that all backups have at least one offline (i.e., not accessible via a network connection) backup destination.</t>
  </si>
  <si>
    <t>Maintain documented security configuration standards for all authorized network devices.</t>
  </si>
  <si>
    <t>All configuration rules that allow traffic to flow through network devices should be documented in a configuration management system with a specific business reason for each rule, a specific individual’s name responsible for that business need, and an expected duration of the need.</t>
  </si>
  <si>
    <t>Compare all network device configuration against approved security configurations defined for each network device in use, and alert when any deviations are discovered.</t>
  </si>
  <si>
    <t>Manage all network devices using multi-factor authentication and encrypted sessions.</t>
  </si>
  <si>
    <t>Ensure network engineers use a dedicated machine for all administrative tasks or tasks requiring elevated access. This machine shall be segmented from the organization's primary network and not be allowed Internet access. This machine shall not be used for reading email, composing documents, or surfing the Internet.</t>
  </si>
  <si>
    <t>Manage the network infrastructure across network connections that are separated from the business use of that network, relying on separate VLANs or, preferably, on entirely different physical connectivity for management sessions for network devices.</t>
  </si>
  <si>
    <t>Perform regular scans from outside each trusted network boundary to detect any unauthorized connections which are accessible across the boundary.</t>
  </si>
  <si>
    <t>Deny communications with known malicious or unused Internet IP addresses and limit access only to trusted and necessary IP address ranges at each of the organization's network boundaries,.</t>
  </si>
  <si>
    <t>Configure monitoring systems to record network packets passing through the boundary at each of the organization's network boundaries.</t>
  </si>
  <si>
    <t>Deploy network-based Intrusion Detection Systems (IDS) sensors to look for unusual attack mechanisms and detect compromise of these systems at each of the organization's network boundaries.</t>
  </si>
  <si>
    <t>Enable the collection of NetFlow and logging data on all network boundary devices.</t>
  </si>
  <si>
    <t>Require all remote login access to the organization's network to encrypt data in transit and use multi-factor authentication.</t>
  </si>
  <si>
    <t>Maintain an inventory of all sensitive information stored, processed, or transmitted by the organization's technology systems, including those located on-site or at a remote service provider.</t>
  </si>
  <si>
    <t>Remove sensitive data or systems not regularly accessed by the organization from the network. These systems shall only be used as stand-alone systems (disconnected from the network) by the business unit needing to occasionally use the system or completely virtualized and powered off until needed.</t>
  </si>
  <si>
    <t>Only allow access to authorized cloud storage or email providers.</t>
  </si>
  <si>
    <t>Utilize approved cryptographic mechanisms to protect enterprise data stored on all mobile devices.</t>
  </si>
  <si>
    <t>If USB storage devices are required, enterprise software should be used that can configure systems to allow the use of specific devices. An inventory of such devices should be maintained.</t>
  </si>
  <si>
    <t>Segment the network based on the label or classification level of the information stored on the servers, locate all sensitive information on separated Virtual Local Area Networks (VLANs).</t>
  </si>
  <si>
    <t>Enable firewall filtering between VLANs to ensure that only authorized systems are able to communicate with other systems necessary to fulfill their specific responsibilities.</t>
  </si>
  <si>
    <t>Disable all workstation-to-workstation communication to limit an attacker's ability to move laterally and compromise neighboring systems, through technologies such as Private VLANs or micro segmentation.</t>
  </si>
  <si>
    <t>Encrypt all sensitive information in transit.</t>
  </si>
  <si>
    <t>Configure network vulnerability scanning tools to detect and alert on unauthorized wireless access points connected to the wired network.</t>
  </si>
  <si>
    <t>Use a wireless intrusion detection system (WIDS) to detect and alert on unauthorized wireless access points connected to the network.</t>
  </si>
  <si>
    <t>Disable peer-to-peer (ad hoc) wireless network capabilities on wireless clients.</t>
  </si>
  <si>
    <t>Disable wireless peripheral access of devices [such as Bluetooth and Near Field Communication (NFC)], unless such access is required for a business purpose.</t>
  </si>
  <si>
    <t>Create a separate wireless network for personal or untrusted devices. Enterprise access from this network should be treated as untrusted and filtered and audited accordingly.</t>
  </si>
  <si>
    <t>Maintain an inventory of each of the organization's authentication systems, including those located on-site or at a remote service provider.</t>
  </si>
  <si>
    <t>Configure access for all accounts through as few centralized points of authentication as possible, including network, security, and cloud systems.</t>
  </si>
  <si>
    <t>Require multi-factor authentication for all user accounts, on all systems, whether managed on-site or by a third-party provider.</t>
  </si>
  <si>
    <t>Encrypt or hash with a salt all authentication credentials when stored.</t>
  </si>
  <si>
    <t>Ensure that all account usernames and authentication credentials are transmitted across networks using encrypted channels.</t>
  </si>
  <si>
    <t>Maintain an inventory of all accounts organized by authentication system.</t>
  </si>
  <si>
    <t>Establish and follow an automated process for revoking system access by disabling accounts immediately upon termination or change of responsibilities of an employee or contractor . Disabling these accounts, instead of deleting accounts, allows preservation of audit trails.</t>
  </si>
  <si>
    <t>Ensure that all accounts have an expiration date that is monitored and enforced.</t>
  </si>
  <si>
    <t>Monitor attempts to access deactivated accounts through audit logging.</t>
  </si>
  <si>
    <t>Perform a skills gap analysis to understand the skills and behaviors workforce members are not adhering to, using this information to build a baseline education roadmap.</t>
  </si>
  <si>
    <t>Deliver training to address the skills gap identified to positively impact workforce members' security behavior.</t>
  </si>
  <si>
    <t>Ensure that the organization's security awareness program is updated frequently (at least annually) to address new technologies, threats, standards, and business requirements.</t>
  </si>
  <si>
    <t>Train workforce members on how to identify and properly store, transfer, archive, and destroy sensitive information.</t>
  </si>
  <si>
    <t>Train workforce members to be able to identify the most common indicators of an incident and be able to report such an incident.</t>
  </si>
  <si>
    <t>Establish secure coding practices appropriate to the programming language and development environment being used.</t>
  </si>
  <si>
    <t>For in-house developed software, ensure that explicit error checking is performed and documented for all input, including for size, data type, and acceptable ranges or formats.</t>
  </si>
  <si>
    <t>Verify that the version of all software acquired from outside your organization is still supported by the developer or appropriately hardened based on developer security recommendations.</t>
  </si>
  <si>
    <t>Only use up-to-date and trusted third-party components for the software developed by the organization.</t>
  </si>
  <si>
    <t>Use only standardized, currently accepted, and extensively reviewed encryption algorithms.</t>
  </si>
  <si>
    <t>Ensure that all software development personnel receive training in writing secure code for their specific development environment and responsibilities.</t>
  </si>
  <si>
    <t>Apply static and dynamic analysis tools to verify that secure coding practices are being adhered to for internally developed software.</t>
  </si>
  <si>
    <t>Establish a process to accept and address reports of software vulnerabilities, including providing a means for external entities to contact your security group.</t>
  </si>
  <si>
    <t>Maintain separate environments for production and non-production systems. Developers should not have unmonitored access to production environments.</t>
  </si>
  <si>
    <t>Protect web applications by deploying web application firewalls (WAFs) that inspect all traffic flowing to the web application for common web application attacks. For applications that are not web-based, specific application firewalls should be deployed if such tools are available for the given application type. If the traffic is encrypted, the device should either sit behind the encryption or be capable of decrypting the traffic prior to analysis. If neither option is appropriate, a host-based web application firewall should be deployed.</t>
  </si>
  <si>
    <t>For applications that rely on a database, use standard hardening configuration templates. All systems that are part of critical business processes should also be tested.</t>
  </si>
  <si>
    <t>Assign job titles and duties for handling computer and network incidents to specific individuals, and ensure tracking and documentation throughout the incident through resolution.</t>
  </si>
  <si>
    <t>Devise organization-wide standards for the time required for system administrators and other workforce members to report anomalous events to the incident handling team, the mechanisms for such reporting, and the kind of information that should be included in the incident notification.</t>
  </si>
  <si>
    <t>Assemble and maintain information on third-party contact information to be used to report a security incident, such as Law Enforcement, relevant government departments, vendors, and Information Sharing and Analysis Center (ISAC) partners.</t>
  </si>
  <si>
    <t>Publish information for all workforce members, regarding reporting computer anomalies and incidents, to the incident handling team. Such information should be included in routine employee awareness activities.</t>
  </si>
  <si>
    <t>Plan and conduct routine incident, response exercises and scenarios for the workforce involved in the incident response to maintain awareness and comfort in responding to real-world threats. Exercises should test communication channels, decision making, and incident responders technical capabilities using tools and data available to them.</t>
  </si>
  <si>
    <t>Establish a program for penetration tests that includes a full scope of blended attacks, such as wireless, client-based, and web application attacks.</t>
  </si>
  <si>
    <t>Conduct regular external and internal penetration tests to identify vulnerabilities and attack vectors that can be used to exploit enterprise systems successfully.</t>
  </si>
  <si>
    <t>Include tests for the presence of unprotected system information and artifacts that would be useful to attackers, including network diagrams, configuration files, older penetration test reports, e-mails or documents containing passwords or other information critical to system operation.</t>
  </si>
  <si>
    <t>Create a test bed that mimics a production environment for specific penetration tests and Red Team attacks against elements that are not typically tested in production, such as attacks against supervisory control and data acquisition and other control systems.</t>
  </si>
  <si>
    <t>Use vulnerability scanning and penetration testing tools in concert. The results of vulnerability scanning assessments should be used as a starting point to guide and focus penetration testing efforts.</t>
  </si>
  <si>
    <t>Any user or system accounts used to perform penetration testing should be controlled and monitored to make sure they are only being used for legitimate purposes, and are removed or restored to normal function after testing is over.</t>
  </si>
  <si>
    <t>IG1</t>
  </si>
  <si>
    <t>IG2</t>
  </si>
  <si>
    <t>x</t>
  </si>
  <si>
    <t>The mission would remain intact.</t>
  </si>
  <si>
    <t>This mission would not be perfectly achieved, but could be recovered within normal operations.</t>
  </si>
  <si>
    <t>This mission would not be achieved, and would require short-term, unplanned efforts, resources, or investments to recover.</t>
  </si>
  <si>
    <t>This mission would not be achieved. If significant, unplanned efforts, resources, or investments are not made, the mission may not ever be achievable.</t>
  </si>
  <si>
    <t>The mission would not be achievable.</t>
  </si>
  <si>
    <t>Growth plan would be off target, but within variance.</t>
  </si>
  <si>
    <t>Growth plan would be out of variance, but can be recovered within a fiscal year.</t>
  </si>
  <si>
    <t>Growth plan would be out of variance, and may require multiple years to correct.</t>
  </si>
  <si>
    <t>We would not be able to grow.</t>
  </si>
  <si>
    <t>No harm could foreseeably result.</t>
  </si>
  <si>
    <t>Risk Treatment Safeguard Impact to Financial Objectives</t>
  </si>
  <si>
    <t>Reasonable Annual Cost</t>
  </si>
  <si>
    <t>All data on this page is considered sample data only, and not meant to reflect an individual organization's risk register. Only to be used for demonstration purposes.</t>
  </si>
  <si>
    <t>Asset Classes</t>
  </si>
  <si>
    <t>Used to associate Safeguards with Asset Classes</t>
  </si>
  <si>
    <t>Expectancy Criteria</t>
  </si>
  <si>
    <t>Expectancy Score</t>
  </si>
  <si>
    <t>Expectancy</t>
  </si>
  <si>
    <t>Vulnerabilities</t>
  </si>
  <si>
    <t>CIS Safeguard #2</t>
  </si>
  <si>
    <t>Risk Treatment
Safeguard Expectancy Score</t>
  </si>
  <si>
    <t>The product of the Expectancy and the highest of the three Impacts.</t>
  </si>
  <si>
    <t>The product of the Expectancy and the highest of the three impacts, given the planned Safeguard.</t>
  </si>
  <si>
    <t>Expectancy Scores</t>
  </si>
  <si>
    <t>Used for "Expectancy Score" and "Risk Treatment Safeguard Expectancy Score"</t>
  </si>
  <si>
    <t>Our Implementation</t>
  </si>
  <si>
    <t>Shell scripting tools and compilers are permitted, but we have no way of validating scripts, or side-loaded applications.</t>
  </si>
  <si>
    <t>None observed</t>
  </si>
  <si>
    <t>Shell scripting tools are permitted, but we have no way of validating scripts, or uninstalled applications.</t>
  </si>
  <si>
    <t xml:space="preserve">End-user systems and servers are built using images that we developed for business purposes and for minimum use (fewest processes, services, and applications). </t>
  </si>
  <si>
    <t>We use ACME Hunter to scan for vulnerabilities on all systems on a weekly basis.</t>
  </si>
  <si>
    <t>The Ops team reviews all vulnerabilities, but does not resolve vulnerabilities that are out of our control, or that would "break" systems.</t>
  </si>
  <si>
    <t>ACME's Ops team remediates vulnerabilities that they are certain will not compromise system performance.</t>
  </si>
  <si>
    <t>We use AppXYZControl that monitors for applications installed on all servers and end-user systems.</t>
  </si>
  <si>
    <t>AppXYZControl validates that installed applications are currently supported, and that current versions are implemented.</t>
  </si>
  <si>
    <t>AppXYZControl identifies installed applications that were not permitted and alerts the Ops team. Ops team removes unapproved applications within five business days.</t>
  </si>
  <si>
    <t>AppXYZControl identifies applications after they were installed. We are not preventing unauthorized applications from being installed.</t>
  </si>
  <si>
    <t>AppXYZControl uses a list of approved software libraries in its scans and identified installed applications that are not on that list.</t>
  </si>
  <si>
    <t>Fabricore</t>
  </si>
  <si>
    <t>Permit script engines on only systems administrator computers.</t>
  </si>
  <si>
    <t>Q2</t>
  </si>
  <si>
    <t>Reduce</t>
  </si>
  <si>
    <t>Accept</t>
  </si>
  <si>
    <t>Example Manufacturer</t>
  </si>
  <si>
    <t>Evidence of Implementation</t>
  </si>
  <si>
    <t>How would you concisely describe the benefit that your enterprise provides your customers, clients, constituents, or the public? This is why they engage in this risk with you.</t>
  </si>
  <si>
    <t>Response</t>
  </si>
  <si>
    <t>What observable evidence would you have that your mission would be compromised so badly that it could not be achieved?</t>
  </si>
  <si>
    <t>Growth plan would be intact.</t>
  </si>
  <si>
    <t>What observable evidence would you have that your operational objectives would be compromised so badly that they could not be achieved?</t>
  </si>
  <si>
    <t>What harm may foreseeably come to others as a result of a cybersecurity incident?</t>
  </si>
  <si>
    <t>Describe a condition where others would not be harmed to a degree that required correction or compensation.</t>
  </si>
  <si>
    <t>Describe a condition where many others would be harmed to a degree that you could correct, or where few others are harmed to a degree that others would always have a small degree of impairment.</t>
  </si>
  <si>
    <t>Describe a condition where others would be irreparably harmed.</t>
  </si>
  <si>
    <t>Safeguard would reliably prevent the threat.</t>
  </si>
  <si>
    <t>Safeguard would reliably prevent most occurrences of the threat.</t>
  </si>
  <si>
    <t>Safeguard would prevent as many threat occurrences as it would miss.</t>
  </si>
  <si>
    <t>Safeguard would prevent few threat occurrences.</t>
  </si>
  <si>
    <t>Safeguard would not prevent threat occurrences.</t>
  </si>
  <si>
    <t>We would start to invest against risks to prevent this expectancy and impact, or higher.</t>
  </si>
  <si>
    <t>What is the highest impact to the Mission, Operational Objectives, Financial Objectives, and Obligations that each Asset Type could cause? 
The "Enterprise" Asset Class will automatically use the highest Impact Score you provide for the assets below.</t>
  </si>
  <si>
    <t>Reliably produce just-in-time, custom widgets that meet demanding resiliency and design specifications, and within market-leading turnaround times.</t>
  </si>
  <si>
    <t>All data on this page is considered sample data only, and not meant to reflect any one individual organization's Impact Criteria Survey. Only to be used for demonstration purposes.</t>
  </si>
  <si>
    <t>No customer would suffer a loss of competitive advantage.</t>
  </si>
  <si>
    <t>One or few customers may be concerned about potential loss of competitive advantage, but no harm would result.</t>
  </si>
  <si>
    <t>One or few customers would suffer minor loss of competitive advantage, but they could be made whole within a fiscal year.</t>
  </si>
  <si>
    <t>Many customers would suffer minor loss of competitive advantage, or one to few customers would suffer harm that would require significant business investment or planning to recover.</t>
  </si>
  <si>
    <t xml:space="preserve">We would not be able to protect our customers from losses due to intellectual property theft. </t>
  </si>
  <si>
    <t>All data on this page is considered sample data only, and not meant to reflect any one individual organization's CSAT/RAM scoring. Only to be used for demonstration purposes.</t>
  </si>
  <si>
    <t>Red</t>
  </si>
  <si>
    <t>Yellow</t>
  </si>
  <si>
    <t>Green</t>
  </si>
  <si>
    <t>Risk Levels</t>
  </si>
  <si>
    <t>Calculated Field</t>
  </si>
  <si>
    <t>Green indicates that the risk evaluates as “acceptable.”</t>
  </si>
  <si>
    <r>
      <t>Red indicates that the risk is “urgent.”</t>
    </r>
    <r>
      <rPr>
        <sz val="8"/>
        <color rgb="FF1B2B38"/>
        <rFont val="Arial"/>
        <family val="2"/>
      </rPr>
      <t> </t>
    </r>
  </si>
  <si>
    <t>Yellow indicates that the risk is “unacceptably high, but not urgent.”</t>
  </si>
  <si>
    <t>Use Default or Custom Responses</t>
  </si>
  <si>
    <t>The Implementation Group, as published in the CIS Controls.</t>
  </si>
  <si>
    <t>A brief description of how the Safeguard is already implemented and operated in the enterprise.</t>
  </si>
  <si>
    <t>The magnitude of harm that a successful threat would cause to your Financial Objectives.</t>
  </si>
  <si>
    <t>An optional field used to input the name of an individual asset to distinguish its risks from other Asset Class risks.</t>
  </si>
  <si>
    <t>An optional field used to record a vulnerability with a specific asset, such as a vulnerability in an application, as an example.</t>
  </si>
  <si>
    <t>Automated or fixed values on the Reasonable Annual Cost side of the Risk Register. While the worksheet is in protected mode, these values cannot be changed.</t>
  </si>
  <si>
    <t xml:space="preserve">The total Risk Treatment Safeguard Cost for the year. </t>
  </si>
  <si>
    <t>The year the total cost was incurred.</t>
  </si>
  <si>
    <t xml:space="preserve">Whether or not the total cost falls above or below the acceptable limit, based on the Acceptable Criteria for the enterprise's Financial Objectives. </t>
  </si>
  <si>
    <t>Permit script scripting tools and compilers on only protected systems administrator computers.</t>
  </si>
  <si>
    <t>Adopt SCAP policies for all devices. Create deployment images for each device and deploy systems using only those images. 
Add SCAP policies to the vulnerability scanning application and scan systems before putting them into production.
Update the SCAP policies quarterly and include all approved changes to the updated policies.</t>
  </si>
  <si>
    <t>Operate a weekly vulnerability review meeting that checks to see if all medium and high vulnerabilities are resolved. Include CIS RAM risk assessment criteria in the meeting to identify reasonable alternatives for vulnerabilities that are difficult to remediate.</t>
  </si>
  <si>
    <t>Operate a weekly vulnerability review meeting that checks to see if all Medium and high vulnerabilities are resolved. Include CIS RAM risk assessment criteria in the meeting to identify reasonable alternatives for vulnerabilities that are difficult to remediate.</t>
  </si>
  <si>
    <t>1)     In CIS CSAT Pro, filter on IG1 and IG2 and Export Filtered CSV.</t>
  </si>
  <si>
    <t>a.     Go to the Assessment Summary page for the assessment of interest (this is reachable from the Assessment Summary tab at the top of the Assessment Dashboard for that assessment).</t>
  </si>
  <si>
    <t>b.     Click the Filter button.</t>
  </si>
  <si>
    <t>c.     Select "IG-1 &amp; IG-2" for the Implementation Group filter and click Search.</t>
  </si>
  <si>
    <t>d.     Click the "Export Filtered CSV" button to export the report.</t>
  </si>
  <si>
    <t>2)     Copy your scores from the exported CSAT Pro CSV file to the CIS RAM for IG2 Workbook.</t>
  </si>
  <si>
    <t>b.     Go to the “CIS CSAT Pro” tab in the CIS RAM for IG2 Workbook.</t>
  </si>
  <si>
    <t>c.     Find the appropriate section in the “CIS CSAT Pro” tab based on which CIS Controls version you are using (either CSAT Pro for CIS Controls v7.1 or CSAT Pro for CIS Controls v8.0).</t>
  </si>
  <si>
    <t>d.     Paste the copied data into the appropriate section of the “CIS CSAT Pro” tab.</t>
  </si>
  <si>
    <t>e.     For instance, if you are using Controls v7.1, you might copy cells E2 to E141 from the CSAT Pro CSV to C5 to C146 in the “CIS CSAT Pro” tab of the CIS RAM for IG2 Workbook.</t>
  </si>
  <si>
    <t xml:space="preserve">3)     Note: Adjustments may need to be made based on your scoring from CSAT to CIS RAM. </t>
  </si>
  <si>
    <t xml:space="preserve">4)     Once scores are final, go to the appropriate CIS RAM tab – “3a. Risk Register Controls v7.1” for v7.1 of the CIS Controls or “3b. Risk Register Controls v8” for v8 of the CIS Controls. </t>
  </si>
  <si>
    <t xml:space="preserve">5)     Copy the scores in the “CIS RAM Maturity Score Final” column into the “Safeguard Maturity Score” column of the appropriate CIS RAM tab – “3a. Risk Register Controls v7.1” for v7.1 of the CIS Controls or “3b. Risk Register Controls v8” for v8 of the CIS Controls. </t>
  </si>
  <si>
    <t>1)     In CIS-Hosted CSAT, filter on IG1 and IG2 and export the filtered Safeguards.</t>
  </si>
  <si>
    <t>a.     Go to the All Controls page for the assessment of interest (this is reachable from the All Controls link on the menu on the left under “Current Assessment”).</t>
  </si>
  <si>
    <t>c.     Select both “Group 1” and “Group 2” for the Implementation Group filter and click Filter.</t>
  </si>
  <si>
    <t>d.     Check to see if any of these Safeguards are in the blue (Not Assessed) state. You can see this in the “#” column – there will be a colored circle in each row by the Safeguard number.  Any Safeguards that have a blue circle there will not export; if you have any blue Safeguards and you want to continue these steps, one way to get them out of the blue state is to:</t>
  </si>
  <si>
    <t>e.     Click the Download Report button to export the report.</t>
  </si>
  <si>
    <t>2)     Copy your scores from the exported CIS-Hosted CSAT XLSX file to the CIS RAM for IG2 Workbook.</t>
  </si>
  <si>
    <t>a.     In the CIS-Hosted CSAT XLSX file, copy the contents of columns E through H (labeled Policy Defined, Control Implemented, Control Automated, and Control Reported) excluding the heading row.</t>
  </si>
  <si>
    <t>b.     Go to the “CIS-Hosted CSAT” tab in the CIS RAM for IG2 Workbook.</t>
  </si>
  <si>
    <t>c.     Find the appropriate section in the “CIS-Hosted CSAT” tab based on which CIS Controls version you are using (either CIS-Hosted CSAT for CIS Controls v7.1 or CIS-Hosted CSAT for CIS Controls v8).</t>
  </si>
  <si>
    <t>d.     Paste the copied data into the appropriate section of the “CIS-Hosted CSAT” tab.</t>
  </si>
  <si>
    <t>e.     For instance, if you are using Controls v7.1, you might copy the cells from E2:E141 over to H2:H141 from the CIS-Hosted CSAT XLSX file, select cell C14 in the “CIS-Hosted CSAT” tab in the CIS RAM for IG2 Workbook and paste them there.</t>
  </si>
  <si>
    <t>i.    Select the checkbox next to each blue Safeguard.</t>
  </si>
  <si>
    <t>ii.    Select “Un-Assign the control” from the Bulk Action option dropdown and click the “Save” button next to the dropdown. Please note: If any of the selected Safeguards were assigned, this will remove the assignee and the due date.</t>
  </si>
  <si>
    <t>Used to calculate "Expectancy Score" and "Risk Treatment Safeguard Expectancy Score"</t>
  </si>
  <si>
    <t>An automatically calculated value to represent how commonly the related threat would be the cause of a cybersecurity incident, given your current Safeguard and the reported commonality of the attack.</t>
  </si>
  <si>
    <t>An evaluation of the risk as negligible, acceptable, unacceptable, high, or catastrophic.</t>
  </si>
  <si>
    <t>Monthly scan reports and "diff" reports are located in \\fileserverALPHA\evidence\20211212\2\</t>
  </si>
  <si>
    <t>Monthly exceptions reports are located in \\fileserverALPHA\evidence\20211212\2\.
Tickets for uninstall of unapproved applications are located in \\fileserverALPHA\evidence\20211212\2\.</t>
  </si>
  <si>
    <t>AppXYZControl uses a list of approved software in its scans and identifies installed applications that are not on that list.</t>
  </si>
  <si>
    <t>Monthly exceptions reports are located in \\fileserverALPHA\evidence\20211212\2\.</t>
  </si>
  <si>
    <t>System images are not built from known-secure standards, such as vendor-provided or community-provided SCAP polices.</t>
  </si>
  <si>
    <t>SCAP policy files for each server and workstation type are located in \\fileserverBETA\SCAP\current\.</t>
  </si>
  <si>
    <t>v7.1 Safeguard #</t>
  </si>
  <si>
    <t>v8 Safeguard #</t>
  </si>
  <si>
    <t>Proof to show how the Safeguard is implemented and operated in the enterprise.</t>
  </si>
  <si>
    <t>a.     Sort the Risk Register by ‘CIS Safeguard #,’ lowest to highest. (This is a critical step, as the Risk Register is sorted by ‘Asset Class’ by default, not ‘CIS Safeguard #.’)</t>
  </si>
  <si>
    <t>a.     In the CSAT Pro CSV file, copy the contents of column E (labeled “Sub-Control[1] Score”) excluding the heading row.</t>
  </si>
  <si>
    <t>a.     Right-click to copy and “Paste Special” as “Values” (e.g., 1,2,3).</t>
  </si>
  <si>
    <t>b.     Note: Values of ‘N’ and ‘DIV/0!’ may copy over from the “CIS CSAT Pro” and “CIS-Hosted CSAT” tabs, if present. If copied, these values can be deleted from the “Safeguard Maturity Score” cell and will not affect the functionality of the CIS RAM Risk Register.</t>
  </si>
  <si>
    <t xml:space="preserve">6)     Re-sort the Risk Register by ‘Asset Class,’ A &gt; Z. </t>
  </si>
  <si>
    <t>We use AppXYZControl that monitors for applications installed on some servers and end-user systems.</t>
  </si>
  <si>
    <t>AppXYZControl validates for some servers and workstations that installed applications are currently supported, and that current versions are implemented.</t>
  </si>
  <si>
    <t>NIST CSF Security Function</t>
  </si>
  <si>
    <t>Mapping between the NIST CSF Security Functions and CIS Safeguards, as published in the CIS Controls.</t>
  </si>
  <si>
    <t>CIS RAM v2.1 for IG2</t>
  </si>
  <si>
    <t>The CIS RAM for IG2 Workbook protects most cells in the Risk Register and lookup tables to prevent users from accidentally changing the formulas and lookups that automate the risk analysis and make it simple. 
If users are confident in their use of Microsoft® Excel and wish to modify values, such as Risk Acceptance Criteria, they may “unprotect” the document by going to the “Review” tab in the Excel menu and selecting the “Unprotect sheet” button. However, guidance for maintenance of the Workbook, formulas, lookups, and protected cells is beyond the scope of this document.</t>
  </si>
  <si>
    <t>Identify</t>
  </si>
  <si>
    <t>Respond</t>
  </si>
  <si>
    <t>Protect</t>
  </si>
  <si>
    <t>Detect</t>
  </si>
  <si>
    <t>N/A</t>
  </si>
  <si>
    <t>Recover</t>
  </si>
  <si>
    <t>Remember to download the CIS Critical Security Controls (CIS Controls) Version 8 Guide where you can learn more about:
  • This Version of the CIS Controls
  • The CIS Controls Ecosystem ("It's not about the list")
  • How to Get Started
  • Using or Transitioning from Prior Versions of the CIS Controls 
  • Structure of the CIS Controls
  • Implementation Groups
  • Why is this Control critical
  • Procedures and Tools</t>
  </si>
  <si>
    <t>This is a free tool with a dynamic list of the CIS Safeguards that can be filtered by Implementation Groups and mappings to multiple frameworks.</t>
  </si>
  <si>
    <t>https://www.cisecurity.org/controls/v8</t>
  </si>
  <si>
    <t>Overview: The CIS Controls® Self Assessment Tool, also known as CIS CSAT, enables organizations to assess and track their implementation of the CIS Controls for Versions 8 and 7.1. The CIS Controls are a prioritized set of consensus-developed security best practices used by organizations around the world to defend against cyber threats.</t>
  </si>
  <si>
    <r>
      <rPr>
        <b/>
        <sz val="8"/>
        <color theme="1"/>
        <rFont val="Arial"/>
        <family val="2"/>
      </rPr>
      <t xml:space="preserve">CIS-Hosted CSAT: </t>
    </r>
    <r>
      <rPr>
        <sz val="8"/>
        <color theme="1"/>
        <rFont val="Arial"/>
        <family val="2"/>
      </rPr>
      <t>The CIS-hosted version of CIS CSAT is free to every organization for use in a non-commercial capacity to conduct CIS Controls assessments of their organization. (released January 2019)</t>
    </r>
  </si>
  <si>
    <r>
      <rPr>
        <b/>
        <sz val="8"/>
        <color theme="1"/>
        <rFont val="Arial"/>
        <family val="2"/>
      </rPr>
      <t>CIS CSAT Pro:</t>
    </r>
    <r>
      <rPr>
        <sz val="8"/>
        <color theme="1"/>
        <rFont val="Arial"/>
        <family val="2"/>
      </rPr>
      <t xml:space="preserve"> The on-premises version of CIS CSAT is available exclusively for CIS SecureSuite Members. This version offers additional features and benefits: Save time by using a simplified scoring method with a reduced number of questions, Decide whether to opt in to share data and see how scores compare to industry average, Greater flexibility with organization trees for tracking organizations, sub-organizations, and assessments, Assign users to different roles for different organizations/sub-organizations as well as greater separation of administrative and non-administrative roles, Track multiple concurrent assessments in the same organization, Easily access your tasks, assessments, and organizations from a consolidated home page, Includes CIS Controls Safeguard mappings to NIST CSF, NIST SP 800-53, and PCI. (released August 2020)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</si>
</sst>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_(&quot;$&quot;* #,##0_);_(&quot;$&quot;* \(#,##0\);_(&quot;$&quot;* &quot;-&quot;??_);_(@_)"/>
    <numFmt numFmtId="165" formatCode="&quot;$&quot;#,##0"/>
    <numFmt numFmtId="166" formatCode="[$-F800]dddd\,\ mmmm\ dd\,\ yyyy"/>
  </numFmts>
  <fonts count="42" x14ac:knownFonts="1">
    <font>
      <sz val="11"/>
      <color theme="1"/>
      <name val="Calibri"/>
      <family val="2"/>
      <scheme val="minor"/>
    </font>
    <font>
      <sz val="11"/>
      <color theme="1"/>
      <name val="Arial"/>
      <family val="2"/>
    </font>
    <font>
      <sz val="11"/>
      <color theme="1"/>
      <name val="Calibri"/>
      <family val="2"/>
      <scheme val="minor"/>
    </font>
    <font>
      <b/>
      <sz val="10"/>
      <color theme="0"/>
      <name val="Arial"/>
      <family val="2"/>
    </font>
    <font>
      <b/>
      <sz val="10"/>
      <color theme="1"/>
      <name val="Arial"/>
      <family val="2"/>
    </font>
    <font>
      <sz val="10"/>
      <color theme="1"/>
      <name val="Arial"/>
      <family val="2"/>
    </font>
    <font>
      <b/>
      <i/>
      <u/>
      <sz val="10"/>
      <color rgb="FF7030A0"/>
      <name val="Arial"/>
      <family val="2"/>
    </font>
    <font>
      <b/>
      <sz val="10"/>
      <color rgb="FF7030A0"/>
      <name val="Arial"/>
      <family val="2"/>
    </font>
    <font>
      <sz val="10"/>
      <color rgb="FF000000"/>
      <name val="Arial"/>
      <family val="2"/>
    </font>
    <font>
      <i/>
      <sz val="10"/>
      <color rgb="FF000000"/>
      <name val="Arial"/>
      <family val="2"/>
    </font>
    <font>
      <i/>
      <sz val="10"/>
      <name val="Arial"/>
      <family val="2"/>
    </font>
    <font>
      <b/>
      <i/>
      <u/>
      <sz val="10"/>
      <color rgb="FF000000"/>
      <name val="Arial"/>
      <family val="2"/>
    </font>
    <font>
      <b/>
      <sz val="11"/>
      <color theme="1"/>
      <name val="Arial"/>
      <family val="2"/>
    </font>
    <font>
      <sz val="11"/>
      <color theme="1"/>
      <name val="Arial"/>
      <family val="2"/>
    </font>
    <font>
      <b/>
      <sz val="12"/>
      <color theme="1"/>
      <name val="Arial"/>
      <family val="2"/>
    </font>
    <font>
      <b/>
      <i/>
      <sz val="10"/>
      <color theme="0"/>
      <name val="Arial"/>
      <family val="2"/>
    </font>
    <font>
      <sz val="12"/>
      <color theme="1"/>
      <name val="Arial"/>
      <family val="2"/>
    </font>
    <font>
      <i/>
      <sz val="10"/>
      <color theme="1"/>
      <name val="Arial"/>
      <family val="2"/>
    </font>
    <font>
      <b/>
      <sz val="36"/>
      <color theme="1"/>
      <name val="Arial"/>
      <family val="2"/>
    </font>
    <font>
      <b/>
      <sz val="22"/>
      <color theme="1"/>
      <name val="Arial"/>
      <family val="2"/>
    </font>
    <font>
      <sz val="20"/>
      <color theme="1"/>
      <name val="Arial"/>
      <family val="2"/>
    </font>
    <font>
      <b/>
      <sz val="12"/>
      <color rgb="FFFF0000"/>
      <name val="Arial"/>
      <family val="2"/>
    </font>
    <font>
      <sz val="11"/>
      <color rgb="FF1B2B38"/>
      <name val="Arial"/>
      <family val="2"/>
    </font>
    <font>
      <b/>
      <sz val="35"/>
      <color theme="1"/>
      <name val="Arial"/>
      <family val="2"/>
    </font>
    <font>
      <b/>
      <sz val="11"/>
      <color rgb="FFFF0000"/>
      <name val="Arial"/>
      <family val="2"/>
    </font>
    <font>
      <b/>
      <u/>
      <sz val="11"/>
      <color rgb="FFFF0000"/>
      <name val="Arial"/>
      <family val="2"/>
    </font>
    <font>
      <i/>
      <sz val="11"/>
      <color theme="1"/>
      <name val="Arial"/>
      <family val="2"/>
    </font>
    <font>
      <sz val="4"/>
      <color theme="1"/>
      <name val="Arial"/>
      <family val="2"/>
    </font>
    <font>
      <b/>
      <i/>
      <sz val="10"/>
      <color theme="1"/>
      <name val="Arial"/>
      <family val="2"/>
    </font>
    <font>
      <sz val="8"/>
      <color rgb="FF1B2B38"/>
      <name val="Arial"/>
      <family val="2"/>
    </font>
    <font>
      <sz val="8"/>
      <name val="Calibri"/>
      <family val="2"/>
      <scheme val="minor"/>
    </font>
    <font>
      <b/>
      <sz val="11"/>
      <color theme="0"/>
      <name val="Arial"/>
      <family val="2"/>
    </font>
    <font>
      <b/>
      <sz val="12"/>
      <color theme="0"/>
      <name val="Arial"/>
      <family val="2"/>
    </font>
    <font>
      <b/>
      <sz val="20"/>
      <color rgb="FFFF0000"/>
      <name val="Arial"/>
      <family val="2"/>
    </font>
    <font>
      <sz val="9"/>
      <color indexed="81"/>
      <name val="Tahoma"/>
      <family val="2"/>
    </font>
    <font>
      <b/>
      <sz val="25"/>
      <color rgb="FF0086BF"/>
      <name val="Arial"/>
      <family val="2"/>
    </font>
    <font>
      <sz val="15"/>
      <color theme="0"/>
      <name val="Arial"/>
      <family val="2"/>
    </font>
    <font>
      <sz val="12"/>
      <color theme="1"/>
      <name val="Calibri"/>
      <family val="2"/>
      <scheme val="minor"/>
    </font>
    <font>
      <sz val="8"/>
      <color theme="1"/>
      <name val="Arial"/>
      <family val="2"/>
    </font>
    <font>
      <u/>
      <sz val="12"/>
      <color theme="10"/>
      <name val="Calibri"/>
      <family val="2"/>
      <scheme val="minor"/>
    </font>
    <font>
      <sz val="8"/>
      <color rgb="FF0086BF"/>
      <name val="Arial"/>
      <family val="2"/>
    </font>
    <font>
      <b/>
      <sz val="8"/>
      <color theme="1"/>
      <name val="Arial"/>
      <family val="2"/>
    </font>
  </fonts>
  <fills count="22">
    <fill>
      <patternFill patternType="none"/>
    </fill>
    <fill>
      <patternFill patternType="gray125"/>
    </fill>
    <fill>
      <patternFill patternType="solid">
        <fgColor theme="3"/>
        <bgColor indexed="64"/>
      </patternFill>
    </fill>
    <fill>
      <patternFill patternType="solid">
        <fgColor rgb="FF00B050"/>
        <bgColor indexed="64"/>
      </patternFill>
    </fill>
    <fill>
      <patternFill patternType="solid">
        <fgColor rgb="FF92D050"/>
        <bgColor indexed="64"/>
      </patternFill>
    </fill>
    <fill>
      <patternFill patternType="solid">
        <fgColor rgb="FF002060"/>
        <bgColor indexed="64"/>
      </patternFill>
    </fill>
    <fill>
      <patternFill patternType="solid">
        <fgColor rgb="FF7030A0"/>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A391F1"/>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3" tint="0.79998168889431442"/>
        <bgColor indexed="64"/>
      </patternFill>
    </fill>
    <fill>
      <patternFill patternType="solid">
        <fgColor theme="4"/>
        <bgColor indexed="64"/>
      </patternFill>
    </fill>
    <fill>
      <patternFill patternType="solid">
        <fgColor theme="4" tint="0.59999389629810485"/>
        <bgColor theme="4" tint="0.59999389629810485"/>
      </patternFill>
    </fill>
    <fill>
      <patternFill patternType="solid">
        <fgColor theme="0"/>
        <bgColor indexed="64"/>
      </patternFill>
    </fill>
    <fill>
      <patternFill patternType="solid">
        <fgColor rgb="FFF2F2F2"/>
        <bgColor indexed="64"/>
      </patternFill>
    </fill>
    <fill>
      <patternFill patternType="solid">
        <fgColor theme="0" tint="-4.9989318521683403E-2"/>
        <bgColor indexed="64"/>
      </patternFill>
    </fill>
    <fill>
      <patternFill patternType="solid">
        <fgColor rgb="FFFF0000"/>
        <bgColor indexed="64"/>
      </patternFill>
    </fill>
    <fill>
      <patternFill patternType="solid">
        <fgColor rgb="FFFFFF00"/>
        <bgColor indexed="64"/>
      </patternFill>
    </fill>
    <fill>
      <patternFill patternType="solid">
        <fgColor rgb="FFDADCDE"/>
        <bgColor indexed="64"/>
      </patternFill>
    </fill>
    <fill>
      <patternFill patternType="solid">
        <fgColor rgb="FF0086BF"/>
        <bgColor indexed="64"/>
      </patternFill>
    </fill>
  </fills>
  <borders count="7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theme="4" tint="0.39997558519241921"/>
      </top>
      <bottom style="thin">
        <color theme="4" tint="0.39997558519241921"/>
      </bottom>
      <diagonal/>
    </border>
    <border>
      <left/>
      <right style="thin">
        <color indexed="64"/>
      </right>
      <top style="thin">
        <color indexed="64"/>
      </top>
      <bottom/>
      <diagonal/>
    </border>
    <border>
      <left/>
      <right/>
      <top style="thin">
        <color theme="4" tint="0.39997558519241921"/>
      </top>
      <bottom/>
      <diagonal/>
    </border>
    <border>
      <left style="thin">
        <color indexed="64"/>
      </left>
      <right/>
      <top style="thin">
        <color indexed="64"/>
      </top>
      <bottom/>
      <diagonal/>
    </border>
    <border>
      <left/>
      <right/>
      <top style="thin">
        <color indexed="64"/>
      </top>
      <bottom/>
      <diagonal/>
    </border>
    <border>
      <left/>
      <right style="thin">
        <color theme="4" tint="0.39997558519241921"/>
      </right>
      <top style="thin">
        <color theme="4" tint="0.39997558519241921"/>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theme="0"/>
      </left>
      <right style="thin">
        <color theme="0"/>
      </right>
      <top/>
      <bottom style="thick">
        <color theme="0"/>
      </bottom>
      <diagonal/>
    </border>
    <border>
      <left style="thin">
        <color theme="1"/>
      </left>
      <right style="thin">
        <color theme="1"/>
      </right>
      <top style="thin">
        <color theme="1"/>
      </top>
      <bottom style="thin">
        <color theme="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ck">
        <color theme="0"/>
      </bottom>
      <diagonal/>
    </border>
    <border>
      <left/>
      <right/>
      <top style="medium">
        <color indexed="64"/>
      </top>
      <bottom style="thick">
        <color theme="0"/>
      </bottom>
      <diagonal/>
    </border>
    <border>
      <left/>
      <right style="medium">
        <color indexed="64"/>
      </right>
      <top style="medium">
        <color indexed="64"/>
      </top>
      <bottom style="thick">
        <color theme="0"/>
      </bottom>
      <diagonal/>
    </border>
    <border>
      <left style="medium">
        <color indexed="64"/>
      </left>
      <right style="thin">
        <color theme="0"/>
      </right>
      <top/>
      <bottom style="thick">
        <color theme="0"/>
      </bottom>
      <diagonal/>
    </border>
    <border>
      <left style="thin">
        <color theme="0"/>
      </left>
      <right style="medium">
        <color indexed="64"/>
      </right>
      <top/>
      <bottom style="thick">
        <color theme="0"/>
      </bottom>
      <diagonal/>
    </border>
    <border>
      <left style="medium">
        <color indexed="64"/>
      </left>
      <right style="thin">
        <color theme="0"/>
      </right>
      <top style="thin">
        <color theme="0"/>
      </top>
      <bottom style="thin">
        <color theme="0"/>
      </bottom>
      <diagonal/>
    </border>
    <border>
      <left style="medium">
        <color indexed="64"/>
      </left>
      <right style="medium">
        <color indexed="64"/>
      </right>
      <top style="thick">
        <color theme="0"/>
      </top>
      <bottom style="thin">
        <color theme="0"/>
      </bottom>
      <diagonal/>
    </border>
    <border>
      <left style="medium">
        <color indexed="64"/>
      </left>
      <right style="medium">
        <color indexed="64"/>
      </right>
      <top style="thin">
        <color theme="0"/>
      </top>
      <bottom style="thin">
        <color theme="0"/>
      </bottom>
      <diagonal/>
    </border>
    <border>
      <left style="medium">
        <color indexed="64"/>
      </left>
      <right style="thin">
        <color theme="0"/>
      </right>
      <top style="thin">
        <color theme="0"/>
      </top>
      <bottom style="medium">
        <color indexed="64"/>
      </bottom>
      <diagonal/>
    </border>
    <border>
      <left style="medium">
        <color indexed="64"/>
      </left>
      <right style="medium">
        <color indexed="64"/>
      </right>
      <top style="thin">
        <color theme="0"/>
      </top>
      <bottom style="medium">
        <color indexed="64"/>
      </bottom>
      <diagonal/>
    </border>
    <border>
      <left style="thick">
        <color indexed="64"/>
      </left>
      <right style="thin">
        <color indexed="64"/>
      </right>
      <top style="thick">
        <color indexed="64"/>
      </top>
      <bottom style="medium">
        <color indexed="64"/>
      </bottom>
      <diagonal/>
    </border>
    <border>
      <left/>
      <right/>
      <top style="thick">
        <color indexed="64"/>
      </top>
      <bottom style="medium">
        <color indexed="64"/>
      </bottom>
      <diagonal/>
    </border>
    <border>
      <left/>
      <right style="medium">
        <color indexed="64"/>
      </right>
      <top style="thick">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ck">
        <color indexed="64"/>
      </right>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medium">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medium">
        <color indexed="64"/>
      </left>
      <right/>
      <top/>
      <bottom style="thick">
        <color theme="0"/>
      </bottom>
      <diagonal/>
    </border>
    <border>
      <left style="medium">
        <color theme="0"/>
      </left>
      <right/>
      <top/>
      <bottom style="thick">
        <color theme="0"/>
      </bottom>
      <diagonal/>
    </border>
    <border>
      <left/>
      <right/>
      <top/>
      <bottom style="thick">
        <color theme="0"/>
      </bottom>
      <diagonal/>
    </border>
    <border>
      <left/>
      <right style="medium">
        <color indexed="64"/>
      </right>
      <top/>
      <bottom style="thick">
        <color theme="0"/>
      </bottom>
      <diagonal/>
    </border>
    <border>
      <left style="medium">
        <color theme="0"/>
      </left>
      <right style="thin">
        <color theme="0"/>
      </right>
      <top/>
      <bottom style="thick">
        <color theme="0"/>
      </bottom>
      <diagonal/>
    </border>
    <border>
      <left style="medium">
        <color indexed="64"/>
      </left>
      <right style="medium">
        <color indexed="64"/>
      </right>
      <top/>
      <bottom style="thick">
        <color theme="0"/>
      </bottom>
      <diagonal/>
    </border>
    <border>
      <left style="medium">
        <color indexed="64"/>
      </left>
      <right style="medium">
        <color theme="0"/>
      </right>
      <top/>
      <bottom style="thick">
        <color theme="0"/>
      </bottom>
      <diagonal/>
    </border>
    <border>
      <left style="medium">
        <color indexed="64"/>
      </left>
      <right style="thin">
        <color theme="0"/>
      </right>
      <top style="thick">
        <color theme="0"/>
      </top>
      <bottom style="thin">
        <color theme="0"/>
      </bottom>
      <diagonal/>
    </border>
    <border>
      <left style="medium">
        <color theme="0"/>
      </left>
      <right/>
      <top style="medium">
        <color indexed="64"/>
      </top>
      <bottom style="thick">
        <color theme="0"/>
      </bottom>
      <diagonal/>
    </border>
    <border>
      <left/>
      <right style="medium">
        <color theme="0"/>
      </right>
      <top style="medium">
        <color indexed="64"/>
      </top>
      <bottom style="thick">
        <color theme="0"/>
      </bottom>
      <diagonal/>
    </border>
    <border>
      <left style="medium">
        <color theme="0"/>
      </left>
      <right/>
      <top style="medium">
        <color indexed="64"/>
      </top>
      <bottom/>
      <diagonal/>
    </border>
    <border>
      <left style="medium">
        <color theme="0"/>
      </left>
      <right style="medium">
        <color indexed="64"/>
      </right>
      <top style="medium">
        <color indexed="64"/>
      </top>
      <bottom/>
      <diagonal/>
    </border>
    <border>
      <left style="medium">
        <color theme="0"/>
      </left>
      <right style="medium">
        <color indexed="64"/>
      </right>
      <top/>
      <bottom style="thick">
        <color theme="0"/>
      </bottom>
      <diagonal/>
    </border>
    <border>
      <left/>
      <right style="thin">
        <color theme="4" tint="0.39997558519241921"/>
      </right>
      <top style="thin">
        <color theme="4" tint="0.39997558519241921"/>
      </top>
      <bottom style="thin">
        <color theme="4" tint="0.39997558519241921"/>
      </bottom>
      <diagonal/>
    </border>
    <border>
      <left/>
      <right style="thin">
        <color indexed="64"/>
      </right>
      <top/>
      <bottom style="thin">
        <color indexed="64"/>
      </bottom>
      <diagonal/>
    </border>
    <border>
      <left style="thin">
        <color indexed="64"/>
      </left>
      <right/>
      <top/>
      <bottom style="thin">
        <color indexed="64"/>
      </bottom>
      <diagonal/>
    </border>
    <border>
      <left style="thin">
        <color theme="1"/>
      </left>
      <right style="thin">
        <color theme="1"/>
      </right>
      <top/>
      <bottom style="thin">
        <color theme="1"/>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style="medium">
        <color indexed="64"/>
      </left>
      <right style="thin">
        <color theme="0"/>
      </right>
      <top/>
      <bottom style="medium">
        <color indexed="64"/>
      </bottom>
      <diagonal/>
    </border>
    <border>
      <left style="medium">
        <color indexed="64"/>
      </left>
      <right style="thin">
        <color theme="0"/>
      </right>
      <top/>
      <bottom style="thin">
        <color theme="0"/>
      </bottom>
      <diagonal/>
    </border>
    <border>
      <left style="medium">
        <color indexed="64"/>
      </left>
      <right style="medium">
        <color indexed="64"/>
      </right>
      <top/>
      <bottom style="thin">
        <color theme="0"/>
      </bottom>
      <diagonal/>
    </border>
    <border>
      <left style="medium">
        <color theme="0"/>
      </left>
      <right style="thin">
        <color theme="0"/>
      </right>
      <top/>
      <bottom style="medium">
        <color indexed="64"/>
      </bottom>
      <diagonal/>
    </border>
    <border>
      <left/>
      <right/>
      <top style="medium">
        <color indexed="64"/>
      </top>
      <bottom style="thin">
        <color theme="0"/>
      </bottom>
      <diagonal/>
    </border>
    <border>
      <left/>
      <right/>
      <top style="thin">
        <color theme="0"/>
      </top>
      <bottom style="thin">
        <color theme="0"/>
      </bottom>
      <diagonal/>
    </border>
    <border>
      <left/>
      <right/>
      <top style="thin">
        <color theme="0"/>
      </top>
      <bottom style="medium">
        <color indexed="64"/>
      </bottom>
      <diagonal/>
    </border>
  </borders>
  <cellStyleXfs count="5">
    <xf numFmtId="0" fontId="0" fillId="0" borderId="0"/>
    <xf numFmtId="9" fontId="2" fillId="0" borderId="0" applyFont="0" applyFill="0" applyBorder="0" applyAlignment="0" applyProtection="0"/>
    <xf numFmtId="44" fontId="2" fillId="0" borderId="0" applyFont="0" applyFill="0" applyBorder="0" applyAlignment="0" applyProtection="0"/>
    <xf numFmtId="0" fontId="37" fillId="0" borderId="0"/>
    <xf numFmtId="0" fontId="39" fillId="0" borderId="0" applyNumberFormat="0" applyFill="0" applyBorder="0" applyAlignment="0" applyProtection="0"/>
  </cellStyleXfs>
  <cellXfs count="377">
    <xf numFmtId="0" fontId="0" fillId="0" borderId="0" xfId="0"/>
    <xf numFmtId="0" fontId="4" fillId="7" borderId="1" xfId="0" applyFont="1" applyFill="1" applyBorder="1" applyAlignment="1">
      <alignment horizontal="left" vertical="center"/>
    </xf>
    <xf numFmtId="0" fontId="5" fillId="0" borderId="0" xfId="0" applyFont="1"/>
    <xf numFmtId="0" fontId="5" fillId="5" borderId="0" xfId="0" applyFont="1" applyFill="1" applyAlignment="1">
      <alignment horizontal="center" vertical="center"/>
    </xf>
    <xf numFmtId="0" fontId="5" fillId="5" borderId="0" xfId="0" applyFont="1" applyFill="1" applyAlignment="1">
      <alignment horizontal="left" vertical="center" wrapText="1"/>
    </xf>
    <xf numFmtId="0" fontId="4" fillId="6" borderId="0" xfId="0" applyFont="1" applyFill="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left" vertical="center" wrapText="1"/>
    </xf>
    <xf numFmtId="0" fontId="5" fillId="0" borderId="0" xfId="0" applyFont="1" applyAlignment="1">
      <alignment horizontal="left" vertical="center"/>
    </xf>
    <xf numFmtId="0" fontId="4" fillId="3" borderId="0" xfId="0" applyFont="1" applyFill="1" applyAlignment="1">
      <alignment horizontal="center" vertical="center" wrapText="1"/>
    </xf>
    <xf numFmtId="0" fontId="4" fillId="0" borderId="0" xfId="0" applyFont="1" applyFill="1" applyAlignment="1">
      <alignment horizontal="center" vertical="center" wrapText="1"/>
    </xf>
    <xf numFmtId="0" fontId="5" fillId="0" borderId="0" xfId="0" applyFont="1" applyAlignment="1">
      <alignment wrapText="1"/>
    </xf>
    <xf numFmtId="0" fontId="5" fillId="5" borderId="0" xfId="0" applyFont="1" applyFill="1" applyAlignment="1">
      <alignment horizontal="center" vertical="center" wrapText="1"/>
    </xf>
    <xf numFmtId="0" fontId="8" fillId="0" borderId="0" xfId="0" applyNumberFormat="1" applyFont="1" applyFill="1" applyAlignment="1">
      <alignment horizontal="center" vertical="center" wrapText="1"/>
    </xf>
    <xf numFmtId="0" fontId="8" fillId="0" borderId="0" xfId="0" applyFont="1" applyFill="1" applyAlignment="1">
      <alignment horizontal="left" vertical="center" wrapText="1"/>
    </xf>
    <xf numFmtId="0" fontId="8" fillId="0" borderId="0" xfId="0" applyFont="1" applyFill="1" applyAlignment="1" applyProtection="1">
      <alignment horizontal="left" vertical="center" wrapText="1"/>
      <protection locked="0"/>
    </xf>
    <xf numFmtId="1" fontId="6" fillId="0" borderId="0" xfId="0" applyNumberFormat="1" applyFont="1" applyFill="1" applyAlignment="1" applyProtection="1">
      <alignment horizontal="center" vertical="center" wrapText="1"/>
      <protection locked="0"/>
    </xf>
    <xf numFmtId="0" fontId="8" fillId="0" borderId="0" xfId="0" applyFont="1" applyFill="1" applyAlignment="1">
      <alignment horizontal="center" vertical="center" wrapText="1"/>
    </xf>
    <xf numFmtId="164" fontId="8" fillId="0" borderId="0" xfId="2" applyNumberFormat="1" applyFont="1" applyFill="1" applyAlignment="1" applyProtection="1">
      <alignment horizontal="center" vertical="center" wrapText="1"/>
      <protection locked="0"/>
    </xf>
    <xf numFmtId="1" fontId="8" fillId="0" borderId="0" xfId="0" applyNumberFormat="1" applyFont="1" applyFill="1" applyAlignment="1" applyProtection="1">
      <alignment horizontal="center" vertical="center" wrapText="1"/>
      <protection locked="0"/>
    </xf>
    <xf numFmtId="44" fontId="5" fillId="0" borderId="0" xfId="2" applyFont="1" applyAlignment="1">
      <alignment horizontal="right" vertical="center"/>
    </xf>
    <xf numFmtId="0" fontId="5" fillId="5" borderId="0" xfId="0" applyFont="1" applyFill="1"/>
    <xf numFmtId="0" fontId="5" fillId="0" borderId="0" xfId="0" applyFont="1" applyAlignment="1">
      <alignment horizontal="center" vertical="center" wrapText="1"/>
    </xf>
    <xf numFmtId="0" fontId="4" fillId="8" borderId="1" xfId="0" applyFont="1" applyFill="1" applyBorder="1" applyAlignment="1">
      <alignment horizontal="left" vertical="center" wrapText="1"/>
    </xf>
    <xf numFmtId="0" fontId="4" fillId="6" borderId="0" xfId="0" applyFont="1" applyFill="1" applyAlignment="1" applyProtection="1">
      <alignment horizontal="center" vertical="center" wrapText="1"/>
    </xf>
    <xf numFmtId="0" fontId="9" fillId="0" borderId="0" xfId="0" applyFont="1" applyFill="1" applyAlignment="1">
      <alignment horizontal="center" vertical="center" wrapText="1"/>
    </xf>
    <xf numFmtId="0" fontId="10" fillId="0" borderId="0" xfId="0" applyFont="1" applyFill="1" applyAlignment="1">
      <alignment horizontal="center" vertical="center" wrapText="1"/>
    </xf>
    <xf numFmtId="0" fontId="9" fillId="0" borderId="0" xfId="0" applyNumberFormat="1" applyFont="1" applyFill="1" applyAlignment="1">
      <alignment horizontal="center" vertical="center" wrapText="1"/>
    </xf>
    <xf numFmtId="0" fontId="3" fillId="9" borderId="1" xfId="0" applyFont="1" applyFill="1" applyBorder="1" applyAlignment="1">
      <alignment horizontal="center" vertical="center" wrapText="1"/>
    </xf>
    <xf numFmtId="0" fontId="10" fillId="0" borderId="0" xfId="0" applyNumberFormat="1" applyFont="1" applyFill="1" applyAlignment="1">
      <alignment horizontal="center" vertical="center" wrapText="1"/>
    </xf>
    <xf numFmtId="1" fontId="11" fillId="0" borderId="0" xfId="0" applyNumberFormat="1" applyFont="1" applyFill="1" applyAlignment="1" applyProtection="1">
      <alignment horizontal="left" vertical="center" wrapText="1"/>
      <protection locked="0"/>
    </xf>
    <xf numFmtId="0" fontId="3" fillId="3" borderId="1" xfId="0" applyFont="1" applyFill="1" applyBorder="1" applyAlignment="1">
      <alignment horizontal="center" vertical="center" wrapText="1"/>
    </xf>
    <xf numFmtId="0" fontId="13" fillId="0" borderId="0" xfId="0" applyFont="1"/>
    <xf numFmtId="0" fontId="3" fillId="6" borderId="1"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4" fillId="0" borderId="1" xfId="0" applyFont="1" applyBorder="1" applyAlignment="1">
      <alignment horizontal="left" vertical="center"/>
    </xf>
    <xf numFmtId="0" fontId="5" fillId="0" borderId="0" xfId="0" applyFont="1" applyAlignment="1">
      <alignment horizontal="center" wrapText="1"/>
    </xf>
    <xf numFmtId="0" fontId="4" fillId="0" borderId="0" xfId="0" applyFont="1" applyFill="1" applyAlignment="1" applyProtection="1">
      <alignment horizontal="center" vertical="center" wrapText="1"/>
    </xf>
    <xf numFmtId="0" fontId="15" fillId="6" borderId="0" xfId="0" applyFont="1" applyFill="1" applyAlignment="1">
      <alignment horizontal="center" vertical="center" wrapText="1"/>
    </xf>
    <xf numFmtId="0" fontId="5" fillId="0" borderId="1" xfId="0" applyFont="1" applyBorder="1" applyAlignment="1">
      <alignment vertical="center" wrapText="1"/>
    </xf>
    <xf numFmtId="0" fontId="5" fillId="0" borderId="1" xfId="0" applyFont="1" applyBorder="1" applyAlignment="1">
      <alignment wrapText="1"/>
    </xf>
    <xf numFmtId="0" fontId="16" fillId="0" borderId="0" xfId="0" applyFont="1"/>
    <xf numFmtId="0" fontId="7" fillId="0" borderId="7" xfId="0" applyFont="1" applyBorder="1" applyAlignment="1">
      <alignment horizontal="center" vertical="center" wrapText="1"/>
    </xf>
    <xf numFmtId="0" fontId="7" fillId="11" borderId="7" xfId="0" applyFont="1" applyFill="1" applyBorder="1" applyAlignment="1">
      <alignment horizontal="center" vertical="center" wrapText="1"/>
    </xf>
    <xf numFmtId="0" fontId="8" fillId="0" borderId="0" xfId="0" applyNumberFormat="1" applyFont="1" applyFill="1" applyAlignment="1" applyProtection="1">
      <alignment horizontal="left" vertical="center" wrapText="1"/>
      <protection locked="0"/>
    </xf>
    <xf numFmtId="0" fontId="4" fillId="7" borderId="15" xfId="0" applyFont="1" applyFill="1" applyBorder="1" applyAlignment="1">
      <alignment horizontal="left" vertical="center"/>
    </xf>
    <xf numFmtId="0" fontId="4" fillId="7" borderId="16" xfId="0" applyFont="1" applyFill="1" applyBorder="1" applyAlignment="1">
      <alignment horizontal="center" vertical="center"/>
    </xf>
    <xf numFmtId="0" fontId="7" fillId="0" borderId="10" xfId="0" applyFont="1" applyBorder="1" applyAlignment="1">
      <alignment horizontal="center" vertical="center" wrapText="1"/>
    </xf>
    <xf numFmtId="0" fontId="7" fillId="11" borderId="10" xfId="0" applyFont="1" applyFill="1" applyBorder="1" applyAlignment="1">
      <alignment horizontal="center" vertical="center" wrapText="1"/>
    </xf>
    <xf numFmtId="0" fontId="14" fillId="8" borderId="1" xfId="0" applyFont="1" applyFill="1" applyBorder="1" applyAlignment="1">
      <alignment vertical="center"/>
    </xf>
    <xf numFmtId="0" fontId="16" fillId="0" borderId="0" xfId="0" applyFont="1" applyAlignment="1">
      <alignment horizontal="left" vertical="center"/>
    </xf>
    <xf numFmtId="0" fontId="3" fillId="9" borderId="18" xfId="0" applyFont="1" applyFill="1" applyBorder="1" applyAlignment="1">
      <alignment horizontal="center" vertical="center" wrapText="1"/>
    </xf>
    <xf numFmtId="0" fontId="5" fillId="0" borderId="0" xfId="0" applyFont="1" applyProtection="1">
      <protection locked="0"/>
    </xf>
    <xf numFmtId="0" fontId="19" fillId="8" borderId="19" xfId="0" applyFont="1" applyFill="1" applyBorder="1" applyAlignment="1" applyProtection="1">
      <alignment horizontal="center" vertical="center" wrapText="1"/>
      <protection locked="0"/>
    </xf>
    <xf numFmtId="0" fontId="20" fillId="0" borderId="0" xfId="0" applyFont="1" applyAlignment="1" applyProtection="1">
      <alignment wrapText="1"/>
      <protection locked="0"/>
    </xf>
    <xf numFmtId="0" fontId="5" fillId="0" borderId="0" xfId="0" applyFont="1" applyAlignment="1" applyProtection="1">
      <alignment wrapText="1"/>
      <protection locked="0"/>
    </xf>
    <xf numFmtId="0" fontId="5" fillId="0" borderId="0" xfId="0" applyFont="1" applyAlignment="1" applyProtection="1">
      <alignment horizontal="center" wrapText="1"/>
      <protection locked="0"/>
    </xf>
    <xf numFmtId="0" fontId="5" fillId="0" borderId="0" xfId="0" applyFont="1" applyAlignment="1" applyProtection="1">
      <alignment horizontal="center" vertical="center" wrapText="1"/>
      <protection locked="0"/>
    </xf>
    <xf numFmtId="0" fontId="5" fillId="0" borderId="19" xfId="0" applyFont="1" applyBorder="1" applyProtection="1">
      <protection locked="0"/>
    </xf>
    <xf numFmtId="0" fontId="5" fillId="0" borderId="0" xfId="0" applyFont="1" applyBorder="1" applyAlignment="1" applyProtection="1">
      <alignment horizontal="center" vertical="center"/>
      <protection locked="0"/>
    </xf>
    <xf numFmtId="0" fontId="3" fillId="10" borderId="28" xfId="0" applyFont="1" applyFill="1" applyBorder="1" applyAlignment="1" applyProtection="1">
      <alignment horizontal="center" vertical="center" wrapText="1"/>
      <protection locked="0"/>
    </xf>
    <xf numFmtId="0" fontId="3" fillId="10" borderId="17" xfId="0" applyFont="1" applyFill="1" applyBorder="1" applyAlignment="1" applyProtection="1">
      <alignment horizontal="center" vertical="center" wrapText="1"/>
      <protection locked="0"/>
    </xf>
    <xf numFmtId="0" fontId="3" fillId="10" borderId="29" xfId="0" applyFont="1" applyFill="1" applyBorder="1" applyAlignment="1" applyProtection="1">
      <alignment horizontal="center" vertical="center" wrapText="1"/>
      <protection locked="0"/>
    </xf>
    <xf numFmtId="0" fontId="4" fillId="0" borderId="0" xfId="0" applyFont="1" applyAlignment="1" applyProtection="1">
      <alignment horizontal="center" vertical="center"/>
      <protection locked="0"/>
    </xf>
    <xf numFmtId="0" fontId="5" fillId="0" borderId="0" xfId="0" applyFont="1" applyBorder="1" applyAlignment="1" applyProtection="1">
      <alignment horizontal="left" vertical="center"/>
      <protection locked="0"/>
    </xf>
    <xf numFmtId="0" fontId="8" fillId="14" borderId="30" xfId="0" applyNumberFormat="1" applyFont="1" applyFill="1" applyBorder="1" applyAlignment="1" applyProtection="1">
      <alignment horizontal="center" vertical="center" wrapText="1"/>
      <protection locked="0"/>
    </xf>
    <xf numFmtId="0" fontId="8" fillId="14" borderId="30" xfId="0" applyNumberFormat="1" applyFont="1" applyFill="1" applyBorder="1" applyAlignment="1" applyProtection="1">
      <alignment horizontal="center" vertical="center" wrapText="1"/>
    </xf>
    <xf numFmtId="0" fontId="8" fillId="14" borderId="31" xfId="0" applyNumberFormat="1" applyFont="1" applyFill="1" applyBorder="1" applyAlignment="1" applyProtection="1">
      <alignment horizontal="center" vertical="center" wrapText="1"/>
      <protection locked="0"/>
    </xf>
    <xf numFmtId="0" fontId="8" fillId="11" borderId="30" xfId="0" applyNumberFormat="1" applyFont="1" applyFill="1" applyBorder="1" applyAlignment="1" applyProtection="1">
      <alignment horizontal="center" vertical="center" wrapText="1"/>
      <protection locked="0"/>
    </xf>
    <xf numFmtId="0" fontId="8" fillId="11" borderId="30" xfId="0" applyNumberFormat="1" applyFont="1" applyFill="1" applyBorder="1" applyAlignment="1" applyProtection="1">
      <alignment horizontal="center" vertical="center" wrapText="1"/>
    </xf>
    <xf numFmtId="0" fontId="8" fillId="11" borderId="32" xfId="0" applyNumberFormat="1" applyFont="1" applyFill="1" applyBorder="1" applyAlignment="1" applyProtection="1">
      <alignment horizontal="center" vertical="center" wrapText="1"/>
      <protection locked="0"/>
    </xf>
    <xf numFmtId="0" fontId="8" fillId="14" borderId="32" xfId="0" applyNumberFormat="1" applyFont="1" applyFill="1" applyBorder="1" applyAlignment="1" applyProtection="1">
      <alignment horizontal="center" vertical="center" wrapText="1"/>
      <protection locked="0"/>
    </xf>
    <xf numFmtId="0" fontId="5" fillId="0" borderId="0" xfId="0" applyFont="1" applyAlignment="1" applyProtection="1">
      <protection locked="0"/>
    </xf>
    <xf numFmtId="2" fontId="8" fillId="11" borderId="30" xfId="0" applyNumberFormat="1" applyFont="1" applyFill="1" applyBorder="1" applyAlignment="1" applyProtection="1">
      <alignment horizontal="center" vertical="center" wrapText="1"/>
      <protection locked="0"/>
    </xf>
    <xf numFmtId="0" fontId="8" fillId="14" borderId="34" xfId="0" applyNumberFormat="1" applyFont="1" applyFill="1" applyBorder="1" applyAlignment="1" applyProtection="1">
      <alignment horizontal="center" vertical="center" wrapText="1"/>
      <protection locked="0"/>
    </xf>
    <xf numFmtId="0" fontId="8" fillId="11" borderId="33" xfId="0" applyNumberFormat="1" applyFont="1" applyFill="1" applyBorder="1" applyAlignment="1" applyProtection="1">
      <alignment horizontal="center" vertical="center" wrapText="1"/>
      <protection locked="0"/>
    </xf>
    <xf numFmtId="0" fontId="8" fillId="11" borderId="33" xfId="0" applyNumberFormat="1" applyFont="1" applyFill="1" applyBorder="1" applyAlignment="1" applyProtection="1">
      <alignment horizontal="center" vertical="center" wrapText="1"/>
    </xf>
    <xf numFmtId="0" fontId="8" fillId="11" borderId="34" xfId="0" applyNumberFormat="1" applyFont="1" applyFill="1" applyBorder="1" applyAlignment="1" applyProtection="1">
      <alignment horizontal="center" vertical="center" wrapText="1"/>
      <protection locked="0"/>
    </xf>
    <xf numFmtId="0" fontId="4" fillId="7" borderId="35" xfId="0" applyFont="1" applyFill="1" applyBorder="1" applyAlignment="1" applyProtection="1">
      <alignment horizontal="center" vertical="center" wrapText="1"/>
    </xf>
    <xf numFmtId="0" fontId="4" fillId="0" borderId="36" xfId="0" applyFont="1" applyBorder="1" applyAlignment="1" applyProtection="1">
      <alignment horizontal="center" vertical="center" wrapText="1"/>
    </xf>
    <xf numFmtId="0" fontId="4" fillId="0" borderId="37" xfId="0" applyFont="1" applyBorder="1" applyAlignment="1" applyProtection="1">
      <alignment horizontal="center" vertical="center" wrapText="1"/>
    </xf>
    <xf numFmtId="0" fontId="4" fillId="7" borderId="38" xfId="0" applyFont="1" applyFill="1" applyBorder="1" applyAlignment="1" applyProtection="1">
      <alignment horizontal="center" vertical="center" wrapText="1"/>
    </xf>
    <xf numFmtId="0" fontId="4" fillId="7" borderId="39" xfId="0" applyFont="1" applyFill="1" applyBorder="1" applyAlignment="1" applyProtection="1">
      <alignment horizontal="center" vertical="center" wrapText="1"/>
    </xf>
    <xf numFmtId="0" fontId="5" fillId="0" borderId="40" xfId="0" applyFont="1" applyBorder="1" applyAlignment="1" applyProtection="1">
      <alignment vertical="center" wrapText="1"/>
    </xf>
    <xf numFmtId="0" fontId="5" fillId="0" borderId="41" xfId="0" applyFont="1" applyBorder="1" applyAlignment="1" applyProtection="1">
      <alignment vertical="center" wrapText="1"/>
    </xf>
    <xf numFmtId="0" fontId="4" fillId="7" borderId="42" xfId="0" applyFont="1" applyFill="1" applyBorder="1" applyAlignment="1" applyProtection="1">
      <alignment horizontal="center" vertical="center" wrapText="1"/>
    </xf>
    <xf numFmtId="0" fontId="4" fillId="7" borderId="43" xfId="0" applyFont="1" applyFill="1" applyBorder="1" applyAlignment="1" applyProtection="1">
      <alignment horizontal="center" vertical="center" wrapText="1"/>
    </xf>
    <xf numFmtId="0" fontId="5" fillId="0" borderId="1" xfId="0" applyFont="1" applyBorder="1" applyAlignment="1" applyProtection="1">
      <alignment vertical="center" wrapText="1"/>
    </xf>
    <xf numFmtId="0" fontId="5" fillId="0" borderId="44" xfId="0" applyFont="1" applyBorder="1" applyAlignment="1" applyProtection="1">
      <alignment vertical="center" wrapText="1"/>
    </xf>
    <xf numFmtId="0" fontId="4" fillId="7" borderId="45" xfId="0" applyFont="1" applyFill="1" applyBorder="1" applyAlignment="1" applyProtection="1">
      <alignment horizontal="center" vertical="center" wrapText="1"/>
    </xf>
    <xf numFmtId="0" fontId="4" fillId="7" borderId="46" xfId="0" applyFont="1" applyFill="1" applyBorder="1" applyAlignment="1" applyProtection="1">
      <alignment horizontal="center" vertical="center" wrapText="1"/>
    </xf>
    <xf numFmtId="0" fontId="5" fillId="0" borderId="47" xfId="0" applyFont="1" applyBorder="1" applyAlignment="1" applyProtection="1">
      <alignment vertical="center" wrapText="1"/>
    </xf>
    <xf numFmtId="0" fontId="5" fillId="0" borderId="48" xfId="0" applyFont="1" applyBorder="1" applyAlignment="1" applyProtection="1">
      <alignment vertical="center" wrapText="1"/>
    </xf>
    <xf numFmtId="0" fontId="4" fillId="7" borderId="49" xfId="0" applyFont="1" applyFill="1" applyBorder="1" applyAlignment="1" applyProtection="1">
      <alignment horizontal="center" vertical="center" wrapText="1"/>
    </xf>
    <xf numFmtId="0" fontId="5" fillId="0" borderId="0" xfId="0" applyFont="1" applyAlignment="1" applyProtection="1">
      <alignment vertical="center"/>
      <protection locked="0"/>
    </xf>
    <xf numFmtId="0" fontId="3" fillId="10" borderId="54" xfId="0" applyFont="1" applyFill="1" applyBorder="1" applyAlignment="1" applyProtection="1">
      <alignment horizontal="center" vertical="center" wrapText="1"/>
      <protection locked="0"/>
    </xf>
    <xf numFmtId="0" fontId="3" fillId="10" borderId="56" xfId="0" applyFont="1" applyFill="1" applyBorder="1" applyAlignment="1" applyProtection="1">
      <alignment horizontal="center" vertical="center" wrapText="1"/>
      <protection locked="0"/>
    </xf>
    <xf numFmtId="0" fontId="8" fillId="14" borderId="57" xfId="0" applyNumberFormat="1" applyFont="1" applyFill="1" applyBorder="1" applyAlignment="1" applyProtection="1">
      <alignment horizontal="center" vertical="center" wrapText="1"/>
      <protection locked="0"/>
    </xf>
    <xf numFmtId="0" fontId="8" fillId="14" borderId="57" xfId="0" applyNumberFormat="1" applyFont="1" applyFill="1" applyBorder="1" applyAlignment="1" applyProtection="1">
      <alignment horizontal="center" vertical="center" wrapText="1"/>
    </xf>
    <xf numFmtId="0" fontId="0" fillId="0" borderId="0" xfId="0" applyAlignment="1">
      <alignment wrapText="1"/>
    </xf>
    <xf numFmtId="0" fontId="8" fillId="0" borderId="0" xfId="0" applyFont="1" applyFill="1" applyAlignment="1" applyProtection="1">
      <alignment horizontal="center" vertical="center" wrapText="1"/>
      <protection locked="0"/>
    </xf>
    <xf numFmtId="0" fontId="8" fillId="14" borderId="31" xfId="0" applyNumberFormat="1" applyFont="1" applyFill="1" applyBorder="1" applyAlignment="1" applyProtection="1">
      <alignment horizontal="center" vertical="center" wrapText="1"/>
    </xf>
    <xf numFmtId="0" fontId="8" fillId="11" borderId="32" xfId="0" applyNumberFormat="1" applyFont="1" applyFill="1" applyBorder="1" applyAlignment="1" applyProtection="1">
      <alignment horizontal="center" vertical="center" wrapText="1"/>
    </xf>
    <xf numFmtId="0" fontId="8" fillId="14" borderId="32" xfId="0" applyNumberFormat="1" applyFont="1" applyFill="1" applyBorder="1" applyAlignment="1" applyProtection="1">
      <alignment horizontal="center" vertical="center" wrapText="1"/>
    </xf>
    <xf numFmtId="0" fontId="8" fillId="14" borderId="30" xfId="0" applyNumberFormat="1" applyFont="1" applyFill="1" applyBorder="1" applyAlignment="1">
      <alignment horizontal="center" vertical="center" wrapText="1"/>
    </xf>
    <xf numFmtId="0" fontId="8" fillId="11" borderId="30" xfId="0" applyNumberFormat="1" applyFont="1" applyFill="1" applyBorder="1" applyAlignment="1">
      <alignment horizontal="center" vertical="center" wrapText="1"/>
    </xf>
    <xf numFmtId="2" fontId="8" fillId="11" borderId="30" xfId="0" applyNumberFormat="1" applyFont="1" applyFill="1" applyBorder="1" applyAlignment="1">
      <alignment horizontal="center" vertical="center" wrapText="1"/>
    </xf>
    <xf numFmtId="0" fontId="8" fillId="11" borderId="33" xfId="0" applyNumberFormat="1" applyFont="1" applyFill="1" applyBorder="1" applyAlignment="1">
      <alignment horizontal="center" vertical="center" wrapText="1"/>
    </xf>
    <xf numFmtId="0" fontId="26" fillId="0" borderId="0" xfId="0" applyFont="1" applyBorder="1" applyAlignment="1">
      <alignment horizontal="left" vertical="center" wrapText="1"/>
    </xf>
    <xf numFmtId="0" fontId="27" fillId="12" borderId="0" xfId="0" applyFont="1" applyFill="1" applyBorder="1" applyAlignment="1">
      <alignment horizontal="left" vertical="center" wrapText="1"/>
    </xf>
    <xf numFmtId="0" fontId="27" fillId="0" borderId="0" xfId="0" applyFont="1"/>
    <xf numFmtId="0" fontId="5" fillId="0" borderId="0" xfId="0" applyFont="1" applyAlignment="1">
      <alignment horizontal="center"/>
    </xf>
    <xf numFmtId="0" fontId="8" fillId="0" borderId="0" xfId="0" applyNumberFormat="1" applyFont="1" applyFill="1" applyAlignment="1" applyProtection="1">
      <alignment horizontal="center" vertical="center" wrapText="1"/>
      <protection locked="0"/>
    </xf>
    <xf numFmtId="0" fontId="5" fillId="0" borderId="0" xfId="0" applyFont="1" applyBorder="1" applyAlignment="1">
      <alignment horizontal="left" vertical="center" wrapText="1"/>
    </xf>
    <xf numFmtId="0" fontId="13" fillId="0" borderId="0" xfId="0" applyFont="1" applyAlignment="1">
      <alignment vertical="center"/>
    </xf>
    <xf numFmtId="0" fontId="12" fillId="0" borderId="0" xfId="0" applyFont="1" applyBorder="1" applyAlignment="1">
      <alignment horizontal="left" vertical="center" wrapText="1"/>
    </xf>
    <xf numFmtId="0" fontId="27" fillId="0" borderId="0" xfId="0" applyFont="1" applyAlignment="1">
      <alignment vertical="center"/>
    </xf>
    <xf numFmtId="2" fontId="8" fillId="0" borderId="0" xfId="0" applyNumberFormat="1" applyFont="1" applyFill="1" applyAlignment="1">
      <alignment horizontal="center" vertical="center" wrapText="1"/>
    </xf>
    <xf numFmtId="0" fontId="8" fillId="0" borderId="0" xfId="0" applyNumberFormat="1" applyFont="1" applyFill="1" applyBorder="1" applyAlignment="1">
      <alignment horizontal="center" vertical="center" wrapText="1"/>
    </xf>
    <xf numFmtId="0" fontId="8" fillId="0" borderId="0" xfId="0" applyNumberFormat="1" applyFont="1" applyFill="1" applyBorder="1" applyAlignment="1" applyProtection="1">
      <alignment horizontal="left" vertical="center" wrapText="1"/>
      <protection locked="0"/>
    </xf>
    <xf numFmtId="1" fontId="6" fillId="0" borderId="0" xfId="0" applyNumberFormat="1" applyFont="1" applyFill="1" applyBorder="1" applyAlignment="1" applyProtection="1">
      <alignment horizontal="center" vertical="center" wrapText="1"/>
      <protection locked="0"/>
    </xf>
    <xf numFmtId="0" fontId="10" fillId="0" borderId="0" xfId="0" applyNumberFormat="1" applyFont="1" applyFill="1" applyBorder="1" applyAlignment="1">
      <alignment horizontal="center" vertical="center" wrapText="1"/>
    </xf>
    <xf numFmtId="0" fontId="8" fillId="0" borderId="0" xfId="0" applyNumberFormat="1" applyFont="1" applyFill="1" applyBorder="1" applyAlignment="1" applyProtection="1">
      <alignment horizontal="center" vertical="center" wrapText="1"/>
      <protection locked="0"/>
    </xf>
    <xf numFmtId="1" fontId="11" fillId="0" borderId="0" xfId="0" applyNumberFormat="1" applyFont="1" applyFill="1" applyBorder="1" applyAlignment="1" applyProtection="1">
      <alignment horizontal="left" vertical="center" wrapText="1"/>
      <protection locked="0"/>
    </xf>
    <xf numFmtId="0" fontId="9" fillId="0" borderId="0" xfId="0" applyNumberFormat="1" applyFont="1" applyFill="1" applyBorder="1" applyAlignment="1">
      <alignment horizontal="center" vertical="center" wrapText="1"/>
    </xf>
    <xf numFmtId="164" fontId="8" fillId="0" borderId="0" xfId="2" applyNumberFormat="1" applyFont="1" applyFill="1" applyBorder="1" applyAlignment="1" applyProtection="1">
      <alignment horizontal="center" vertical="center" wrapText="1"/>
      <protection locked="0"/>
    </xf>
    <xf numFmtId="1" fontId="8" fillId="0" borderId="0" xfId="0" applyNumberFormat="1" applyFont="1" applyFill="1" applyBorder="1" applyAlignment="1" applyProtection="1">
      <alignment horizontal="center" vertical="center" wrapText="1"/>
      <protection locked="0"/>
    </xf>
    <xf numFmtId="2" fontId="8" fillId="14" borderId="30" xfId="0" applyNumberFormat="1" applyFont="1" applyFill="1" applyBorder="1" applyAlignment="1">
      <alignment horizontal="center" vertical="center" wrapText="1"/>
    </xf>
    <xf numFmtId="15" fontId="5" fillId="0" borderId="0" xfId="0" applyNumberFormat="1" applyFont="1" applyBorder="1" applyAlignment="1" applyProtection="1">
      <alignment horizontal="left" vertical="center"/>
      <protection locked="0"/>
    </xf>
    <xf numFmtId="0" fontId="5" fillId="12" borderId="0" xfId="0" applyFont="1" applyFill="1" applyBorder="1" applyAlignment="1">
      <alignment horizontal="left" vertical="center"/>
    </xf>
    <xf numFmtId="0" fontId="5" fillId="12" borderId="0" xfId="0" applyFont="1" applyFill="1" applyBorder="1" applyAlignment="1">
      <alignment horizontal="left" vertical="center" wrapText="1"/>
    </xf>
    <xf numFmtId="0" fontId="29" fillId="0" borderId="0" xfId="0" applyFont="1" applyAlignment="1">
      <alignment vertical="center" wrapText="1"/>
    </xf>
    <xf numFmtId="0" fontId="17" fillId="8" borderId="1" xfId="0" applyFont="1" applyFill="1" applyBorder="1" applyAlignment="1">
      <alignment vertical="center" wrapText="1"/>
    </xf>
    <xf numFmtId="0" fontId="5" fillId="0" borderId="1" xfId="0" applyFont="1" applyBorder="1" applyAlignment="1" applyProtection="1">
      <alignment vertical="center" wrapText="1"/>
      <protection locked="0"/>
    </xf>
    <xf numFmtId="0" fontId="5" fillId="0" borderId="6" xfId="0" applyFont="1" applyBorder="1" applyAlignment="1" applyProtection="1">
      <alignment horizontal="center" vertical="center"/>
      <protection locked="0"/>
    </xf>
    <xf numFmtId="0" fontId="5" fillId="0" borderId="12" xfId="0" applyFont="1" applyBorder="1" applyAlignment="1" applyProtection="1">
      <alignment horizontal="center"/>
      <protection locked="0"/>
    </xf>
    <xf numFmtId="0" fontId="9" fillId="0" borderId="0" xfId="0" applyNumberFormat="1" applyFont="1" applyFill="1" applyAlignment="1" applyProtection="1">
      <alignment horizontal="center" vertical="center" wrapText="1"/>
      <protection locked="0"/>
    </xf>
    <xf numFmtId="1" fontId="6" fillId="0" borderId="0" xfId="0" applyNumberFormat="1" applyFont="1" applyFill="1" applyAlignment="1" applyProtection="1">
      <alignment horizontal="center" vertical="center" wrapText="1"/>
    </xf>
    <xf numFmtId="0" fontId="9" fillId="0" borderId="0" xfId="0" applyNumberFormat="1" applyFont="1" applyFill="1" applyAlignment="1" applyProtection="1">
      <alignment horizontal="center" vertical="center" wrapText="1"/>
    </xf>
    <xf numFmtId="0" fontId="9" fillId="0" borderId="0" xfId="0" applyFont="1" applyFill="1" applyAlignment="1" applyProtection="1">
      <alignment horizontal="center" vertical="center" wrapText="1"/>
    </xf>
    <xf numFmtId="0" fontId="9" fillId="0" borderId="0" xfId="0" applyNumberFormat="1" applyFont="1" applyFill="1" applyBorder="1" applyAlignment="1" applyProtection="1">
      <alignment horizontal="center" vertical="center" wrapText="1"/>
    </xf>
    <xf numFmtId="0" fontId="3" fillId="2" borderId="1" xfId="0" applyFont="1" applyFill="1" applyBorder="1" applyAlignment="1" applyProtection="1">
      <alignment horizontal="left" vertical="center"/>
    </xf>
    <xf numFmtId="14" fontId="5" fillId="0" borderId="0" xfId="0" applyNumberFormat="1" applyFont="1" applyAlignment="1" applyProtection="1">
      <alignment horizontal="left" vertical="center"/>
    </xf>
    <xf numFmtId="0" fontId="5" fillId="0" borderId="0" xfId="0" applyFont="1" applyAlignment="1" applyProtection="1">
      <alignment horizontal="center" vertical="center"/>
    </xf>
    <xf numFmtId="0" fontId="5" fillId="0" borderId="0" xfId="0" applyFont="1" applyAlignment="1" applyProtection="1">
      <alignment horizontal="left" vertical="center"/>
    </xf>
    <xf numFmtId="9" fontId="5" fillId="0" borderId="0" xfId="1" applyNumberFormat="1" applyFont="1" applyAlignment="1" applyProtection="1">
      <alignment horizontal="center" vertical="center"/>
    </xf>
    <xf numFmtId="0" fontId="5" fillId="0" borderId="0" xfId="0" applyNumberFormat="1" applyFont="1" applyAlignment="1" applyProtection="1">
      <alignment horizontal="center" vertical="center"/>
    </xf>
    <xf numFmtId="0" fontId="8" fillId="0" borderId="0" xfId="0" applyFont="1" applyFill="1" applyAlignment="1" applyProtection="1">
      <alignment horizontal="left" vertical="center" wrapText="1"/>
    </xf>
    <xf numFmtId="9" fontId="5" fillId="0" borderId="0" xfId="1" applyFont="1" applyAlignment="1" applyProtection="1">
      <alignment horizontal="center" vertical="center"/>
    </xf>
    <xf numFmtId="0" fontId="5" fillId="0" borderId="0" xfId="0" applyFont="1" applyFill="1" applyProtection="1"/>
    <xf numFmtId="9" fontId="5" fillId="0" borderId="0" xfId="1" applyFont="1" applyFill="1" applyAlignment="1" applyProtection="1">
      <alignment horizontal="center" vertical="center"/>
    </xf>
    <xf numFmtId="0" fontId="5" fillId="0" borderId="0" xfId="0" applyFont="1" applyFill="1" applyAlignment="1" applyProtection="1">
      <alignment horizontal="center" vertical="center"/>
    </xf>
    <xf numFmtId="0" fontId="5" fillId="0" borderId="0" xfId="0" applyFont="1" applyProtection="1"/>
    <xf numFmtId="0" fontId="4" fillId="9" borderId="0" xfId="0" applyFont="1" applyFill="1" applyAlignment="1">
      <alignment horizontal="center" vertical="center" wrapText="1"/>
    </xf>
    <xf numFmtId="0" fontId="5" fillId="0" borderId="1" xfId="0" applyFont="1" applyBorder="1" applyAlignment="1" applyProtection="1">
      <alignment horizontal="left" vertical="center"/>
      <protection locked="0"/>
    </xf>
    <xf numFmtId="15" fontId="5" fillId="0" borderId="1" xfId="0" applyNumberFormat="1" applyFont="1" applyBorder="1" applyAlignment="1" applyProtection="1">
      <alignment horizontal="left" vertical="center"/>
      <protection locked="0"/>
    </xf>
    <xf numFmtId="0" fontId="5" fillId="0" borderId="1" xfId="0" applyFont="1" applyBorder="1" applyAlignment="1">
      <alignment horizontal="left" vertical="center" wrapText="1"/>
    </xf>
    <xf numFmtId="0" fontId="5" fillId="0" borderId="2" xfId="0" applyFont="1" applyBorder="1" applyAlignment="1">
      <alignment horizontal="left" vertical="center" wrapText="1"/>
    </xf>
    <xf numFmtId="0" fontId="3" fillId="10" borderId="25" xfId="0" applyFont="1" applyFill="1" applyBorder="1" applyAlignment="1" applyProtection="1">
      <alignment horizontal="center" vertical="center" wrapText="1"/>
      <protection locked="0"/>
    </xf>
    <xf numFmtId="0" fontId="3" fillId="10" borderId="50" xfId="0" applyFont="1" applyFill="1" applyBorder="1" applyAlignment="1" applyProtection="1">
      <alignment horizontal="center" vertical="center" wrapText="1"/>
      <protection locked="0"/>
    </xf>
    <xf numFmtId="0" fontId="8" fillId="0" borderId="0" xfId="0" applyFont="1" applyAlignment="1" applyProtection="1">
      <alignment horizontal="left" vertical="center" wrapText="1"/>
      <protection locked="0"/>
    </xf>
    <xf numFmtId="0" fontId="4" fillId="9" borderId="0" xfId="0" applyFont="1" applyFill="1" applyAlignment="1" applyProtection="1">
      <alignment horizontal="center" vertical="center" wrapText="1"/>
    </xf>
    <xf numFmtId="0" fontId="5" fillId="0" borderId="1" xfId="0" applyFont="1" applyBorder="1" applyAlignment="1">
      <alignment horizontal="left" vertical="center" wrapText="1"/>
    </xf>
    <xf numFmtId="0" fontId="5" fillId="0" borderId="2" xfId="0" applyFont="1" applyBorder="1" applyAlignment="1">
      <alignment horizontal="left" vertical="center" wrapText="1"/>
    </xf>
    <xf numFmtId="0" fontId="31" fillId="5" borderId="5" xfId="0" applyFont="1" applyFill="1" applyBorder="1" applyAlignment="1">
      <alignment horizontal="center" vertical="center" wrapText="1"/>
    </xf>
    <xf numFmtId="0" fontId="5" fillId="0" borderId="18" xfId="0" applyFont="1" applyBorder="1" applyAlignment="1">
      <alignment horizontal="left" vertical="center" wrapText="1"/>
    </xf>
    <xf numFmtId="0" fontId="32" fillId="10" borderId="17" xfId="0" applyFont="1" applyFill="1" applyBorder="1" applyAlignment="1">
      <alignment horizontal="center" vertical="center" wrapText="1"/>
    </xf>
    <xf numFmtId="0" fontId="1" fillId="0" borderId="0" xfId="0" applyFont="1" applyAlignment="1">
      <alignment vertical="center"/>
    </xf>
    <xf numFmtId="0" fontId="1" fillId="0" borderId="0" xfId="0" applyFont="1" applyBorder="1" applyAlignment="1">
      <alignment horizontal="left" vertical="center" wrapText="1"/>
    </xf>
    <xf numFmtId="0" fontId="1" fillId="5" borderId="0" xfId="0" applyFont="1" applyFill="1" applyBorder="1" applyAlignment="1">
      <alignment horizontal="center" vertical="center" wrapText="1"/>
    </xf>
    <xf numFmtId="0" fontId="17" fillId="8" borderId="1" xfId="0" applyFont="1" applyFill="1" applyBorder="1" applyAlignment="1">
      <alignment horizontal="left" vertical="center" wrapText="1"/>
    </xf>
    <xf numFmtId="0" fontId="5" fillId="0" borderId="1" xfId="0" applyFont="1" applyBorder="1" applyAlignment="1" applyProtection="1">
      <alignment horizontal="left" vertical="center" wrapText="1"/>
      <protection locked="0"/>
    </xf>
    <xf numFmtId="0" fontId="32" fillId="9" borderId="1" xfId="0" applyFont="1" applyFill="1" applyBorder="1" applyAlignment="1">
      <alignment horizontal="center" vertical="center" wrapText="1"/>
    </xf>
    <xf numFmtId="165" fontId="5" fillId="7" borderId="1" xfId="0" applyNumberFormat="1" applyFont="1" applyFill="1" applyBorder="1" applyAlignment="1">
      <alignment horizontal="left" vertical="center" wrapText="1"/>
    </xf>
    <xf numFmtId="0" fontId="1" fillId="0" borderId="0" xfId="0" applyFont="1" applyAlignment="1">
      <alignment horizontal="left" vertical="center" wrapText="1"/>
    </xf>
    <xf numFmtId="0" fontId="31" fillId="5" borderId="63" xfId="0" applyFont="1" applyFill="1" applyBorder="1" applyAlignment="1">
      <alignment horizontal="center" vertical="center" wrapText="1"/>
    </xf>
    <xf numFmtId="0" fontId="12" fillId="7" borderId="1" xfId="0" applyFont="1" applyFill="1" applyBorder="1" applyAlignment="1">
      <alignment horizontal="left" vertical="center"/>
    </xf>
    <xf numFmtId="49" fontId="5" fillId="0" borderId="1" xfId="0" applyNumberFormat="1" applyFont="1" applyBorder="1" applyAlignment="1" applyProtection="1">
      <alignment vertical="center"/>
      <protection locked="0"/>
    </xf>
    <xf numFmtId="0" fontId="5" fillId="0" borderId="1" xfId="0" applyFont="1" applyBorder="1" applyAlignment="1" applyProtection="1">
      <alignment vertical="center"/>
      <protection locked="0"/>
    </xf>
    <xf numFmtId="15" fontId="5" fillId="0" borderId="1" xfId="0" applyNumberFormat="1" applyFont="1" applyBorder="1" applyAlignment="1" applyProtection="1">
      <alignment vertical="center"/>
      <protection locked="0"/>
    </xf>
    <xf numFmtId="0" fontId="14" fillId="8" borderId="1" xfId="0" applyFont="1" applyFill="1" applyBorder="1" applyAlignment="1">
      <alignment horizontal="center" vertical="center"/>
    </xf>
    <xf numFmtId="0" fontId="0" fillId="0" borderId="0" xfId="0" applyAlignment="1">
      <alignment horizontal="center"/>
    </xf>
    <xf numFmtId="0" fontId="31" fillId="4" borderId="64" xfId="0" applyFont="1" applyFill="1" applyBorder="1" applyAlignment="1">
      <alignment horizontal="center" vertical="center" wrapText="1"/>
    </xf>
    <xf numFmtId="0" fontId="31" fillId="6" borderId="14" xfId="0" applyFont="1" applyFill="1" applyBorder="1" applyAlignment="1">
      <alignment horizontal="center" vertical="center" wrapText="1"/>
    </xf>
    <xf numFmtId="0" fontId="31" fillId="9" borderId="14" xfId="0" applyFont="1" applyFill="1" applyBorder="1" applyAlignment="1">
      <alignment horizontal="center" vertical="center" wrapText="1"/>
    </xf>
    <xf numFmtId="0" fontId="31" fillId="6" borderId="65" xfId="0" applyFont="1" applyFill="1" applyBorder="1" applyAlignment="1">
      <alignment horizontal="center" vertical="center" wrapText="1"/>
    </xf>
    <xf numFmtId="0" fontId="4" fillId="0" borderId="4" xfId="0" applyFont="1" applyBorder="1" applyAlignment="1">
      <alignment horizontal="center" vertical="center"/>
    </xf>
    <xf numFmtId="0" fontId="17" fillId="0" borderId="1" xfId="0" applyFont="1" applyBorder="1" applyAlignment="1">
      <alignment horizontal="left" vertical="center" wrapText="1"/>
    </xf>
    <xf numFmtId="0" fontId="17" fillId="0" borderId="2" xfId="0" applyFont="1" applyBorder="1" applyAlignment="1">
      <alignment horizontal="left" vertical="center" wrapText="1"/>
    </xf>
    <xf numFmtId="0" fontId="4" fillId="0" borderId="4" xfId="0" applyFont="1" applyBorder="1" applyAlignment="1">
      <alignment horizontal="left" vertical="center"/>
    </xf>
    <xf numFmtId="0" fontId="4" fillId="0" borderId="6" xfId="0" applyFont="1" applyBorder="1" applyAlignment="1">
      <alignment horizontal="left" vertical="center"/>
    </xf>
    <xf numFmtId="0" fontId="12" fillId="7" borderId="12" xfId="0" applyFont="1" applyFill="1" applyBorder="1" applyAlignment="1">
      <alignment horizontal="left" vertical="center"/>
    </xf>
    <xf numFmtId="0" fontId="5" fillId="0" borderId="8" xfId="0" applyFont="1" applyBorder="1" applyAlignment="1">
      <alignment horizontal="left" vertical="center" wrapText="1"/>
    </xf>
    <xf numFmtId="0" fontId="1" fillId="0" borderId="64" xfId="0" applyFont="1" applyBorder="1" applyAlignment="1">
      <alignment horizontal="center" vertical="center"/>
    </xf>
    <xf numFmtId="0" fontId="1" fillId="0" borderId="14" xfId="0" applyFont="1" applyBorder="1" applyAlignment="1">
      <alignment horizontal="center" vertical="center"/>
    </xf>
    <xf numFmtId="0" fontId="1" fillId="0" borderId="65" xfId="0" applyFont="1" applyBorder="1" applyAlignment="1">
      <alignment horizontal="center" vertical="center"/>
    </xf>
    <xf numFmtId="0" fontId="5" fillId="0" borderId="2" xfId="0" applyFont="1" applyBorder="1" applyAlignment="1">
      <alignment vertical="center" wrapText="1"/>
    </xf>
    <xf numFmtId="0" fontId="4" fillId="0" borderId="6" xfId="0" applyFont="1" applyBorder="1" applyAlignment="1">
      <alignment horizontal="center" vertical="center"/>
    </xf>
    <xf numFmtId="0" fontId="5" fillId="0" borderId="8" xfId="0" applyFont="1" applyBorder="1" applyAlignment="1">
      <alignment vertical="center" wrapText="1"/>
    </xf>
    <xf numFmtId="0" fontId="4" fillId="11" borderId="4" xfId="0" applyFont="1" applyFill="1" applyBorder="1" applyAlignment="1">
      <alignment horizontal="left" vertical="center"/>
    </xf>
    <xf numFmtId="0" fontId="4" fillId="11" borderId="1" xfId="0" applyFont="1" applyFill="1" applyBorder="1" applyAlignment="1" applyProtection="1">
      <alignment horizontal="center" vertical="center" wrapText="1"/>
      <protection locked="0"/>
    </xf>
    <xf numFmtId="0" fontId="4" fillId="11" borderId="2" xfId="0" applyFont="1" applyFill="1" applyBorder="1" applyAlignment="1" applyProtection="1">
      <alignment horizontal="center" vertical="center" wrapText="1"/>
      <protection locked="0"/>
    </xf>
    <xf numFmtId="0" fontId="7" fillId="0" borderId="1" xfId="0" applyFont="1" applyBorder="1" applyAlignment="1" applyProtection="1">
      <alignment horizontal="center" vertical="center" wrapText="1"/>
      <protection locked="0"/>
    </xf>
    <xf numFmtId="0" fontId="7" fillId="0" borderId="2" xfId="0" applyFont="1" applyBorder="1" applyAlignment="1" applyProtection="1">
      <alignment horizontal="center" vertical="center" wrapText="1"/>
      <protection locked="0"/>
    </xf>
    <xf numFmtId="0" fontId="7" fillId="11" borderId="1" xfId="0" applyFont="1" applyFill="1" applyBorder="1" applyAlignment="1" applyProtection="1">
      <alignment horizontal="center" vertical="center" wrapText="1"/>
      <protection locked="0"/>
    </xf>
    <xf numFmtId="0" fontId="7" fillId="11" borderId="2" xfId="0" applyFont="1" applyFill="1" applyBorder="1" applyAlignment="1" applyProtection="1">
      <alignment horizontal="center" vertical="center" wrapText="1"/>
      <protection locked="0"/>
    </xf>
    <xf numFmtId="0" fontId="7" fillId="0" borderId="12" xfId="0" applyFont="1" applyBorder="1" applyAlignment="1" applyProtection="1">
      <alignment horizontal="center" vertical="center" wrapText="1"/>
      <protection locked="0"/>
    </xf>
    <xf numFmtId="0" fontId="7" fillId="0" borderId="8" xfId="0" applyFont="1" applyBorder="1" applyAlignment="1" applyProtection="1">
      <alignment horizontal="center" vertical="center" wrapText="1"/>
      <protection locked="0"/>
    </xf>
    <xf numFmtId="44" fontId="5" fillId="0" borderId="1" xfId="2" applyFont="1" applyBorder="1" applyAlignment="1" applyProtection="1">
      <alignment vertical="center" wrapText="1"/>
      <protection locked="0"/>
    </xf>
    <xf numFmtId="0" fontId="5" fillId="0" borderId="0" xfId="0" applyFont="1" applyAlignment="1">
      <alignment vertical="center"/>
    </xf>
    <xf numFmtId="0" fontId="4" fillId="8" borderId="1" xfId="0" applyFont="1" applyFill="1" applyBorder="1" applyAlignment="1">
      <alignment vertical="center" wrapText="1"/>
    </xf>
    <xf numFmtId="0" fontId="4" fillId="0" borderId="0" xfId="0" applyFont="1" applyBorder="1" applyAlignment="1">
      <alignment horizontal="left" vertical="center" wrapText="1"/>
    </xf>
    <xf numFmtId="0" fontId="17" fillId="0" borderId="0" xfId="0" applyFont="1" applyBorder="1" applyAlignment="1">
      <alignment horizontal="left" vertical="center" wrapText="1"/>
    </xf>
    <xf numFmtId="165" fontId="5" fillId="0" borderId="1" xfId="0" applyNumberFormat="1" applyFont="1" applyBorder="1" applyAlignment="1">
      <alignment horizontal="left" vertical="center" wrapText="1"/>
    </xf>
    <xf numFmtId="0" fontId="4" fillId="0" borderId="12" xfId="0" applyFont="1" applyBorder="1" applyAlignment="1">
      <alignment horizontal="left" vertical="center"/>
    </xf>
    <xf numFmtId="0" fontId="31" fillId="13" borderId="4" xfId="0" applyFont="1" applyFill="1" applyBorder="1" applyAlignment="1">
      <alignment horizontal="center" vertical="center"/>
    </xf>
    <xf numFmtId="0" fontId="31" fillId="13" borderId="1" xfId="0" applyFont="1" applyFill="1" applyBorder="1" applyAlignment="1">
      <alignment horizontal="center"/>
    </xf>
    <xf numFmtId="0" fontId="4" fillId="7" borderId="1" xfId="0" applyFont="1" applyFill="1" applyBorder="1" applyAlignment="1">
      <alignment horizontal="left" vertical="center" wrapText="1"/>
    </xf>
    <xf numFmtId="0" fontId="14" fillId="8" borderId="1" xfId="0" applyFont="1" applyFill="1" applyBorder="1" applyAlignment="1">
      <alignment horizontal="left" vertical="center" wrapText="1"/>
    </xf>
    <xf numFmtId="0" fontId="12" fillId="8" borderId="1" xfId="0" applyFont="1" applyFill="1" applyBorder="1" applyAlignment="1">
      <alignment horizontal="left" vertical="center" wrapText="1"/>
    </xf>
    <xf numFmtId="0" fontId="1" fillId="0" borderId="0" xfId="0" applyFont="1"/>
    <xf numFmtId="0" fontId="5" fillId="0" borderId="66" xfId="0" applyFont="1" applyBorder="1" applyAlignment="1">
      <alignment horizontal="left" vertical="center" wrapText="1"/>
    </xf>
    <xf numFmtId="0" fontId="12" fillId="7" borderId="1" xfId="0" applyFont="1" applyFill="1" applyBorder="1" applyAlignment="1">
      <alignment horizontal="left" vertical="center" wrapText="1"/>
    </xf>
    <xf numFmtId="0" fontId="12" fillId="7" borderId="12" xfId="0" applyFont="1" applyFill="1" applyBorder="1" applyAlignment="1">
      <alignment horizontal="left" vertical="center" wrapText="1"/>
    </xf>
    <xf numFmtId="0" fontId="16" fillId="0" borderId="0" xfId="0" applyFont="1" applyAlignment="1">
      <alignment horizontal="left" vertical="center" wrapText="1"/>
    </xf>
    <xf numFmtId="0" fontId="16" fillId="0" borderId="0" xfId="0" applyFont="1" applyAlignment="1">
      <alignment wrapText="1"/>
    </xf>
    <xf numFmtId="0" fontId="1" fillId="0" borderId="14" xfId="0" applyFont="1" applyBorder="1" applyAlignment="1">
      <alignment horizontal="center" vertical="center" wrapText="1"/>
    </xf>
    <xf numFmtId="0" fontId="1" fillId="0" borderId="65" xfId="0" applyFont="1" applyBorder="1" applyAlignment="1">
      <alignment horizontal="center" vertical="center" wrapText="1"/>
    </xf>
    <xf numFmtId="0" fontId="4" fillId="0" borderId="1" xfId="0" applyFont="1" applyBorder="1" applyAlignment="1">
      <alignment horizontal="left" vertical="center" wrapText="1"/>
    </xf>
    <xf numFmtId="0" fontId="4" fillId="0" borderId="12" xfId="0" applyFont="1" applyBorder="1" applyAlignment="1">
      <alignment horizontal="left" vertical="center" wrapText="1"/>
    </xf>
    <xf numFmtId="0" fontId="31" fillId="13" borderId="4" xfId="0" applyFont="1" applyFill="1" applyBorder="1" applyAlignment="1">
      <alignment horizontal="center" vertical="center" wrapText="1"/>
    </xf>
    <xf numFmtId="0" fontId="31" fillId="13" borderId="1" xfId="0" applyFont="1" applyFill="1" applyBorder="1" applyAlignment="1">
      <alignment horizontal="center" wrapText="1"/>
    </xf>
    <xf numFmtId="0" fontId="5" fillId="0" borderId="6" xfId="0" applyFont="1" applyBorder="1" applyAlignment="1" applyProtection="1">
      <alignment horizontal="center" vertical="center" wrapText="1"/>
      <protection locked="0"/>
    </xf>
    <xf numFmtId="0" fontId="5" fillId="0" borderId="12" xfId="0" applyFont="1" applyBorder="1" applyAlignment="1" applyProtection="1">
      <alignment horizontal="center" wrapText="1"/>
      <protection locked="0"/>
    </xf>
    <xf numFmtId="0" fontId="4" fillId="7" borderId="15" xfId="0" applyFont="1" applyFill="1" applyBorder="1" applyAlignment="1">
      <alignment horizontal="left" vertical="center" wrapText="1"/>
    </xf>
    <xf numFmtId="0" fontId="4" fillId="7" borderId="16" xfId="0" applyFont="1" applyFill="1" applyBorder="1" applyAlignment="1">
      <alignment horizontal="center" vertical="center" wrapText="1"/>
    </xf>
    <xf numFmtId="44" fontId="5" fillId="0" borderId="1" xfId="2" applyFont="1" applyBorder="1" applyAlignment="1">
      <alignment horizontal="left" vertical="center" wrapText="1"/>
    </xf>
    <xf numFmtId="0" fontId="5" fillId="0" borderId="12" xfId="0" applyFont="1" applyBorder="1" applyAlignment="1">
      <alignment horizontal="left" vertical="center" wrapText="1"/>
    </xf>
    <xf numFmtId="0" fontId="16" fillId="0" borderId="0" xfId="0" applyFont="1" applyAlignment="1">
      <alignment horizontal="center"/>
    </xf>
    <xf numFmtId="0" fontId="5" fillId="0" borderId="41" xfId="0" applyFont="1" applyBorder="1" applyAlignment="1">
      <alignment vertical="center" wrapText="1"/>
    </xf>
    <xf numFmtId="0" fontId="14" fillId="7" borderId="12" xfId="0" applyFont="1" applyFill="1" applyBorder="1" applyAlignment="1">
      <alignment horizontal="center" vertical="center" wrapText="1"/>
    </xf>
    <xf numFmtId="0" fontId="14" fillId="8" borderId="1" xfId="0" applyFont="1" applyFill="1" applyBorder="1" applyAlignment="1">
      <alignment horizontal="center" vertical="center" wrapText="1"/>
    </xf>
    <xf numFmtId="0" fontId="3" fillId="5" borderId="1" xfId="0" applyFont="1" applyFill="1" applyBorder="1" applyAlignment="1">
      <alignment horizontal="left" vertical="center" wrapText="1"/>
    </xf>
    <xf numFmtId="0" fontId="8" fillId="0" borderId="0" xfId="0" applyNumberFormat="1" applyFont="1" applyFill="1" applyAlignment="1" applyProtection="1">
      <alignment horizontal="left" vertical="center" wrapText="1"/>
    </xf>
    <xf numFmtId="0" fontId="8" fillId="0" borderId="0" xfId="0" applyNumberFormat="1" applyFont="1" applyFill="1" applyBorder="1" applyAlignment="1" applyProtection="1">
      <alignment horizontal="left" vertical="center" wrapText="1"/>
    </xf>
    <xf numFmtId="0" fontId="8" fillId="0" borderId="0" xfId="0" applyFont="1" applyFill="1" applyBorder="1" applyAlignment="1" applyProtection="1">
      <alignment horizontal="center" vertical="center" wrapText="1"/>
      <protection locked="0"/>
    </xf>
    <xf numFmtId="0" fontId="3" fillId="10" borderId="25" xfId="0" applyFont="1" applyFill="1" applyBorder="1" applyAlignment="1" applyProtection="1">
      <alignment horizontal="center" vertical="center" wrapText="1"/>
      <protection locked="0"/>
    </xf>
    <xf numFmtId="0" fontId="22" fillId="0" borderId="20" xfId="0" applyFont="1" applyBorder="1" applyAlignment="1">
      <alignment horizontal="left" vertical="center" wrapText="1" indent="2"/>
    </xf>
    <xf numFmtId="0" fontId="22" fillId="0" borderId="20" xfId="0" applyFont="1" applyBorder="1" applyAlignment="1">
      <alignment horizontal="left" vertical="center" wrapText="1" indent="5"/>
    </xf>
    <xf numFmtId="0" fontId="22" fillId="0" borderId="21" xfId="0" applyFont="1" applyBorder="1" applyAlignment="1">
      <alignment horizontal="left" vertical="center" wrapText="1" indent="2"/>
    </xf>
    <xf numFmtId="0" fontId="22" fillId="0" borderId="20" xfId="0" applyFont="1" applyBorder="1" applyAlignment="1">
      <alignment horizontal="left" vertical="center" wrapText="1" indent="10"/>
    </xf>
    <xf numFmtId="0" fontId="22" fillId="0" borderId="20" xfId="0" applyFont="1" applyBorder="1" applyAlignment="1">
      <alignment horizontal="left" vertical="center" wrapText="1" indent="15"/>
    </xf>
    <xf numFmtId="0" fontId="22" fillId="0" borderId="21" xfId="0" applyFont="1" applyBorder="1" applyAlignment="1">
      <alignment horizontal="left" vertical="center" wrapText="1" indent="5"/>
    </xf>
    <xf numFmtId="0" fontId="8" fillId="14" borderId="70" xfId="0" applyNumberFormat="1" applyFont="1" applyFill="1" applyBorder="1" applyAlignment="1" applyProtection="1">
      <alignment horizontal="center" vertical="center" wrapText="1"/>
      <protection locked="0"/>
    </xf>
    <xf numFmtId="0" fontId="8" fillId="14" borderId="70" xfId="0" applyNumberFormat="1" applyFont="1" applyFill="1" applyBorder="1" applyAlignment="1" applyProtection="1">
      <alignment horizontal="center" vertical="center" wrapText="1"/>
    </xf>
    <xf numFmtId="0" fontId="8" fillId="14" borderId="71" xfId="0" applyNumberFormat="1" applyFont="1" applyFill="1" applyBorder="1" applyAlignment="1" applyProtection="1">
      <alignment horizontal="center" vertical="center" wrapText="1"/>
      <protection locked="0"/>
    </xf>
    <xf numFmtId="0" fontId="3" fillId="10" borderId="68" xfId="0" applyFont="1" applyFill="1" applyBorder="1" applyAlignment="1" applyProtection="1">
      <alignment horizontal="center" vertical="center" wrapText="1"/>
      <protection locked="0"/>
    </xf>
    <xf numFmtId="0" fontId="3" fillId="10" borderId="72" xfId="0" applyFont="1" applyFill="1" applyBorder="1" applyAlignment="1" applyProtection="1">
      <alignment horizontal="center" vertical="center" wrapText="1"/>
      <protection locked="0"/>
    </xf>
    <xf numFmtId="0" fontId="3" fillId="10" borderId="69" xfId="0" applyFont="1" applyFill="1" applyBorder="1" applyAlignment="1" applyProtection="1">
      <alignment horizontal="center" vertical="center" wrapText="1"/>
      <protection locked="0"/>
    </xf>
    <xf numFmtId="0" fontId="5" fillId="0" borderId="44" xfId="0" applyFont="1" applyFill="1" applyBorder="1" applyAlignment="1">
      <alignment wrapText="1"/>
    </xf>
    <xf numFmtId="0" fontId="5" fillId="0" borderId="44" xfId="0" applyFont="1" applyFill="1" applyBorder="1" applyAlignment="1">
      <alignment vertical="center" wrapText="1"/>
    </xf>
    <xf numFmtId="0" fontId="5" fillId="0" borderId="67" xfId="0" applyFont="1" applyFill="1" applyBorder="1" applyAlignment="1">
      <alignment vertical="center" wrapText="1"/>
    </xf>
    <xf numFmtId="0" fontId="5" fillId="0" borderId="41" xfId="0" applyFont="1" applyFill="1" applyBorder="1" applyAlignment="1">
      <alignment vertical="center" wrapText="1"/>
    </xf>
    <xf numFmtId="0" fontId="5" fillId="0" borderId="41" xfId="0" applyFont="1" applyFill="1" applyBorder="1" applyAlignment="1">
      <alignment wrapText="1"/>
    </xf>
    <xf numFmtId="0" fontId="5" fillId="0" borderId="67" xfId="0" applyFont="1" applyFill="1" applyBorder="1" applyAlignment="1">
      <alignment wrapText="1"/>
    </xf>
    <xf numFmtId="0" fontId="5" fillId="5" borderId="0" xfId="0" applyFont="1" applyFill="1" applyAlignment="1">
      <alignment wrapText="1"/>
    </xf>
    <xf numFmtId="0" fontId="5" fillId="0" borderId="1" xfId="0" applyFont="1" applyBorder="1" applyAlignment="1" applyProtection="1">
      <alignment horizontal="left" vertical="center" wrapText="1"/>
    </xf>
    <xf numFmtId="0" fontId="5" fillId="0" borderId="0" xfId="0" applyFont="1" applyAlignment="1" applyProtection="1">
      <alignment horizontal="center" vertical="center" wrapText="1"/>
    </xf>
    <xf numFmtId="0" fontId="4" fillId="0" borderId="2" xfId="0" applyFont="1" applyBorder="1" applyAlignment="1">
      <alignment horizontal="left" vertical="center"/>
    </xf>
    <xf numFmtId="0" fontId="5" fillId="0" borderId="4" xfId="0" applyFont="1" applyBorder="1" applyAlignment="1">
      <alignment wrapText="1"/>
    </xf>
    <xf numFmtId="0" fontId="4" fillId="18" borderId="66" xfId="0" applyFont="1" applyFill="1" applyBorder="1" applyAlignment="1">
      <alignment horizontal="center" vertical="center" wrapText="1"/>
    </xf>
    <xf numFmtId="0" fontId="4" fillId="19" borderId="18" xfId="0" applyFont="1" applyFill="1" applyBorder="1" applyAlignment="1">
      <alignment horizontal="center" vertical="center" wrapText="1"/>
    </xf>
    <xf numFmtId="0" fontId="4" fillId="3" borderId="18" xfId="0" applyFont="1" applyFill="1" applyBorder="1" applyAlignment="1">
      <alignment horizontal="center" vertical="center" wrapText="1"/>
    </xf>
    <xf numFmtId="0" fontId="5" fillId="15" borderId="0" xfId="0" applyFont="1" applyFill="1" applyBorder="1" applyAlignment="1">
      <alignment horizontal="left" vertical="center" wrapText="1"/>
    </xf>
    <xf numFmtId="0" fontId="3" fillId="5" borderId="73" xfId="0" applyFont="1" applyFill="1" applyBorder="1" applyAlignment="1">
      <alignment horizontal="left" vertical="center" wrapText="1"/>
    </xf>
    <xf numFmtId="0" fontId="3" fillId="5" borderId="74" xfId="0" applyFont="1" applyFill="1" applyBorder="1" applyAlignment="1">
      <alignment horizontal="left" vertical="center" wrapText="1"/>
    </xf>
    <xf numFmtId="0" fontId="3" fillId="5" borderId="75" xfId="0" applyFont="1" applyFill="1" applyBorder="1" applyAlignment="1">
      <alignment horizontal="left" vertical="center" wrapText="1"/>
    </xf>
    <xf numFmtId="0" fontId="3" fillId="6" borderId="73" xfId="0" applyFont="1" applyFill="1" applyBorder="1" applyAlignment="1">
      <alignment horizontal="left" vertical="center" wrapText="1"/>
    </xf>
    <xf numFmtId="0" fontId="3" fillId="10" borderId="74" xfId="0" applyFont="1" applyFill="1" applyBorder="1" applyAlignment="1">
      <alignment horizontal="left" vertical="center" wrapText="1"/>
    </xf>
    <xf numFmtId="0" fontId="3" fillId="9" borderId="74" xfId="0" applyFont="1" applyFill="1" applyBorder="1" applyAlignment="1">
      <alignment horizontal="left" vertical="center" wrapText="1"/>
    </xf>
    <xf numFmtId="0" fontId="3" fillId="6" borderId="74" xfId="0" applyFont="1" applyFill="1" applyBorder="1" applyAlignment="1">
      <alignment horizontal="left" vertical="center" wrapText="1"/>
    </xf>
    <xf numFmtId="0" fontId="3" fillId="9" borderId="75" xfId="0" applyFont="1" applyFill="1" applyBorder="1" applyAlignment="1">
      <alignment horizontal="left" vertical="center" wrapText="1"/>
    </xf>
    <xf numFmtId="0" fontId="3" fillId="3" borderId="73" xfId="0" applyFont="1" applyFill="1" applyBorder="1" applyAlignment="1">
      <alignment horizontal="left" vertical="center" wrapText="1"/>
    </xf>
    <xf numFmtId="0" fontId="3" fillId="3" borderId="74" xfId="0" applyFont="1" applyFill="1" applyBorder="1" applyAlignment="1">
      <alignment horizontal="left" vertical="center" wrapText="1"/>
    </xf>
    <xf numFmtId="0" fontId="3" fillId="6" borderId="74" xfId="0" applyFont="1" applyFill="1" applyBorder="1" applyAlignment="1" applyProtection="1">
      <alignment horizontal="left" vertical="center" wrapText="1"/>
    </xf>
    <xf numFmtId="0" fontId="3" fillId="3" borderId="75" xfId="0" applyFont="1" applyFill="1" applyBorder="1" applyAlignment="1">
      <alignment horizontal="left" vertical="center" wrapText="1"/>
    </xf>
    <xf numFmtId="0" fontId="14" fillId="7" borderId="1" xfId="0" applyFont="1" applyFill="1" applyBorder="1" applyAlignment="1">
      <alignment horizontal="center" vertical="center" wrapText="1"/>
    </xf>
    <xf numFmtId="0" fontId="14" fillId="7" borderId="1" xfId="0" applyFont="1" applyFill="1" applyBorder="1" applyAlignment="1">
      <alignment horizontal="center" wrapText="1"/>
    </xf>
    <xf numFmtId="2" fontId="8" fillId="0" borderId="0" xfId="0" applyNumberFormat="1" applyFont="1" applyFill="1" applyAlignment="1" applyProtection="1">
      <alignment horizontal="center" vertical="center" wrapText="1"/>
      <protection locked="0"/>
    </xf>
    <xf numFmtId="0" fontId="38" fillId="0" borderId="0" xfId="3" applyFont="1" applyAlignment="1">
      <alignment horizontal="left" vertical="top" wrapText="1"/>
    </xf>
    <xf numFmtId="0" fontId="38" fillId="0" borderId="9" xfId="3" applyFont="1" applyBorder="1" applyAlignment="1">
      <alignment horizontal="left" vertical="top" wrapText="1"/>
    </xf>
    <xf numFmtId="0" fontId="38" fillId="0" borderId="9" xfId="3" applyFont="1" applyBorder="1" applyAlignment="1">
      <alignment horizontal="left" vertical="center" wrapText="1"/>
    </xf>
    <xf numFmtId="0" fontId="40" fillId="0" borderId="0" xfId="4" applyFont="1" applyAlignment="1">
      <alignment horizontal="left" vertical="top" wrapText="1"/>
    </xf>
    <xf numFmtId="0" fontId="40" fillId="0" borderId="0" xfId="4" applyFont="1" applyBorder="1" applyAlignment="1">
      <alignment horizontal="left" vertical="top" wrapText="1"/>
    </xf>
    <xf numFmtId="0" fontId="38" fillId="0" borderId="9" xfId="3" applyFont="1" applyBorder="1" applyAlignment="1">
      <alignment vertical="center" wrapText="1"/>
    </xf>
    <xf numFmtId="0" fontId="40" fillId="0" borderId="0" xfId="4" applyFont="1" applyAlignment="1">
      <alignment vertical="top" wrapText="1"/>
    </xf>
    <xf numFmtId="0" fontId="41" fillId="0" borderId="9" xfId="3" applyFont="1" applyBorder="1" applyAlignment="1">
      <alignment vertical="center" wrapText="1"/>
    </xf>
    <xf numFmtId="0" fontId="38" fillId="0" borderId="0" xfId="3" applyFont="1" applyAlignment="1">
      <alignment vertical="top" wrapText="1"/>
    </xf>
    <xf numFmtId="0" fontId="41" fillId="0" borderId="0" xfId="3" applyFont="1" applyAlignment="1">
      <alignment horizontal="left" vertical="top" wrapText="1"/>
    </xf>
    <xf numFmtId="0" fontId="35" fillId="20" borderId="2" xfId="0" applyFont="1" applyFill="1" applyBorder="1" applyAlignment="1">
      <alignment horizontal="center" vertical="center"/>
    </xf>
    <xf numFmtId="0" fontId="35" fillId="20" borderId="3" xfId="0" applyFont="1" applyFill="1" applyBorder="1" applyAlignment="1">
      <alignment horizontal="center" vertical="center"/>
    </xf>
    <xf numFmtId="0" fontId="35" fillId="20" borderId="4" xfId="0" applyFont="1" applyFill="1" applyBorder="1" applyAlignment="1">
      <alignment horizontal="center" vertical="center"/>
    </xf>
    <xf numFmtId="0" fontId="36" fillId="21" borderId="1" xfId="0" applyFont="1" applyFill="1" applyBorder="1" applyAlignment="1">
      <alignment horizontal="left" vertical="center" wrapText="1"/>
    </xf>
    <xf numFmtId="0" fontId="17" fillId="8" borderId="2" xfId="0" applyFont="1" applyFill="1" applyBorder="1" applyAlignment="1">
      <alignment horizontal="left" vertical="center" wrapText="1"/>
    </xf>
    <xf numFmtId="0" fontId="17" fillId="8" borderId="3" xfId="0" applyFont="1" applyFill="1" applyBorder="1" applyAlignment="1">
      <alignment horizontal="left" vertical="center" wrapText="1"/>
    </xf>
    <xf numFmtId="0" fontId="17" fillId="8" borderId="4" xfId="0" applyFont="1" applyFill="1" applyBorder="1" applyAlignment="1">
      <alignment horizontal="left" vertical="center" wrapText="1"/>
    </xf>
    <xf numFmtId="0" fontId="14" fillId="8" borderId="12" xfId="0" applyFont="1" applyFill="1" applyBorder="1" applyAlignment="1">
      <alignment horizontal="center" vertical="center"/>
    </xf>
    <xf numFmtId="0" fontId="14" fillId="8" borderId="13" xfId="0" applyFont="1" applyFill="1" applyBorder="1" applyAlignment="1">
      <alignment horizontal="center" vertical="center"/>
    </xf>
    <xf numFmtId="0" fontId="14" fillId="8" borderId="14" xfId="0" applyFont="1" applyFill="1" applyBorder="1" applyAlignment="1">
      <alignment horizontal="center" vertical="center"/>
    </xf>
    <xf numFmtId="0" fontId="5" fillId="0" borderId="11" xfId="0" applyFont="1" applyBorder="1" applyAlignment="1">
      <alignment vertical="center" wrapText="1"/>
    </xf>
    <xf numFmtId="0" fontId="5" fillId="0" borderId="0" xfId="0" applyFont="1" applyBorder="1" applyAlignment="1">
      <alignment vertical="center" wrapText="1"/>
    </xf>
    <xf numFmtId="0" fontId="5" fillId="0" borderId="1" xfId="0" applyFont="1" applyBorder="1" applyAlignment="1">
      <alignment horizontal="left" vertical="center" wrapText="1"/>
    </xf>
    <xf numFmtId="0" fontId="16" fillId="0" borderId="2" xfId="0" applyFont="1" applyBorder="1" applyAlignment="1">
      <alignment horizontal="center" vertical="center" wrapText="1"/>
    </xf>
    <xf numFmtId="0" fontId="16" fillId="0" borderId="4" xfId="0" applyFont="1" applyBorder="1" applyAlignment="1">
      <alignment horizontal="center" vertical="center" wrapText="1"/>
    </xf>
    <xf numFmtId="0" fontId="5" fillId="0" borderId="2" xfId="0" applyFont="1" applyBorder="1" applyAlignment="1">
      <alignment horizontal="center" vertical="center" wrapText="1"/>
    </xf>
    <xf numFmtId="0" fontId="5" fillId="0" borderId="4" xfId="0" applyFont="1" applyBorder="1" applyAlignment="1">
      <alignment horizontal="center" vertical="center" wrapText="1"/>
    </xf>
    <xf numFmtId="0" fontId="5" fillId="0" borderId="2" xfId="0" applyFont="1" applyBorder="1" applyAlignment="1">
      <alignment horizontal="left" vertical="center" wrapText="1"/>
    </xf>
    <xf numFmtId="0" fontId="32" fillId="4" borderId="2" xfId="0" applyFont="1" applyFill="1" applyBorder="1" applyAlignment="1">
      <alignment horizontal="center" vertical="center" wrapText="1"/>
    </xf>
    <xf numFmtId="0" fontId="32" fillId="4" borderId="3" xfId="0" applyFont="1" applyFill="1" applyBorder="1" applyAlignment="1">
      <alignment horizontal="center" vertical="center" wrapText="1"/>
    </xf>
    <xf numFmtId="0" fontId="32" fillId="4" borderId="4" xfId="0" applyFont="1" applyFill="1" applyBorder="1" applyAlignment="1">
      <alignment horizontal="center" vertical="center" wrapText="1"/>
    </xf>
    <xf numFmtId="0" fontId="32" fillId="4" borderId="2" xfId="0" applyFont="1" applyFill="1" applyBorder="1" applyAlignment="1">
      <alignment horizontal="left" vertical="center" wrapText="1"/>
    </xf>
    <xf numFmtId="0" fontId="32" fillId="4" borderId="3" xfId="0" applyFont="1" applyFill="1" applyBorder="1" applyAlignment="1">
      <alignment horizontal="left" vertical="center" wrapText="1"/>
    </xf>
    <xf numFmtId="0" fontId="32" fillId="4" borderId="4" xfId="0" applyFont="1" applyFill="1" applyBorder="1" applyAlignment="1">
      <alignment horizontal="left" vertical="center" wrapText="1"/>
    </xf>
    <xf numFmtId="0" fontId="14" fillId="8" borderId="12" xfId="0" applyFont="1" applyFill="1" applyBorder="1" applyAlignment="1">
      <alignment horizontal="center" vertical="center" wrapText="1"/>
    </xf>
    <xf numFmtId="0" fontId="14" fillId="8" borderId="13" xfId="0" applyFont="1" applyFill="1" applyBorder="1" applyAlignment="1">
      <alignment horizontal="center" vertical="center" wrapText="1"/>
    </xf>
    <xf numFmtId="0" fontId="14" fillId="8" borderId="14" xfId="0" applyFont="1" applyFill="1" applyBorder="1" applyAlignment="1">
      <alignment horizontal="center" vertical="center" wrapText="1"/>
    </xf>
    <xf numFmtId="0" fontId="5" fillId="0" borderId="2" xfId="0" applyNumberFormat="1" applyFont="1" applyBorder="1" applyAlignment="1" applyProtection="1">
      <alignment horizontal="left" vertical="center"/>
      <protection locked="0"/>
    </xf>
    <xf numFmtId="0" fontId="5" fillId="0" borderId="4" xfId="0" applyNumberFormat="1" applyFont="1" applyBorder="1" applyAlignment="1" applyProtection="1">
      <alignment horizontal="left" vertical="center"/>
      <protection locked="0"/>
    </xf>
    <xf numFmtId="166" fontId="5" fillId="0" borderId="2" xfId="0" applyNumberFormat="1" applyFont="1" applyBorder="1" applyAlignment="1" applyProtection="1">
      <alignment horizontal="left" vertical="center"/>
      <protection locked="0"/>
    </xf>
    <xf numFmtId="166" fontId="5" fillId="0" borderId="4" xfId="0" applyNumberFormat="1" applyFont="1" applyBorder="1" applyAlignment="1" applyProtection="1">
      <alignment horizontal="left" vertical="center"/>
      <protection locked="0"/>
    </xf>
    <xf numFmtId="0" fontId="32" fillId="4" borderId="1" xfId="0" applyFont="1" applyFill="1" applyBorder="1" applyAlignment="1">
      <alignment horizontal="left" vertical="center" wrapText="1"/>
    </xf>
    <xf numFmtId="0" fontId="14" fillId="8" borderId="12" xfId="0" applyFont="1" applyFill="1" applyBorder="1" applyAlignment="1" applyProtection="1">
      <alignment horizontal="center" vertical="center" wrapText="1"/>
    </xf>
    <xf numFmtId="0" fontId="14" fillId="8" borderId="13" xfId="0" applyFont="1" applyFill="1" applyBorder="1" applyAlignment="1" applyProtection="1">
      <alignment horizontal="center" vertical="center" wrapText="1"/>
    </xf>
    <xf numFmtId="0" fontId="14" fillId="8" borderId="14" xfId="0" applyFont="1" applyFill="1" applyBorder="1" applyAlignment="1" applyProtection="1">
      <alignment horizontal="center" vertical="center" wrapText="1"/>
    </xf>
    <xf numFmtId="0" fontId="14" fillId="8" borderId="8" xfId="0" applyFont="1" applyFill="1" applyBorder="1" applyAlignment="1">
      <alignment horizontal="center" vertical="center"/>
    </xf>
    <xf numFmtId="0" fontId="14" fillId="8" borderId="9" xfId="0" applyFont="1" applyFill="1" applyBorder="1" applyAlignment="1">
      <alignment horizontal="center" vertical="center"/>
    </xf>
    <xf numFmtId="0" fontId="14" fillId="0" borderId="1" xfId="0" applyFont="1" applyBorder="1" applyAlignment="1">
      <alignment horizontal="center" vertical="center"/>
    </xf>
    <xf numFmtId="0" fontId="31" fillId="3" borderId="2" xfId="0" applyFont="1" applyFill="1" applyBorder="1" applyAlignment="1">
      <alignment horizontal="center" vertical="center" wrapText="1"/>
    </xf>
    <xf numFmtId="0" fontId="31" fillId="3" borderId="4" xfId="0" applyFont="1" applyFill="1" applyBorder="1" applyAlignment="1">
      <alignment horizontal="center" vertical="center" wrapText="1"/>
    </xf>
    <xf numFmtId="0" fontId="32" fillId="4" borderId="19" xfId="0" applyFont="1" applyFill="1" applyBorder="1" applyAlignment="1">
      <alignment horizontal="center" vertical="center" wrapText="1"/>
    </xf>
    <xf numFmtId="0" fontId="32" fillId="4" borderId="20" xfId="0" applyFont="1" applyFill="1" applyBorder="1" applyAlignment="1">
      <alignment horizontal="center" vertical="center" wrapText="1"/>
    </xf>
    <xf numFmtId="0" fontId="32" fillId="4" borderId="21" xfId="0" applyFont="1" applyFill="1" applyBorder="1" applyAlignment="1">
      <alignment horizontal="center" vertical="center" wrapText="1"/>
    </xf>
    <xf numFmtId="0" fontId="18" fillId="8" borderId="22" xfId="0" applyFont="1" applyFill="1" applyBorder="1" applyAlignment="1" applyProtection="1">
      <alignment horizontal="center" vertical="center"/>
      <protection locked="0"/>
    </xf>
    <xf numFmtId="0" fontId="18" fillId="8" borderId="23" xfId="0" applyFont="1" applyFill="1" applyBorder="1" applyAlignment="1" applyProtection="1">
      <alignment horizontal="center" vertical="center"/>
      <protection locked="0"/>
    </xf>
    <xf numFmtId="0" fontId="18" fillId="8" borderId="24" xfId="0" applyFont="1" applyFill="1" applyBorder="1" applyAlignment="1" applyProtection="1">
      <alignment horizontal="center" vertical="center"/>
      <protection locked="0"/>
    </xf>
    <xf numFmtId="0" fontId="21" fillId="0" borderId="22" xfId="0" applyFont="1" applyBorder="1" applyAlignment="1" applyProtection="1">
      <alignment horizontal="center" wrapText="1"/>
      <protection locked="0"/>
    </xf>
    <xf numFmtId="0" fontId="21" fillId="0" borderId="24" xfId="0" applyFont="1" applyBorder="1" applyAlignment="1" applyProtection="1">
      <alignment horizontal="center" wrapText="1"/>
      <protection locked="0"/>
    </xf>
    <xf numFmtId="0" fontId="3" fillId="10" borderId="25" xfId="0" applyFont="1" applyFill="1" applyBorder="1" applyAlignment="1" applyProtection="1">
      <alignment horizontal="center" vertical="center" wrapText="1"/>
      <protection locked="0"/>
    </xf>
    <xf numFmtId="0" fontId="3" fillId="10" borderId="26" xfId="0" applyFont="1" applyFill="1" applyBorder="1" applyAlignment="1" applyProtection="1">
      <alignment horizontal="center" vertical="center" wrapText="1"/>
      <protection locked="0"/>
    </xf>
    <xf numFmtId="0" fontId="3" fillId="10" borderId="27" xfId="0" applyFont="1" applyFill="1" applyBorder="1" applyAlignment="1" applyProtection="1">
      <alignment horizontal="center" vertical="center" wrapText="1"/>
      <protection locked="0"/>
    </xf>
    <xf numFmtId="0" fontId="23" fillId="8" borderId="22" xfId="0" applyFont="1" applyFill="1" applyBorder="1" applyAlignment="1" applyProtection="1">
      <alignment horizontal="center" vertical="center" wrapText="1"/>
      <protection locked="0"/>
    </xf>
    <xf numFmtId="0" fontId="23" fillId="8" borderId="23" xfId="0" applyFont="1" applyFill="1" applyBorder="1" applyAlignment="1" applyProtection="1">
      <alignment horizontal="center" vertical="center" wrapText="1"/>
      <protection locked="0"/>
    </xf>
    <xf numFmtId="0" fontId="23" fillId="8" borderId="24" xfId="0" applyFont="1" applyFill="1" applyBorder="1" applyAlignment="1" applyProtection="1">
      <alignment horizontal="center" vertical="center" wrapText="1"/>
      <protection locked="0"/>
    </xf>
    <xf numFmtId="0" fontId="24" fillId="0" borderId="22" xfId="0" applyFont="1" applyBorder="1" applyAlignment="1" applyProtection="1">
      <alignment horizontal="center" vertical="center" wrapText="1"/>
      <protection locked="0"/>
    </xf>
    <xf numFmtId="0" fontId="24" fillId="0" borderId="24" xfId="0" applyFont="1" applyBorder="1" applyAlignment="1" applyProtection="1">
      <alignment horizontal="center" vertical="center" wrapText="1"/>
      <protection locked="0"/>
    </xf>
    <xf numFmtId="0" fontId="3" fillId="10" borderId="58" xfId="0" applyFont="1" applyFill="1" applyBorder="1" applyAlignment="1" applyProtection="1">
      <alignment horizontal="center" vertical="center" wrapText="1"/>
      <protection locked="0"/>
    </xf>
    <xf numFmtId="0" fontId="3" fillId="10" borderId="19" xfId="0" applyFont="1" applyFill="1" applyBorder="1" applyAlignment="1" applyProtection="1">
      <alignment horizontal="center" vertical="center" wrapText="1"/>
      <protection locked="0"/>
    </xf>
    <xf numFmtId="0" fontId="3" fillId="10" borderId="21" xfId="0" applyFont="1" applyFill="1" applyBorder="1" applyAlignment="1" applyProtection="1">
      <alignment horizontal="center" vertical="center" wrapText="1"/>
      <protection locked="0"/>
    </xf>
    <xf numFmtId="0" fontId="3" fillId="10" borderId="59" xfId="0" applyFont="1" applyFill="1" applyBorder="1" applyAlignment="1" applyProtection="1">
      <alignment horizontal="center" vertical="center" wrapText="1"/>
      <protection locked="0"/>
    </xf>
    <xf numFmtId="0" fontId="3" fillId="10" borderId="60" xfId="0" applyFont="1" applyFill="1" applyBorder="1" applyAlignment="1" applyProtection="1">
      <alignment horizontal="center" vertical="center" wrapText="1"/>
      <protection locked="0"/>
    </xf>
    <xf numFmtId="0" fontId="3" fillId="10" borderId="51" xfId="0" applyFont="1" applyFill="1" applyBorder="1" applyAlignment="1" applyProtection="1">
      <alignment horizontal="center" vertical="center" wrapText="1"/>
      <protection locked="0"/>
    </xf>
    <xf numFmtId="0" fontId="3" fillId="10" borderId="61" xfId="0" applyFont="1" applyFill="1" applyBorder="1" applyAlignment="1" applyProtection="1">
      <alignment horizontal="center" vertical="center" wrapText="1"/>
      <protection locked="0"/>
    </xf>
    <xf numFmtId="0" fontId="3" fillId="10" borderId="62" xfId="0" applyFont="1" applyFill="1" applyBorder="1" applyAlignment="1" applyProtection="1">
      <alignment horizontal="center" vertical="center" wrapText="1"/>
      <protection locked="0"/>
    </xf>
    <xf numFmtId="0" fontId="21" fillId="16" borderId="0" xfId="0" applyFont="1" applyFill="1" applyBorder="1" applyAlignment="1" applyProtection="1">
      <alignment horizontal="center" vertical="center" wrapText="1"/>
      <protection locked="0"/>
    </xf>
    <xf numFmtId="0" fontId="31" fillId="4" borderId="1" xfId="0" applyFont="1" applyFill="1" applyBorder="1" applyAlignment="1">
      <alignment horizontal="center" vertical="center" wrapText="1"/>
    </xf>
    <xf numFmtId="0" fontId="31" fillId="4" borderId="2" xfId="0" applyFont="1" applyFill="1" applyBorder="1" applyAlignment="1">
      <alignment horizontal="center" vertical="center" wrapText="1"/>
    </xf>
    <xf numFmtId="0" fontId="31" fillId="4" borderId="3" xfId="0" applyFont="1" applyFill="1" applyBorder="1" applyAlignment="1">
      <alignment horizontal="center" vertical="center" wrapText="1"/>
    </xf>
    <xf numFmtId="0" fontId="31" fillId="4" borderId="4" xfId="0" applyFont="1" applyFill="1" applyBorder="1" applyAlignment="1">
      <alignment horizontal="center" vertical="center" wrapText="1"/>
    </xf>
    <xf numFmtId="0" fontId="5" fillId="0" borderId="1" xfId="0" applyFont="1" applyBorder="1" applyAlignment="1" applyProtection="1">
      <alignment horizontal="left" vertical="center"/>
      <protection locked="0"/>
    </xf>
    <xf numFmtId="15" fontId="5" fillId="0" borderId="1" xfId="0" applyNumberFormat="1" applyFont="1" applyBorder="1" applyAlignment="1" applyProtection="1">
      <alignment horizontal="left" vertical="center"/>
      <protection locked="0"/>
    </xf>
    <xf numFmtId="0" fontId="33" fillId="17" borderId="0" xfId="0" applyFont="1" applyFill="1" applyAlignment="1" applyProtection="1">
      <alignment horizontal="center" vertical="center" wrapText="1"/>
    </xf>
    <xf numFmtId="0" fontId="3" fillId="10" borderId="52" xfId="0" applyFont="1" applyFill="1" applyBorder="1" applyAlignment="1" applyProtection="1">
      <alignment horizontal="center" vertical="center" wrapText="1"/>
      <protection locked="0"/>
    </xf>
    <xf numFmtId="0" fontId="3" fillId="10" borderId="53" xfId="0" applyFont="1" applyFill="1" applyBorder="1" applyAlignment="1" applyProtection="1">
      <alignment horizontal="center" vertical="center" wrapText="1"/>
      <protection locked="0"/>
    </xf>
    <xf numFmtId="0" fontId="3" fillId="10" borderId="50" xfId="0" applyFont="1" applyFill="1" applyBorder="1" applyAlignment="1" applyProtection="1">
      <alignment horizontal="center" vertical="center" wrapText="1"/>
      <protection locked="0"/>
    </xf>
    <xf numFmtId="0" fontId="3" fillId="10" borderId="20" xfId="0" applyFont="1" applyFill="1" applyBorder="1" applyAlignment="1" applyProtection="1">
      <alignment horizontal="center" vertical="center" wrapText="1"/>
      <protection locked="0"/>
    </xf>
    <xf numFmtId="0" fontId="3" fillId="10" borderId="55" xfId="0" applyFont="1" applyFill="1" applyBorder="1" applyAlignment="1" applyProtection="1">
      <alignment horizontal="center" vertical="center" wrapText="1"/>
      <protection locked="0"/>
    </xf>
    <xf numFmtId="0" fontId="33" fillId="17" borderId="0" xfId="0" applyFont="1" applyFill="1" applyAlignment="1" applyProtection="1">
      <alignment horizontal="center" vertical="center" wrapText="1"/>
      <protection locked="0"/>
    </xf>
  </cellXfs>
  <cellStyles count="5">
    <cellStyle name="Currency" xfId="2" builtinId="4"/>
    <cellStyle name="Hyperlink 2" xfId="4" xr:uid="{73CED877-CCB0-41AF-971E-B1160EF99993}"/>
    <cellStyle name="Normal" xfId="0" builtinId="0"/>
    <cellStyle name="Normal 2" xfId="3" xr:uid="{32F24D65-9528-4575-AA3A-B4290DF1E31B}"/>
    <cellStyle name="Percent" xfId="1" builtinId="5"/>
  </cellStyles>
  <dxfs count="280">
    <dxf>
      <font>
        <strike val="0"/>
        <outline val="0"/>
        <shadow val="0"/>
        <vertAlign val="baseline"/>
        <sz val="10"/>
        <name val="Arial"/>
        <family val="2"/>
        <scheme val="none"/>
      </font>
      <numFmt numFmtId="0" formatCode="General"/>
      <alignment horizontal="center" vertical="center" textRotation="0" wrapText="0" indent="0" justifyLastLine="0" shrinkToFit="0" readingOrder="0"/>
    </dxf>
    <dxf>
      <font>
        <strike val="0"/>
        <outline val="0"/>
        <shadow val="0"/>
        <vertAlign val="baseline"/>
        <sz val="10"/>
        <name val="Arial"/>
        <family val="2"/>
        <scheme val="none"/>
      </font>
      <alignment horizontal="center" vertical="center" textRotation="0" wrapText="0" indent="0" justifyLastLine="0" shrinkToFit="0" readingOrder="0"/>
    </dxf>
    <dxf>
      <font>
        <strike val="0"/>
        <outline val="0"/>
        <shadow val="0"/>
        <vertAlign val="baseline"/>
        <sz val="10"/>
        <name val="Arial"/>
        <family val="2"/>
        <scheme val="none"/>
      </font>
      <alignment horizontal="right" vertical="center" textRotation="0" wrapText="0" indent="0" justifyLastLine="0" shrinkToFit="0" readingOrder="0"/>
    </dxf>
    <dxf>
      <font>
        <strike val="0"/>
        <outline val="0"/>
        <shadow val="0"/>
        <vertAlign val="baseline"/>
        <sz val="10"/>
        <name val="Arial"/>
        <family val="2"/>
        <scheme val="none"/>
      </font>
      <alignment horizontal="right" vertical="center" textRotation="0" wrapText="0" indent="0" justifyLastLine="0" shrinkToFit="0" readingOrder="0"/>
    </dxf>
    <dxf>
      <font>
        <strike val="0"/>
        <outline val="0"/>
        <shadow val="0"/>
        <vertAlign val="baseline"/>
        <sz val="10"/>
        <name val="Arial"/>
        <family val="2"/>
        <scheme val="none"/>
      </font>
      <fill>
        <patternFill patternType="solid">
          <fgColor indexed="64"/>
          <bgColor rgb="FF002060"/>
        </patternFill>
      </fill>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 formatCode="0"/>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164" formatCode="_(&quot;$&quot;* #,##0_);_(&quot;$&quot;* \(#,##0\);_(&quot;$&quot;* &quot;-&quot;??_);_(@_)"/>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164" formatCode="_(&quot;$&quot;* #,##0_);_(&quot;$&quot;* \(#,##0\);_(&quot;$&quot;* &quot;-&quot;??_);_(@_)"/>
      <fill>
        <patternFill patternType="none">
          <fgColor indexed="64"/>
          <bgColor auto="1"/>
        </patternFill>
      </fill>
      <alignment horizontal="center" vertical="center" textRotation="0" wrapText="1" indent="0" justifyLastLine="0" shrinkToFit="0" readingOrder="0"/>
      <protection locked="0" hidden="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protection locked="0" hidden="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protection locked="0" hidden="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protection locked="0" hidden="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i/>
        <strike val="0"/>
        <condense val="0"/>
        <extend val="0"/>
        <outline val="0"/>
        <shadow val="0"/>
        <u/>
        <vertAlign val="baseline"/>
        <sz val="10"/>
        <color rgb="FF7030A0"/>
        <name val="Arial"/>
        <family val="2"/>
        <scheme val="none"/>
      </font>
      <numFmt numFmtId="1" formatCode="0"/>
      <fill>
        <patternFill patternType="none">
          <fgColor indexed="64"/>
          <bgColor indexed="65"/>
        </patternFill>
      </fill>
      <alignment horizontal="center" vertical="center" textRotation="0" wrapText="1" indent="0" justifyLastLine="0" shrinkToFit="0" readingOrder="0"/>
      <protection locked="0" hidden="0"/>
    </dxf>
    <dxf>
      <font>
        <b/>
        <i/>
        <strike val="0"/>
        <condense val="0"/>
        <extend val="0"/>
        <outline val="0"/>
        <shadow val="0"/>
        <u/>
        <vertAlign val="baseline"/>
        <sz val="10"/>
        <color rgb="FF000000"/>
        <name val="Arial"/>
        <family val="2"/>
        <scheme val="none"/>
      </font>
      <numFmt numFmtId="1" formatCode="0"/>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dxf>
    <dxf>
      <font>
        <b/>
        <i/>
        <strike val="0"/>
        <condense val="0"/>
        <extend val="0"/>
        <outline val="0"/>
        <shadow val="0"/>
        <u/>
        <vertAlign val="baseline"/>
        <sz val="10"/>
        <color rgb="FF7030A0"/>
        <name val="Arial"/>
        <family val="2"/>
        <scheme val="none"/>
      </font>
      <numFmt numFmtId="1" formatCode="0"/>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auto="1"/>
        </patternFill>
      </fill>
      <alignment horizontal="left" vertical="center" textRotation="0" wrapText="1" indent="0" justifyLastLine="0" shrinkToFit="0" readingOrder="0"/>
      <border diagonalUp="0" diagonalDown="0" outline="0">
        <left/>
        <right/>
        <top style="medium">
          <color rgb="FF0086BF"/>
        </top>
        <bottom style="medium">
          <color rgb="FF0086BF"/>
        </bottom>
      </border>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auto="1"/>
        </patternFill>
      </fill>
      <alignment horizontal="left" vertical="center" textRotation="0" wrapText="1" indent="0" justifyLastLine="0" shrinkToFit="0" readingOrder="0"/>
      <protection locked="0" hidden="0"/>
    </dxf>
    <dxf>
      <font>
        <b val="0"/>
        <strike val="0"/>
        <outline val="0"/>
        <shadow val="0"/>
        <vertAlign val="baseline"/>
        <sz val="10"/>
        <name val="Arial"/>
        <family val="2"/>
        <scheme val="none"/>
      </font>
      <fill>
        <patternFill patternType="none">
          <fgColor rgb="FF000000"/>
          <bgColor auto="1"/>
        </patternFill>
      </fill>
    </dxf>
    <dxf>
      <font>
        <b/>
        <i val="0"/>
        <strike val="0"/>
        <condense val="0"/>
        <extend val="0"/>
        <outline val="0"/>
        <shadow val="0"/>
        <u val="none"/>
        <vertAlign val="baseline"/>
        <sz val="10"/>
        <color theme="1"/>
        <name val="Arial"/>
        <family val="2"/>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border diagonalUp="0" diagonalDown="0" outline="0">
        <left/>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theme="1"/>
        <name val="Arial"/>
        <family val="2"/>
        <scheme val="none"/>
      </font>
      <alignment vertical="center" textRotation="0" indent="0" justifyLastLine="0" shrinkToFit="0" readingOrder="0"/>
    </dxf>
    <dxf>
      <border>
        <bottom style="thin">
          <color indexed="64"/>
        </bottom>
      </border>
    </dxf>
    <dxf>
      <font>
        <strike val="0"/>
        <outline val="0"/>
        <shadow val="0"/>
        <u val="none"/>
        <vertAlign val="baseline"/>
        <sz val="11"/>
        <color theme="1"/>
        <name val="Arial"/>
        <family val="2"/>
        <scheme val="none"/>
      </font>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i val="0"/>
        <strike val="0"/>
        <condense val="0"/>
        <extend val="0"/>
        <outline val="0"/>
        <shadow val="0"/>
        <u val="none"/>
        <vertAlign val="baseline"/>
        <sz val="10"/>
        <color rgb="FF7030A0"/>
        <name val="Arial"/>
        <family val="2"/>
        <scheme val="none"/>
      </font>
      <numFmt numFmtId="0" formatCode="General"/>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protection locked="0" hidden="0"/>
    </dxf>
    <dxf>
      <font>
        <b/>
        <i val="0"/>
        <strike val="0"/>
        <condense val="0"/>
        <extend val="0"/>
        <outline val="0"/>
        <shadow val="0"/>
        <u val="none"/>
        <vertAlign val="baseline"/>
        <sz val="10"/>
        <color rgb="FF7030A0"/>
        <name val="Arial"/>
        <family val="2"/>
        <scheme val="none"/>
      </font>
      <numFmt numFmtId="0" formatCode="Genera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i val="0"/>
        <strike val="0"/>
        <condense val="0"/>
        <extend val="0"/>
        <outline val="0"/>
        <shadow val="0"/>
        <u val="none"/>
        <vertAlign val="baseline"/>
        <sz val="10"/>
        <color rgb="FF7030A0"/>
        <name val="Arial"/>
        <family val="2"/>
        <scheme val="none"/>
      </font>
      <numFmt numFmtId="0" formatCode="Genera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i val="0"/>
        <strike val="0"/>
        <condense val="0"/>
        <extend val="0"/>
        <outline val="0"/>
        <shadow val="0"/>
        <u val="none"/>
        <vertAlign val="baseline"/>
        <sz val="10"/>
        <color rgb="FF7030A0"/>
        <name val="Arial"/>
        <family val="2"/>
        <scheme val="none"/>
      </font>
      <numFmt numFmtId="0" formatCode="Genera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i val="0"/>
        <strike val="0"/>
        <condense val="0"/>
        <extend val="0"/>
        <outline val="0"/>
        <shadow val="0"/>
        <u val="none"/>
        <vertAlign val="baseline"/>
        <sz val="10"/>
        <color theme="1"/>
        <name val="Arial"/>
        <family val="2"/>
        <scheme val="none"/>
      </font>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rgb="FF7030A0"/>
        <name val="Arial"/>
        <family val="2"/>
        <scheme val="none"/>
      </font>
      <alignment horizontal="center" vertical="center" textRotation="0" wrapText="1" indent="0" justifyLastLine="0" shrinkToFit="0" readingOrder="0"/>
    </dxf>
    <dxf>
      <border>
        <bottom style="thin">
          <color indexed="64"/>
        </bottom>
      </border>
    </dxf>
    <dxf>
      <font>
        <b/>
        <i val="0"/>
        <strike val="0"/>
        <condense val="0"/>
        <extend val="0"/>
        <outline val="0"/>
        <shadow val="0"/>
        <u val="none"/>
        <vertAlign val="baseline"/>
        <sz val="11"/>
        <color theme="0"/>
        <name val="Arial"/>
        <family val="2"/>
        <scheme val="none"/>
      </font>
      <fill>
        <patternFill patternType="solid">
          <fgColor indexed="64"/>
          <bgColor rgb="FF7030A0"/>
        </patternFill>
      </fill>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numFmt numFmtId="0" formatCode="General"/>
      <alignment horizontal="left" vertical="center" textRotation="0" wrapText="1" indent="0" justifyLastLine="0" shrinkToFit="0" readingOrder="0"/>
      <border diagonalUp="0" diagonalDown="0">
        <left/>
        <right/>
        <top style="thin">
          <color indexed="64"/>
        </top>
        <bottom style="thin">
          <color indexed="64"/>
        </bottom>
      </border>
    </dxf>
    <dxf>
      <font>
        <b val="0"/>
        <i val="0"/>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theme="1"/>
        <name val="Arial"/>
        <family val="2"/>
        <scheme val="none"/>
      </font>
      <numFmt numFmtId="0" formatCode="General"/>
      <alignment horizontal="left" vertical="center"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theme="1"/>
        <name val="Arial"/>
        <family val="2"/>
        <scheme val="none"/>
      </font>
      <numFmt numFmtId="0" formatCode="General"/>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theme="1"/>
        <name val="Arial"/>
        <family val="2"/>
        <scheme val="none"/>
      </font>
      <alignment horizontal="left" vertical="center" textRotation="0" wrapText="0" indent="0" justifyLastLine="0" shrinkToFit="0" readingOrder="0"/>
      <border diagonalUp="0" diagonalDown="0" outline="0">
        <left/>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border>
        <bottom style="thin">
          <color indexed="64"/>
        </bottom>
      </border>
    </dxf>
    <dxf>
      <font>
        <strike val="0"/>
        <outline val="0"/>
        <shadow val="0"/>
        <u val="none"/>
        <vertAlign val="baseline"/>
        <sz val="11"/>
        <name val="Arial"/>
        <family val="2"/>
        <scheme val="none"/>
      </font>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0"/>
        <name val="Arial"/>
        <family val="2"/>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i/>
        <strike val="0"/>
        <outline val="0"/>
        <shadow val="0"/>
        <u val="none"/>
        <vertAlign val="baseline"/>
        <sz val="10"/>
        <name val="Arial"/>
        <family val="2"/>
        <scheme val="none"/>
      </font>
      <fill>
        <patternFill patternType="solid">
          <fgColor indexed="64"/>
          <bgColor theme="4" tint="0.79998168889431442"/>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strike val="0"/>
        <outline val="0"/>
        <shadow val="0"/>
        <u val="none"/>
        <vertAlign val="baseline"/>
        <sz val="10"/>
        <name val="Arial"/>
        <family val="2"/>
        <scheme val="none"/>
      </font>
      <fill>
        <patternFill patternType="solid">
          <fgColor indexed="64"/>
          <bgColor theme="4" tint="0.79998168889431442"/>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alignment vertical="center" textRotation="0" indent="0" justifyLastLine="0" shrinkToFit="0" readingOrder="0"/>
    </dxf>
    <dxf>
      <font>
        <strike val="0"/>
        <outline val="0"/>
        <shadow val="0"/>
        <u val="none"/>
        <vertAlign val="baseline"/>
        <sz val="11"/>
        <color theme="1"/>
        <name val="Arial"/>
        <family val="2"/>
        <scheme val="none"/>
      </font>
      <fill>
        <patternFill patternType="solid">
          <fgColor indexed="64"/>
          <bgColor rgb="FF002060"/>
        </patternFill>
      </fill>
      <alignment horizontal="center" vertical="center" textRotation="0" wrapText="1" indent="0" justifyLastLine="0" shrinkToFit="0" readingOrder="0"/>
    </dxf>
    <dxf>
      <font>
        <strike val="0"/>
        <outline val="0"/>
        <shadow val="0"/>
        <u val="none"/>
        <vertAlign val="baseline"/>
        <sz val="10"/>
        <name val="Arial"/>
        <family val="2"/>
        <scheme val="none"/>
      </font>
      <numFmt numFmtId="165" formatCode="&quot;$&quot;#,##0"/>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i/>
        <strike val="0"/>
        <outline val="0"/>
        <shadow val="0"/>
        <u val="none"/>
        <vertAlign val="baseline"/>
        <sz val="10"/>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strike val="0"/>
        <outline val="0"/>
        <shadow val="0"/>
        <u val="none"/>
        <vertAlign val="baseline"/>
        <sz val="10"/>
        <name val="Arial"/>
        <family val="2"/>
        <scheme val="none"/>
      </font>
      <fill>
        <patternFill patternType="solid">
          <fgColor indexed="64"/>
          <bgColor theme="4" tint="0.79998168889431442"/>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alignment vertical="center" textRotation="0" indent="0" justifyLastLine="0" shrinkToFit="0" readingOrder="0"/>
    </dxf>
    <dxf>
      <font>
        <strike val="0"/>
        <outline val="0"/>
        <shadow val="0"/>
        <u val="none"/>
        <vertAlign val="baseline"/>
        <sz val="11"/>
        <color theme="1"/>
        <name val="Arial"/>
        <family val="2"/>
        <scheme val="none"/>
      </font>
      <fill>
        <patternFill patternType="solid">
          <fgColor indexed="64"/>
          <bgColor rgb="FF002060"/>
        </patternFill>
      </fill>
      <alignment horizontal="center"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i/>
        <strike val="0"/>
        <outline val="0"/>
        <shadow val="0"/>
        <u val="none"/>
        <vertAlign val="baseline"/>
        <sz val="10"/>
        <name val="Arial"/>
        <family val="2"/>
        <scheme val="none"/>
      </font>
      <fill>
        <patternFill patternType="solid">
          <fgColor indexed="64"/>
          <bgColor theme="4" tint="0.79998168889431442"/>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strike val="0"/>
        <outline val="0"/>
        <shadow val="0"/>
        <u val="none"/>
        <vertAlign val="baseline"/>
        <sz val="10"/>
        <name val="Arial"/>
        <family val="2"/>
        <scheme val="none"/>
      </font>
      <fill>
        <patternFill patternType="solid">
          <fgColor indexed="64"/>
          <bgColor theme="4" tint="0.79998168889431442"/>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alignment vertical="center" textRotation="0" indent="0" justifyLastLine="0" shrinkToFit="0" readingOrder="0"/>
    </dxf>
    <dxf>
      <font>
        <strike val="0"/>
        <outline val="0"/>
        <shadow val="0"/>
        <u val="none"/>
        <vertAlign val="baseline"/>
        <sz val="11"/>
        <color theme="1"/>
        <name val="Arial"/>
        <family val="2"/>
        <scheme val="none"/>
      </font>
      <fill>
        <patternFill patternType="solid">
          <fgColor indexed="64"/>
          <bgColor rgb="FF002060"/>
        </patternFill>
      </fill>
      <alignment horizontal="center"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i/>
        <strike val="0"/>
        <outline val="0"/>
        <shadow val="0"/>
        <u val="none"/>
        <vertAlign val="baseline"/>
        <sz val="10"/>
        <name val="Arial"/>
        <family val="2"/>
        <scheme val="none"/>
      </font>
      <fill>
        <patternFill patternType="solid">
          <fgColor indexed="64"/>
          <bgColor theme="4" tint="0.79998168889431442"/>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outline val="0"/>
        <shadow val="0"/>
        <u val="none"/>
        <vertAlign val="baseline"/>
        <sz val="10"/>
        <name val="Arial"/>
        <family val="2"/>
        <scheme val="none"/>
      </font>
      <fill>
        <patternFill patternType="solid">
          <fgColor indexed="64"/>
          <bgColor theme="4" tint="0.79998168889431442"/>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alignment vertical="center" textRotation="0" indent="0" justifyLastLine="0" shrinkToFit="0" readingOrder="0"/>
    </dxf>
    <dxf>
      <font>
        <strike val="0"/>
        <outline val="0"/>
        <shadow val="0"/>
        <u val="none"/>
        <vertAlign val="baseline"/>
        <sz val="11"/>
        <color theme="1"/>
        <name val="Arial"/>
        <family val="2"/>
        <scheme val="none"/>
      </font>
      <fill>
        <patternFill patternType="solid">
          <fgColor indexed="64"/>
          <bgColor rgb="FF002060"/>
        </patternFill>
      </fill>
      <alignment horizontal="center" vertical="center" textRotation="0" wrapText="1" indent="0" justifyLastLine="0" shrinkToFit="0" readingOrder="0"/>
    </dxf>
    <dxf>
      <font>
        <strike val="0"/>
        <outline val="0"/>
        <shadow val="0"/>
        <u val="none"/>
        <vertAlign val="baseline"/>
        <sz val="10"/>
        <color theme="1"/>
        <name val="Arial"/>
        <family val="2"/>
        <scheme val="none"/>
      </font>
      <alignment horizontal="left" vertical="center" textRotation="0" wrapText="0" indent="0" justifyLastLine="0" shrinkToFit="0" readingOrder="0"/>
      <protection locked="0" hidden="0"/>
    </dxf>
    <dxf>
      <font>
        <strike val="0"/>
        <outline val="0"/>
        <shadow val="0"/>
        <u val="none"/>
        <vertAlign val="baseline"/>
        <sz val="10"/>
        <color theme="1"/>
        <name val="Arial"/>
        <family val="2"/>
        <scheme val="none"/>
      </font>
      <alignment horizontal="center" vertical="center" textRotation="0" wrapText="0" indent="0" justifyLastLine="0" shrinkToFit="0" readingOrder="0"/>
      <protection locked="0" hidden="0"/>
    </dxf>
    <dxf>
      <border diagonalUp="0" diagonalDown="0">
        <left style="medium">
          <color rgb="FF000000"/>
        </left>
        <right style="medium">
          <color rgb="FF000000"/>
        </right>
        <top style="medium">
          <color rgb="FF000000"/>
        </top>
        <bottom style="medium">
          <color rgb="FF000000"/>
        </bottom>
      </border>
    </dxf>
    <dxf>
      <font>
        <strike val="0"/>
        <outline val="0"/>
        <shadow val="0"/>
        <u val="none"/>
        <vertAlign val="baseline"/>
        <sz val="10"/>
        <color theme="1"/>
        <name val="Arial"/>
        <family val="2"/>
        <scheme val="none"/>
      </font>
      <alignment horizontal="center" vertical="center" textRotation="0" wrapText="0" indent="0" justifyLastLine="0" shrinkToFit="0" readingOrder="0"/>
      <protection locked="0" hidden="0"/>
    </dxf>
    <dxf>
      <font>
        <strike val="0"/>
        <outline val="0"/>
        <shadow val="0"/>
        <u val="none"/>
        <vertAlign val="baseline"/>
        <sz val="10"/>
        <color theme="1"/>
        <name val="Arial"/>
        <family val="2"/>
        <scheme val="none"/>
      </font>
      <alignment horizontal="center" vertical="center" textRotation="0" wrapText="0" indent="0" justifyLastLine="0" shrinkToFit="0" readingOrder="0"/>
      <protection locked="0" hidden="0"/>
    </dxf>
    <dxf>
      <font>
        <strike val="0"/>
        <outline val="0"/>
        <shadow val="0"/>
        <u val="none"/>
        <vertAlign val="baseline"/>
        <sz val="10"/>
        <color theme="1"/>
        <name val="Arial"/>
        <family val="2"/>
        <scheme val="none"/>
      </font>
      <alignment horizontal="left" vertical="center" textRotation="0" wrapText="0" indent="0" justifyLastLine="0" shrinkToFit="0" readingOrder="0"/>
      <protection locked="0" hidden="0"/>
    </dxf>
    <dxf>
      <font>
        <strike val="0"/>
        <outline val="0"/>
        <shadow val="0"/>
        <u val="none"/>
        <vertAlign val="baseline"/>
        <sz val="10"/>
        <color theme="1"/>
        <name val="Arial"/>
        <family val="2"/>
        <scheme val="none"/>
      </font>
      <alignment horizontal="center" vertical="center" textRotation="0" wrapText="0" indent="0" justifyLastLine="0" shrinkToFit="0" readingOrder="0"/>
      <protection locked="0" hidden="0"/>
    </dxf>
    <dxf>
      <border diagonalUp="0" diagonalDown="0">
        <left style="medium">
          <color rgb="FF000000"/>
        </left>
        <right style="medium">
          <color rgb="FF000000"/>
        </right>
        <top style="medium">
          <color rgb="FF000000"/>
        </top>
        <bottom style="medium">
          <color rgb="FF000000"/>
        </bottom>
      </border>
    </dxf>
    <dxf>
      <font>
        <strike val="0"/>
        <outline val="0"/>
        <shadow val="0"/>
        <u val="none"/>
        <vertAlign val="baseline"/>
        <sz val="10"/>
        <color theme="1"/>
        <name val="Arial"/>
        <family val="2"/>
        <scheme val="none"/>
      </font>
      <alignment horizontal="center" vertical="center" textRotation="0" wrapText="0" indent="0" justifyLastLine="0" shrinkToFit="0" readingOrder="0"/>
      <protection locked="0" hidden="0"/>
    </dxf>
    <dxf>
      <font>
        <strike val="0"/>
        <outline val="0"/>
        <shadow val="0"/>
        <u val="none"/>
        <vertAlign val="baseline"/>
        <sz val="10"/>
        <color theme="1"/>
        <name val="Arial"/>
        <family val="2"/>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0"/>
        <color theme="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dxf>
    <dxf>
      <font>
        <strike val="0"/>
        <outline val="0"/>
        <shadow val="0"/>
        <u val="none"/>
        <vertAlign val="baseline"/>
        <sz val="10"/>
        <name val="Arial"/>
        <family val="2"/>
        <scheme val="none"/>
      </font>
      <alignment horizontal="center" vertical="center" textRotation="0" wrapText="0" indent="0" justifyLastLine="0" shrinkToFit="0" readingOrder="0"/>
    </dxf>
    <dxf>
      <font>
        <strike val="0"/>
        <outline val="0"/>
        <shadow val="0"/>
        <u val="none"/>
        <vertAlign val="baseline"/>
        <sz val="10"/>
        <name val="Arial"/>
        <family val="2"/>
        <scheme val="none"/>
      </font>
      <alignment horizontal="center" vertical="center" textRotation="0" wrapText="0" indent="0" justifyLastLine="0" shrinkToFit="0" readingOrder="0"/>
    </dxf>
    <dxf>
      <font>
        <strike val="0"/>
        <outline val="0"/>
        <shadow val="0"/>
        <u val="none"/>
        <vertAlign val="baseline"/>
        <sz val="10"/>
        <name val="Arial"/>
        <family val="2"/>
        <scheme val="none"/>
      </font>
      <alignment horizontal="center" vertical="center" textRotation="0" wrapText="1" indent="0" justifyLastLine="0" shrinkToFit="0" readingOrder="0"/>
    </dxf>
    <dxf>
      <font>
        <strike val="0"/>
        <outline val="0"/>
        <shadow val="0"/>
        <u val="none"/>
        <vertAlign val="baseline"/>
        <sz val="10"/>
        <name val="Arial"/>
        <family val="2"/>
        <scheme val="none"/>
      </font>
      <numFmt numFmtId="0" formatCode="General"/>
      <alignment horizontal="center" vertical="center" textRotation="0" wrapText="0" indent="0" justifyLastLine="0" shrinkToFit="0" readingOrder="0"/>
    </dxf>
    <dxf>
      <font>
        <strike val="0"/>
        <outline val="0"/>
        <shadow val="0"/>
        <u val="none"/>
        <vertAlign val="baseline"/>
        <sz val="10"/>
        <name val="Arial"/>
        <family val="2"/>
        <scheme val="none"/>
      </font>
      <alignment horizontal="center" vertical="center" textRotation="0" wrapText="0" indent="0" justifyLastLine="0" shrinkToFit="0" readingOrder="0"/>
    </dxf>
    <dxf>
      <font>
        <strike val="0"/>
        <outline val="0"/>
        <shadow val="0"/>
        <u val="none"/>
        <vertAlign val="baseline"/>
        <sz val="10"/>
        <name val="Arial"/>
        <family val="2"/>
        <scheme val="none"/>
      </font>
      <alignment horizontal="center" vertical="center" textRotation="0" wrapText="0" indent="0" justifyLastLine="0" shrinkToFit="0" readingOrder="0"/>
    </dxf>
    <dxf>
      <font>
        <strike val="0"/>
        <outline val="0"/>
        <shadow val="0"/>
        <u val="none"/>
        <vertAlign val="baseline"/>
        <sz val="10"/>
        <name val="Arial"/>
        <family val="2"/>
        <scheme val="none"/>
      </font>
      <numFmt numFmtId="0" formatCode="General"/>
      <alignment horizontal="center" vertical="center" textRotation="0" wrapText="0" indent="0" justifyLastLine="0" shrinkToFit="0" readingOrder="0"/>
      <protection locked="1" hidden="0"/>
    </dxf>
    <dxf>
      <font>
        <strike val="0"/>
        <outline val="0"/>
        <shadow val="0"/>
        <u val="none"/>
        <vertAlign val="baseline"/>
        <sz val="10"/>
        <name val="Arial"/>
        <family val="2"/>
        <scheme val="none"/>
      </font>
      <numFmt numFmtId="13" formatCode="0%"/>
      <alignment horizontal="center" vertical="center" textRotation="0" wrapText="0" indent="0" justifyLastLine="0" shrinkToFit="0" readingOrder="0"/>
      <protection locked="1" hidden="0"/>
    </dxf>
    <dxf>
      <font>
        <strike val="0"/>
        <outline val="0"/>
        <shadow val="0"/>
        <u val="none"/>
        <vertAlign val="baseline"/>
        <sz val="10"/>
        <name val="Arial"/>
        <family val="2"/>
        <scheme val="none"/>
      </font>
      <alignment horizontal="center" vertical="center" textRotation="0" wrapText="1" indent="0" justifyLastLine="0" shrinkToFit="0" readingOrder="0"/>
      <protection locked="1" hidden="0"/>
    </dxf>
    <dxf>
      <font>
        <strike val="0"/>
        <outline val="0"/>
        <shadow val="0"/>
        <u val="none"/>
        <vertAlign val="baseline"/>
        <sz val="10"/>
        <name val="Arial"/>
        <family val="2"/>
        <scheme val="none"/>
      </font>
      <protection locked="1" hidden="0"/>
    </dxf>
    <dxf>
      <font>
        <strike val="0"/>
        <outline val="0"/>
        <shadow val="0"/>
        <u val="none"/>
        <vertAlign val="baseline"/>
        <sz val="10"/>
        <name val="Arial"/>
        <family val="2"/>
        <scheme val="none"/>
      </font>
      <protection locked="1" hidden="0"/>
    </dxf>
    <dxf>
      <font>
        <strike val="0"/>
        <outline val="0"/>
        <shadow val="0"/>
        <u val="none"/>
        <vertAlign val="baseline"/>
        <sz val="10"/>
        <name val="Arial"/>
        <family val="2"/>
        <scheme val="none"/>
      </font>
      <alignment horizontal="center" vertical="center" textRotation="0" wrapText="0" indent="0" justifyLastLine="0" shrinkToFit="0" readingOrder="0"/>
      <protection locked="1" hidden="0"/>
    </dxf>
    <dxf>
      <font>
        <strike val="0"/>
        <outline val="0"/>
        <shadow val="0"/>
        <u val="none"/>
        <vertAlign val="baseline"/>
        <sz val="10"/>
        <name val="Arial"/>
        <family val="2"/>
        <scheme val="none"/>
      </font>
      <fill>
        <patternFill patternType="solid">
          <fgColor indexed="64"/>
          <bgColor theme="0"/>
        </patternFill>
      </fill>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center"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center" vertical="center" textRotation="0" wrapText="0" indent="0" justifyLastLine="0" shrinkToFit="0" readingOrder="0"/>
    </dxf>
    <dxf>
      <font>
        <strike val="0"/>
        <outline val="0"/>
        <shadow val="0"/>
        <u val="none"/>
        <vertAlign val="baseline"/>
        <sz val="10"/>
        <name val="Arial"/>
        <family val="2"/>
        <scheme val="none"/>
      </font>
    </dxf>
    <dxf>
      <font>
        <strike val="0"/>
        <outline val="0"/>
        <shadow val="0"/>
        <u val="none"/>
        <vertAlign val="baseline"/>
        <sz val="10"/>
        <name val="Arial"/>
        <family val="2"/>
        <scheme val="none"/>
      </font>
      <alignment horizontal="center"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center" vertical="center" textRotation="0" wrapText="0" indent="0" justifyLastLine="0" shrinkToFit="0" readingOrder="0"/>
    </dxf>
    <dxf>
      <font>
        <strike val="0"/>
        <outline val="0"/>
        <shadow val="0"/>
        <u val="none"/>
        <vertAlign val="baseline"/>
        <sz val="10"/>
        <name val="Arial"/>
        <family val="2"/>
        <scheme val="none"/>
      </font>
      <alignment horizontal="center" vertical="center" textRotation="0" wrapText="0" indent="0" justifyLastLine="0" shrinkToFit="0" readingOrder="0"/>
    </dxf>
    <dxf>
      <font>
        <strike val="0"/>
        <outline val="0"/>
        <shadow val="0"/>
        <u val="none"/>
        <vertAlign val="baseline"/>
        <sz val="1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left" vertical="center"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numFmt numFmtId="0" formatCode="Genera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Arial"/>
        <family val="2"/>
        <scheme val="none"/>
      </font>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border>
        <bottom style="thin">
          <color indexed="64"/>
        </bottom>
      </border>
    </dxf>
    <dxf>
      <font>
        <strike val="0"/>
        <outline val="0"/>
        <shadow val="0"/>
        <u val="none"/>
        <vertAlign val="baseline"/>
        <sz val="11"/>
        <name val="Arial"/>
        <family val="2"/>
        <scheme val="none"/>
      </font>
      <border diagonalUp="0" diagonalDown="0">
        <left style="thin">
          <color indexed="64"/>
        </left>
        <right style="thin">
          <color indexed="64"/>
        </right>
        <top/>
        <bottom/>
        <vertical style="thin">
          <color indexed="64"/>
        </vertical>
        <horizontal style="thin">
          <color indexed="64"/>
        </horizontal>
      </border>
    </dxf>
    <dxf>
      <font>
        <b/>
        <i val="0"/>
        <strike val="0"/>
        <condense val="0"/>
        <extend val="0"/>
        <outline val="0"/>
        <shadow val="0"/>
        <u val="none"/>
        <vertAlign val="baseline"/>
        <sz val="10"/>
        <color rgb="FF7030A0"/>
        <name val="Arial"/>
        <family val="2"/>
        <scheme val="none"/>
      </font>
      <numFmt numFmtId="0" formatCode="General"/>
      <alignment horizontal="left" vertical="center"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protection locked="0" hidden="0"/>
    </dxf>
    <dxf>
      <font>
        <b/>
        <i val="0"/>
        <strike val="0"/>
        <condense val="0"/>
        <extend val="0"/>
        <outline val="0"/>
        <shadow val="0"/>
        <u val="none"/>
        <vertAlign val="baseline"/>
        <sz val="10"/>
        <color rgb="FF7030A0"/>
        <name val="Arial"/>
        <family val="2"/>
        <scheme val="none"/>
      </font>
      <numFmt numFmtId="0" formatCode="Genera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i val="0"/>
        <strike val="0"/>
        <condense val="0"/>
        <extend val="0"/>
        <outline val="0"/>
        <shadow val="0"/>
        <u val="none"/>
        <vertAlign val="baseline"/>
        <sz val="10"/>
        <color rgb="FF7030A0"/>
        <name val="Arial"/>
        <family val="2"/>
        <scheme val="none"/>
      </font>
      <numFmt numFmtId="0" formatCode="Genera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i val="0"/>
        <strike val="0"/>
        <condense val="0"/>
        <extend val="0"/>
        <outline val="0"/>
        <shadow val="0"/>
        <u val="none"/>
        <vertAlign val="baseline"/>
        <sz val="10"/>
        <color rgb="FF7030A0"/>
        <name val="Arial"/>
        <family val="2"/>
        <scheme val="none"/>
      </font>
      <numFmt numFmtId="0" formatCode="Genera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i val="0"/>
        <strike val="0"/>
        <condense val="0"/>
        <extend val="0"/>
        <outline val="0"/>
        <shadow val="0"/>
        <u val="none"/>
        <vertAlign val="baseline"/>
        <sz val="10"/>
        <color theme="1"/>
        <name val="Arial"/>
        <family val="2"/>
        <scheme val="none"/>
      </font>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rgb="FF7030A0"/>
        <name val="Arial"/>
        <family val="2"/>
        <scheme val="none"/>
      </font>
      <alignment horizontal="center" vertical="center" textRotation="0" wrapText="1" indent="0" justifyLastLine="0" shrinkToFit="0" readingOrder="0"/>
    </dxf>
    <dxf>
      <border>
        <bottom style="thin">
          <color indexed="64"/>
        </bottom>
      </border>
    </dxf>
    <dxf>
      <font>
        <b/>
        <i val="0"/>
        <strike val="0"/>
        <condense val="0"/>
        <extend val="0"/>
        <outline val="0"/>
        <shadow val="0"/>
        <u val="none"/>
        <vertAlign val="baseline"/>
        <sz val="11"/>
        <color theme="0"/>
        <name val="Arial"/>
        <family val="2"/>
        <scheme val="none"/>
      </font>
      <fill>
        <patternFill patternType="solid">
          <fgColor indexed="64"/>
          <bgColor rgb="FF7030A0"/>
        </patternFill>
      </fill>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trike val="0"/>
        <outline val="0"/>
        <shadow val="0"/>
        <vertAlign val="baseline"/>
        <sz val="10"/>
        <name val="Arial"/>
        <family val="2"/>
        <scheme val="none"/>
      </font>
      <numFmt numFmtId="0" formatCode="General"/>
      <alignment horizontal="center" vertical="center" textRotation="0" wrapText="0" indent="0" justifyLastLine="0" shrinkToFit="0" readingOrder="0"/>
    </dxf>
    <dxf>
      <font>
        <strike val="0"/>
        <outline val="0"/>
        <shadow val="0"/>
        <vertAlign val="baseline"/>
        <sz val="10"/>
        <name val="Arial"/>
        <family val="2"/>
        <scheme val="none"/>
      </font>
      <alignment horizontal="center" vertical="center" textRotation="0" wrapText="0" indent="0" justifyLastLine="0" shrinkToFit="0" readingOrder="0"/>
    </dxf>
    <dxf>
      <font>
        <strike val="0"/>
        <outline val="0"/>
        <shadow val="0"/>
        <vertAlign val="baseline"/>
        <sz val="10"/>
        <name val="Arial"/>
        <family val="2"/>
        <scheme val="none"/>
      </font>
      <alignment horizontal="right" vertical="center" textRotation="0" wrapText="0" indent="0" justifyLastLine="0" shrinkToFit="0" readingOrder="0"/>
    </dxf>
    <dxf>
      <font>
        <strike val="0"/>
        <outline val="0"/>
        <shadow val="0"/>
        <vertAlign val="baseline"/>
        <sz val="10"/>
        <name val="Arial"/>
        <family val="2"/>
        <scheme val="none"/>
      </font>
      <alignment horizontal="right" vertical="center" textRotation="0" wrapText="0" indent="0" justifyLastLine="0" shrinkToFit="0" readingOrder="0"/>
    </dxf>
    <dxf>
      <font>
        <strike val="0"/>
        <outline val="0"/>
        <shadow val="0"/>
        <vertAlign val="baseline"/>
        <sz val="10"/>
        <name val="Arial"/>
        <family val="2"/>
        <scheme val="none"/>
      </font>
      <fill>
        <patternFill patternType="solid">
          <fgColor indexed="64"/>
          <bgColor rgb="FF002060"/>
        </patternFill>
      </fill>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 formatCode="0"/>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164" formatCode="_(&quot;$&quot;* #,##0_);_(&quot;$&quot;* \(#,##0\);_(&quot;$&quot;* &quot;-&quot;??_);_(@_)"/>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164" formatCode="_(&quot;$&quot;* #,##0_);_(&quot;$&quot;* \(#,##0\);_(&quot;$&quot;* &quot;-&quot;??_);_(@_)"/>
      <fill>
        <patternFill patternType="none">
          <fgColor indexed="64"/>
          <bgColor auto="1"/>
        </patternFill>
      </fill>
      <alignment horizontal="center" vertical="center" textRotation="0" wrapText="1" indent="0" justifyLastLine="0" shrinkToFit="0" readingOrder="0"/>
      <protection locked="0" hidden="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protection locked="1" hidden="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protection locked="1" hidden="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protection locked="1" hidden="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i/>
        <strike val="0"/>
        <condense val="0"/>
        <extend val="0"/>
        <outline val="0"/>
        <shadow val="0"/>
        <u/>
        <vertAlign val="baseline"/>
        <sz val="10"/>
        <color rgb="FF7030A0"/>
        <name val="Arial"/>
        <family val="2"/>
        <scheme val="none"/>
      </font>
      <numFmt numFmtId="1" formatCode="0"/>
      <fill>
        <patternFill patternType="none">
          <fgColor indexed="64"/>
          <bgColor indexed="65"/>
        </patternFill>
      </fill>
      <alignment horizontal="center" vertical="center" textRotation="0" wrapText="1" indent="0" justifyLastLine="0" shrinkToFit="0" readingOrder="0"/>
      <protection locked="0" hidden="0"/>
    </dxf>
    <dxf>
      <font>
        <b/>
        <i/>
        <strike val="0"/>
        <condense val="0"/>
        <extend val="0"/>
        <outline val="0"/>
        <shadow val="0"/>
        <u/>
        <vertAlign val="baseline"/>
        <sz val="10"/>
        <color rgb="FF000000"/>
        <name val="Arial"/>
        <family val="2"/>
        <scheme val="none"/>
      </font>
      <numFmt numFmtId="1" formatCode="0"/>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dxf>
    <dxf>
      <font>
        <b/>
        <i/>
        <strike val="0"/>
        <condense val="0"/>
        <extend val="0"/>
        <outline val="0"/>
        <shadow val="0"/>
        <u/>
        <vertAlign val="baseline"/>
        <sz val="10"/>
        <color rgb="FF7030A0"/>
        <name val="Arial"/>
        <family val="2"/>
        <scheme val="none"/>
      </font>
      <numFmt numFmtId="1" formatCode="0"/>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auto="1"/>
        </patternFill>
      </fill>
      <alignment horizontal="left" vertical="center" textRotation="0" wrapText="1" indent="0" justifyLastLine="0" shrinkToFit="0" readingOrder="0"/>
      <border diagonalUp="0" diagonalDown="0" outline="0">
        <left/>
        <right/>
        <top style="medium">
          <color rgb="FF0086BF"/>
        </top>
        <bottom style="medium">
          <color rgb="FF0086BF"/>
        </bottom>
      </border>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auto="1"/>
        </patternFill>
      </fill>
      <alignment horizontal="left" vertical="center" textRotation="0" wrapText="1" indent="0" justifyLastLine="0" shrinkToFit="0" readingOrder="0"/>
      <protection locked="0" hidden="0"/>
    </dxf>
    <dxf>
      <font>
        <b val="0"/>
        <strike val="0"/>
        <outline val="0"/>
        <shadow val="0"/>
        <vertAlign val="baseline"/>
        <sz val="10"/>
        <name val="Arial"/>
        <family val="2"/>
        <scheme val="none"/>
      </font>
      <fill>
        <patternFill patternType="none">
          <fgColor rgb="FF000000"/>
          <bgColor auto="1"/>
        </patternFill>
      </fill>
    </dxf>
    <dxf>
      <font>
        <b/>
        <i val="0"/>
        <strike val="0"/>
        <condense val="0"/>
        <extend val="0"/>
        <outline val="0"/>
        <shadow val="0"/>
        <u val="none"/>
        <vertAlign val="baseline"/>
        <sz val="10"/>
        <color theme="1"/>
        <name val="Arial"/>
        <family val="2"/>
        <scheme val="none"/>
      </font>
      <fill>
        <patternFill patternType="none">
          <fgColor indexed="64"/>
          <bgColor auto="1"/>
        </patternFill>
      </fill>
      <alignment horizontal="center" vertical="center" textRotation="0" wrapText="1" indent="0" justifyLastLine="0" shrinkToFit="0" readingOrder="0"/>
    </dxf>
    <dxf>
      <font>
        <strike val="0"/>
        <outline val="0"/>
        <shadow val="0"/>
        <vertAlign val="baseline"/>
        <sz val="10"/>
        <name val="Arial"/>
        <family val="2"/>
        <scheme val="none"/>
      </font>
      <numFmt numFmtId="0" formatCode="General"/>
      <alignment horizontal="center" vertical="center" textRotation="0" wrapText="0" indent="0" justifyLastLine="0" shrinkToFit="0" readingOrder="0"/>
    </dxf>
    <dxf>
      <font>
        <strike val="0"/>
        <outline val="0"/>
        <shadow val="0"/>
        <vertAlign val="baseline"/>
        <sz val="10"/>
        <name val="Arial"/>
        <family val="2"/>
        <scheme val="none"/>
      </font>
      <alignment horizontal="center" vertical="center" textRotation="0" wrapText="0" indent="0" justifyLastLine="0" shrinkToFit="0" readingOrder="0"/>
    </dxf>
    <dxf>
      <font>
        <strike val="0"/>
        <outline val="0"/>
        <shadow val="0"/>
        <vertAlign val="baseline"/>
        <sz val="10"/>
        <name val="Arial"/>
        <family val="2"/>
        <scheme val="none"/>
      </font>
      <alignment horizontal="right" vertical="center" textRotation="0" wrapText="0" indent="0" justifyLastLine="0" shrinkToFit="0" readingOrder="0"/>
    </dxf>
    <dxf>
      <font>
        <strike val="0"/>
        <outline val="0"/>
        <shadow val="0"/>
        <vertAlign val="baseline"/>
        <sz val="10"/>
        <name val="Arial"/>
        <family val="2"/>
        <scheme val="none"/>
      </font>
      <alignment horizontal="right" vertical="center" textRotation="0" wrapText="0" indent="0" justifyLastLine="0" shrinkToFit="0" readingOrder="0"/>
    </dxf>
    <dxf>
      <font>
        <strike val="0"/>
        <outline val="0"/>
        <shadow val="0"/>
        <vertAlign val="baseline"/>
        <sz val="10"/>
        <name val="Arial"/>
        <family val="2"/>
        <scheme val="none"/>
      </font>
      <fill>
        <patternFill patternType="solid">
          <fgColor indexed="64"/>
          <bgColor rgb="FF002060"/>
        </patternFill>
      </fill>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 formatCode="0"/>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164" formatCode="_(&quot;$&quot;* #,##0_);_(&quot;$&quot;* \(#,##0\);_(&quot;$&quot;* &quot;-&quot;??_);_(@_)"/>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164" formatCode="_(&quot;$&quot;* #,##0_);_(&quot;$&quot;* \(#,##0\);_(&quot;$&quot;* &quot;-&quot;??_);_(@_)"/>
      <fill>
        <patternFill patternType="none">
          <fgColor indexed="64"/>
          <bgColor auto="1"/>
        </patternFill>
      </fill>
      <alignment horizontal="center" vertical="center" textRotation="0" wrapText="1" indent="0" justifyLastLine="0" shrinkToFit="0" readingOrder="0"/>
      <protection locked="0" hidden="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protection locked="1" hidden="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protection locked="1" hidden="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protection locked="1" hidden="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i/>
        <strike val="0"/>
        <condense val="0"/>
        <extend val="0"/>
        <outline val="0"/>
        <shadow val="0"/>
        <u/>
        <vertAlign val="baseline"/>
        <sz val="10"/>
        <color rgb="FF7030A0"/>
        <name val="Arial"/>
        <family val="2"/>
        <scheme val="none"/>
      </font>
      <numFmt numFmtId="1" formatCode="0"/>
      <fill>
        <patternFill patternType="none">
          <fgColor indexed="64"/>
          <bgColor indexed="65"/>
        </patternFill>
      </fill>
      <alignment horizontal="center" vertical="center" textRotation="0" wrapText="1" indent="0" justifyLastLine="0" shrinkToFit="0" readingOrder="0"/>
      <protection locked="0" hidden="0"/>
    </dxf>
    <dxf>
      <font>
        <b/>
        <i/>
        <strike val="0"/>
        <condense val="0"/>
        <extend val="0"/>
        <outline val="0"/>
        <shadow val="0"/>
        <u/>
        <vertAlign val="baseline"/>
        <sz val="10"/>
        <color rgb="FF000000"/>
        <name val="Arial"/>
        <family val="2"/>
        <scheme val="none"/>
      </font>
      <numFmt numFmtId="1" formatCode="0"/>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dxf>
    <dxf>
      <font>
        <b/>
        <i/>
        <strike val="0"/>
        <condense val="0"/>
        <extend val="0"/>
        <outline val="0"/>
        <shadow val="0"/>
        <u/>
        <vertAlign val="baseline"/>
        <sz val="10"/>
        <color rgb="FF7030A0"/>
        <name val="Arial"/>
        <family val="2"/>
        <scheme val="none"/>
      </font>
      <numFmt numFmtId="1" formatCode="0"/>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1" indent="0" justifyLastLine="0" shrinkToFit="0" readingOrder="0"/>
      <protection locked="1"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auto="1"/>
        </patternFill>
      </fill>
      <alignment horizontal="left" vertical="center" textRotation="0" wrapText="1" indent="0" justifyLastLine="0" shrinkToFit="0" readingOrder="0"/>
      <border diagonalUp="0" diagonalDown="0" outline="0">
        <left/>
        <right/>
        <top style="medium">
          <color rgb="FF0086BF"/>
        </top>
        <bottom style="medium">
          <color rgb="FF0086BF"/>
        </bottom>
      </border>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auto="1"/>
        </patternFill>
      </fill>
      <alignment horizontal="left" vertical="center" textRotation="0" wrapText="1" indent="0" justifyLastLine="0" shrinkToFit="0" readingOrder="0"/>
      <protection locked="0" hidden="0"/>
    </dxf>
    <dxf>
      <font>
        <b val="0"/>
        <strike val="0"/>
        <outline val="0"/>
        <shadow val="0"/>
        <vertAlign val="baseline"/>
        <sz val="10"/>
        <name val="Arial"/>
        <family val="2"/>
        <scheme val="none"/>
      </font>
      <fill>
        <patternFill patternType="none">
          <fgColor rgb="FF000000"/>
          <bgColor auto="1"/>
        </patternFill>
      </fill>
    </dxf>
    <dxf>
      <font>
        <b/>
        <i val="0"/>
        <strike val="0"/>
        <condense val="0"/>
        <extend val="0"/>
        <outline val="0"/>
        <shadow val="0"/>
        <u val="none"/>
        <vertAlign val="baseline"/>
        <sz val="10"/>
        <color theme="1"/>
        <name val="Arial"/>
        <family val="2"/>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theme="1"/>
        <name val="Arial"/>
        <family val="2"/>
        <scheme val="none"/>
      </font>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border diagonalUp="0" diagonalDown="0" outline="0">
        <left/>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theme="1"/>
        <name val="Arial"/>
        <family val="2"/>
        <scheme val="none"/>
      </font>
      <alignment vertical="center" textRotation="0" indent="0" justifyLastLine="0" shrinkToFit="0" readingOrder="0"/>
    </dxf>
    <dxf>
      <border>
        <bottom style="thin">
          <color indexed="64"/>
        </bottom>
      </border>
    </dxf>
    <dxf>
      <font>
        <strike val="0"/>
        <outline val="0"/>
        <shadow val="0"/>
        <u val="none"/>
        <vertAlign val="baseline"/>
        <sz val="11"/>
        <color theme="1"/>
        <name val="Arial"/>
        <family val="2"/>
        <scheme val="none"/>
      </font>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i val="0"/>
        <strike val="0"/>
        <condense val="0"/>
        <extend val="0"/>
        <outline val="0"/>
        <shadow val="0"/>
        <u val="none"/>
        <vertAlign val="baseline"/>
        <sz val="10"/>
        <color rgb="FF7030A0"/>
        <name val="Arial"/>
        <family val="2"/>
        <scheme val="none"/>
      </font>
      <numFmt numFmtId="0" formatCode="General"/>
      <alignment horizontal="left" vertical="center"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protection locked="0" hidden="0"/>
    </dxf>
    <dxf>
      <font>
        <b/>
        <i val="0"/>
        <strike val="0"/>
        <condense val="0"/>
        <extend val="0"/>
        <outline val="0"/>
        <shadow val="0"/>
        <u val="none"/>
        <vertAlign val="baseline"/>
        <sz val="10"/>
        <color rgb="FF7030A0"/>
        <name val="Arial"/>
        <family val="2"/>
        <scheme val="none"/>
      </font>
      <numFmt numFmtId="0" formatCode="Genera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i val="0"/>
        <strike val="0"/>
        <condense val="0"/>
        <extend val="0"/>
        <outline val="0"/>
        <shadow val="0"/>
        <u val="none"/>
        <vertAlign val="baseline"/>
        <sz val="10"/>
        <color rgb="FF7030A0"/>
        <name val="Arial"/>
        <family val="2"/>
        <scheme val="none"/>
      </font>
      <numFmt numFmtId="0" formatCode="Genera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i val="0"/>
        <strike val="0"/>
        <condense val="0"/>
        <extend val="0"/>
        <outline val="0"/>
        <shadow val="0"/>
        <u val="none"/>
        <vertAlign val="baseline"/>
        <sz val="10"/>
        <color rgb="FF7030A0"/>
        <name val="Arial"/>
        <family val="2"/>
        <scheme val="none"/>
      </font>
      <numFmt numFmtId="0" formatCode="Genera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i val="0"/>
        <strike val="0"/>
        <condense val="0"/>
        <extend val="0"/>
        <outline val="0"/>
        <shadow val="0"/>
        <u val="none"/>
        <vertAlign val="baseline"/>
        <sz val="10"/>
        <color theme="1"/>
        <name val="Arial"/>
        <family val="2"/>
        <scheme val="none"/>
      </font>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rgb="FF7030A0"/>
        <name val="Arial"/>
        <family val="2"/>
        <scheme val="none"/>
      </font>
      <alignment horizontal="center" vertical="center" textRotation="0" wrapText="1" indent="0" justifyLastLine="0" shrinkToFit="0" readingOrder="0"/>
    </dxf>
    <dxf>
      <border>
        <bottom style="thin">
          <color indexed="64"/>
        </bottom>
      </border>
    </dxf>
    <dxf>
      <font>
        <b/>
        <i val="0"/>
        <strike val="0"/>
        <condense val="0"/>
        <extend val="0"/>
        <outline val="0"/>
        <shadow val="0"/>
        <u val="none"/>
        <vertAlign val="baseline"/>
        <sz val="11"/>
        <color theme="0"/>
        <name val="Arial"/>
        <family val="2"/>
        <scheme val="none"/>
      </font>
      <fill>
        <patternFill patternType="solid">
          <fgColor indexed="64"/>
          <bgColor rgb="FF7030A0"/>
        </patternFill>
      </fill>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numFmt numFmtId="0" formatCode="General"/>
      <alignment horizontal="left" vertical="center"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numFmt numFmtId="0" formatCode="Genera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Arial"/>
        <family val="2"/>
        <scheme val="none"/>
      </font>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border>
        <bottom style="thin">
          <color indexed="64"/>
        </bottom>
      </border>
    </dxf>
    <dxf>
      <font>
        <strike val="0"/>
        <outline val="0"/>
        <shadow val="0"/>
        <u val="none"/>
        <vertAlign val="baseline"/>
        <sz val="11"/>
        <name val="Arial"/>
        <family val="2"/>
        <scheme val="none"/>
      </font>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0"/>
        <color theme="1"/>
        <name val="Arial"/>
        <family val="2"/>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i/>
        <strike val="0"/>
        <outline val="0"/>
        <shadow val="0"/>
        <u val="none"/>
        <vertAlign val="baseline"/>
        <sz val="10"/>
        <color theme="1"/>
        <name val="Arial"/>
        <family val="2"/>
        <scheme val="none"/>
      </font>
      <fill>
        <patternFill patternType="solid">
          <fgColor indexed="64"/>
          <bgColor theme="4" tint="0.79998168889431442"/>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strike val="0"/>
        <outline val="0"/>
        <shadow val="0"/>
        <u val="none"/>
        <vertAlign val="baseline"/>
        <sz val="10"/>
        <color theme="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Arial"/>
        <family val="2"/>
        <scheme val="none"/>
      </font>
      <alignment vertical="center" textRotation="0" indent="0" justifyLastLine="0" shrinkToFit="0" readingOrder="0"/>
    </dxf>
    <dxf>
      <font>
        <strike val="0"/>
        <outline val="0"/>
        <shadow val="0"/>
        <u val="none"/>
        <vertAlign val="baseline"/>
        <name val="Arial"/>
        <family val="2"/>
        <scheme val="none"/>
      </font>
      <fill>
        <patternFill patternType="solid">
          <fgColor indexed="64"/>
          <bgColor rgb="FF002060"/>
        </patternFill>
      </fill>
      <alignment horizontal="center" vertical="center" textRotation="0" wrapText="1" indent="0" justifyLastLine="0" shrinkToFit="0" readingOrder="0"/>
    </dxf>
    <dxf>
      <font>
        <strike val="0"/>
        <outline val="0"/>
        <shadow val="0"/>
        <u val="none"/>
        <vertAlign val="baseline"/>
        <sz val="10"/>
        <color theme="1"/>
        <name val="Arial"/>
        <family val="2"/>
        <scheme val="none"/>
      </font>
      <numFmt numFmtId="165" formatCode="&quot;$&quot;#,##0"/>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i/>
        <strike val="0"/>
        <outline val="0"/>
        <shadow val="0"/>
        <u val="none"/>
        <vertAlign val="baseline"/>
        <sz val="10"/>
        <color theme="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strike val="0"/>
        <outline val="0"/>
        <shadow val="0"/>
        <u val="none"/>
        <vertAlign val="baseline"/>
        <sz val="10"/>
        <color theme="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Arial"/>
        <family val="2"/>
        <scheme val="none"/>
      </font>
      <alignment vertical="center" textRotation="0" indent="0" justifyLastLine="0" shrinkToFit="0" readingOrder="0"/>
    </dxf>
    <dxf>
      <font>
        <strike val="0"/>
        <outline val="0"/>
        <shadow val="0"/>
        <u val="none"/>
        <vertAlign val="baseline"/>
        <name val="Arial"/>
        <family val="2"/>
        <scheme val="none"/>
      </font>
      <fill>
        <patternFill patternType="solid">
          <fgColor indexed="64"/>
          <bgColor rgb="FF002060"/>
        </patternFill>
      </fill>
      <alignment horizontal="center" vertical="center" textRotation="0" wrapText="1" indent="0" justifyLastLine="0" shrinkToFit="0" readingOrder="0"/>
    </dxf>
    <dxf>
      <font>
        <strike val="0"/>
        <outline val="0"/>
        <shadow val="0"/>
        <u val="none"/>
        <vertAlign val="baseline"/>
        <sz val="10"/>
        <color theme="1"/>
        <name val="Arial"/>
        <family val="2"/>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i/>
        <strike val="0"/>
        <outline val="0"/>
        <shadow val="0"/>
        <u val="none"/>
        <vertAlign val="baseline"/>
        <sz val="10"/>
        <color theme="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strike val="0"/>
        <outline val="0"/>
        <shadow val="0"/>
        <u val="none"/>
        <vertAlign val="baseline"/>
        <sz val="10"/>
        <color theme="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Arial"/>
        <family val="2"/>
        <scheme val="none"/>
      </font>
      <alignment vertical="center" textRotation="0" indent="0" justifyLastLine="0" shrinkToFit="0" readingOrder="0"/>
    </dxf>
    <dxf>
      <font>
        <strike val="0"/>
        <outline val="0"/>
        <shadow val="0"/>
        <u val="none"/>
        <vertAlign val="baseline"/>
        <name val="Arial"/>
        <family val="2"/>
        <scheme val="none"/>
      </font>
      <fill>
        <patternFill patternType="solid">
          <fgColor indexed="64"/>
          <bgColor rgb="FF002060"/>
        </patternFill>
      </fill>
      <alignment horizontal="center" vertical="center" textRotation="0" wrapText="1" indent="0" justifyLastLine="0" shrinkToFit="0" readingOrder="0"/>
    </dxf>
    <dxf>
      <font>
        <strike val="0"/>
        <outline val="0"/>
        <shadow val="0"/>
        <u val="none"/>
        <vertAlign val="baseline"/>
        <sz val="10"/>
        <color theme="1"/>
        <name val="Arial"/>
        <family val="2"/>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i/>
        <strike val="0"/>
        <outline val="0"/>
        <shadow val="0"/>
        <u val="none"/>
        <vertAlign val="baseline"/>
        <sz val="10"/>
        <color theme="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strike val="0"/>
        <outline val="0"/>
        <shadow val="0"/>
        <u val="none"/>
        <vertAlign val="baseline"/>
        <sz val="10"/>
        <color theme="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Arial"/>
        <family val="2"/>
        <scheme val="none"/>
      </font>
      <alignment vertical="center" textRotation="0" indent="0" justifyLastLine="0" shrinkToFit="0" readingOrder="0"/>
    </dxf>
    <dxf>
      <font>
        <strike val="0"/>
        <outline val="0"/>
        <shadow val="0"/>
        <u val="none"/>
        <vertAlign val="baseline"/>
        <name val="Arial"/>
        <family val="2"/>
        <scheme val="none"/>
      </font>
      <fill>
        <patternFill patternType="solid">
          <fgColor indexed="64"/>
          <bgColor rgb="FF002060"/>
        </patternFill>
      </fill>
      <alignment horizontal="center" vertical="center" textRotation="0" wrapText="1" indent="0" justifyLastLine="0" shrinkToFit="0" readingOrder="0"/>
    </dxf>
  </dxfs>
  <tableStyles count="0" defaultTableStyle="TableStyleMedium2" defaultPivotStyle="PivotStyleLight16"/>
  <colors>
    <mruColors>
      <color rgb="FF003B5C"/>
      <color rgb="FFA391F1"/>
      <color rgb="FFF2F2F2"/>
      <color rgb="FF0086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svg"/><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7.svg"/><Relationship Id="rId5" Type="http://schemas.openxmlformats.org/officeDocument/2006/relationships/image" Target="../media/image6.png"/><Relationship Id="rId10" Type="http://schemas.openxmlformats.org/officeDocument/2006/relationships/image" Target="../media/image11.svg"/><Relationship Id="rId4" Type="http://schemas.openxmlformats.org/officeDocument/2006/relationships/image" Target="../media/image5.svg"/><Relationship Id="rId9"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0</xdr:col>
      <xdr:colOff>28973</xdr:colOff>
      <xdr:row>0</xdr:row>
      <xdr:rowOff>0</xdr:rowOff>
    </xdr:from>
    <xdr:to>
      <xdr:col>10</xdr:col>
      <xdr:colOff>681869</xdr:colOff>
      <xdr:row>56</xdr:row>
      <xdr:rowOff>38101</xdr:rowOff>
    </xdr:to>
    <xdr:pic>
      <xdr:nvPicPr>
        <xdr:cNvPr id="4" name="Picture 3">
          <a:extLst>
            <a:ext uri="{FF2B5EF4-FFF2-40B4-BE49-F238E27FC236}">
              <a16:creationId xmlns:a16="http://schemas.microsoft.com/office/drawing/2014/main" id="{1141BE5E-C95A-4BD8-85ED-9AF81EEC8EC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28973" y="0"/>
          <a:ext cx="8272896" cy="1070610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5278967</xdr:colOff>
      <xdr:row>41</xdr:row>
      <xdr:rowOff>63500</xdr:rowOff>
    </xdr:to>
    <xdr:sp macro="" textlink="">
      <xdr:nvSpPr>
        <xdr:cNvPr id="2" name="Object 2" hidden="1">
          <a:extLst>
            <a:ext uri="{63B3BB69-23CF-44E3-9099-C40C66FF867C}">
              <a14:compatExt xmlns:a14="http://schemas.microsoft.com/office/drawing/2010/main" spid="_x0000_s1026"/>
            </a:ext>
            <a:ext uri="{FF2B5EF4-FFF2-40B4-BE49-F238E27FC236}">
              <a16:creationId xmlns:a16="http://schemas.microsoft.com/office/drawing/2014/main" id="{E5E2A54B-C115-4E0D-A3BC-254698C1FCD2}"/>
            </a:ext>
          </a:extLst>
        </xdr:cNvPr>
        <xdr:cNvSpPr/>
      </xdr:nvSpPr>
      <xdr:spPr bwMode="auto">
        <a:xfrm>
          <a:off x="0" y="0"/>
          <a:ext cx="7812617" cy="100457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headEn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xdr:col>
      <xdr:colOff>4232</xdr:colOff>
      <xdr:row>1</xdr:row>
      <xdr:rowOff>55035</xdr:rowOff>
    </xdr:from>
    <xdr:to>
      <xdr:col>1</xdr:col>
      <xdr:colOff>1578524</xdr:colOff>
      <xdr:row>1</xdr:row>
      <xdr:rowOff>420795</xdr:rowOff>
    </xdr:to>
    <xdr:pic>
      <xdr:nvPicPr>
        <xdr:cNvPr id="3" name="Graphic 2">
          <a:extLst>
            <a:ext uri="{FF2B5EF4-FFF2-40B4-BE49-F238E27FC236}">
              <a16:creationId xmlns:a16="http://schemas.microsoft.com/office/drawing/2014/main" id="{BE4A42E5-FF03-4306-BB09-F92E8A26B96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28107" y="559860"/>
          <a:ext cx="1574292" cy="365760"/>
        </a:xfrm>
        <a:prstGeom prst="rect">
          <a:avLst/>
        </a:prstGeom>
      </xdr:spPr>
    </xdr:pic>
    <xdr:clientData/>
  </xdr:twoCellAnchor>
  <xdr:twoCellAnchor editAs="oneCell">
    <xdr:from>
      <xdr:col>1</xdr:col>
      <xdr:colOff>4233</xdr:colOff>
      <xdr:row>4</xdr:row>
      <xdr:rowOff>55035</xdr:rowOff>
    </xdr:from>
    <xdr:to>
      <xdr:col>1</xdr:col>
      <xdr:colOff>1580049</xdr:colOff>
      <xdr:row>5</xdr:row>
      <xdr:rowOff>67227</xdr:rowOff>
    </xdr:to>
    <xdr:pic>
      <xdr:nvPicPr>
        <xdr:cNvPr id="4" name="Graphic 2">
          <a:extLst>
            <a:ext uri="{FF2B5EF4-FFF2-40B4-BE49-F238E27FC236}">
              <a16:creationId xmlns:a16="http://schemas.microsoft.com/office/drawing/2014/main" id="{A8F18C4D-D32A-4585-8A99-9B692F74CC4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28108" y="2341035"/>
          <a:ext cx="1575816" cy="393192"/>
        </a:xfrm>
        <a:prstGeom prst="rect">
          <a:avLst/>
        </a:prstGeom>
      </xdr:spPr>
    </xdr:pic>
    <xdr:clientData/>
  </xdr:twoCellAnchor>
  <xdr:twoCellAnchor editAs="oneCell">
    <xdr:from>
      <xdr:col>0</xdr:col>
      <xdr:colOff>520697</xdr:colOff>
      <xdr:row>7</xdr:row>
      <xdr:rowOff>50802</xdr:rowOff>
    </xdr:from>
    <xdr:to>
      <xdr:col>1</xdr:col>
      <xdr:colOff>1746247</xdr:colOff>
      <xdr:row>9</xdr:row>
      <xdr:rowOff>110068</xdr:rowOff>
    </xdr:to>
    <xdr:pic>
      <xdr:nvPicPr>
        <xdr:cNvPr id="5" name="Graphic 3">
          <a:extLst>
            <a:ext uri="{FF2B5EF4-FFF2-40B4-BE49-F238E27FC236}">
              <a16:creationId xmlns:a16="http://schemas.microsoft.com/office/drawing/2014/main" id="{6E92260C-D296-405E-B64E-C4D9E357CB5A}"/>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20697" y="3365502"/>
          <a:ext cx="1749425" cy="449791"/>
        </a:xfrm>
        <a:prstGeom prst="rect">
          <a:avLst/>
        </a:prstGeom>
      </xdr:spPr>
    </xdr:pic>
    <xdr:clientData/>
  </xdr:twoCellAnchor>
  <xdr:twoCellAnchor editAs="oneCell">
    <xdr:from>
      <xdr:col>1</xdr:col>
      <xdr:colOff>0</xdr:colOff>
      <xdr:row>10</xdr:row>
      <xdr:rowOff>50802</xdr:rowOff>
    </xdr:from>
    <xdr:to>
      <xdr:col>1</xdr:col>
      <xdr:colOff>1270635</xdr:colOff>
      <xdr:row>12</xdr:row>
      <xdr:rowOff>34928</xdr:rowOff>
    </xdr:to>
    <xdr:pic>
      <xdr:nvPicPr>
        <xdr:cNvPr id="6" name="Graphic 8">
          <a:extLst>
            <a:ext uri="{FF2B5EF4-FFF2-40B4-BE49-F238E27FC236}">
              <a16:creationId xmlns:a16="http://schemas.microsoft.com/office/drawing/2014/main" id="{18566DB2-D4CD-48CB-A1EC-00909E84829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523875" y="4260852"/>
          <a:ext cx="1270635" cy="288926"/>
        </a:xfrm>
        <a:prstGeom prst="rect">
          <a:avLst/>
        </a:prstGeom>
      </xdr:spPr>
    </xdr:pic>
    <xdr:clientData/>
  </xdr:twoCellAnchor>
  <xdr:twoCellAnchor editAs="oneCell">
    <xdr:from>
      <xdr:col>1</xdr:col>
      <xdr:colOff>0</xdr:colOff>
      <xdr:row>12</xdr:row>
      <xdr:rowOff>148167</xdr:rowOff>
    </xdr:from>
    <xdr:to>
      <xdr:col>1</xdr:col>
      <xdr:colOff>1617980</xdr:colOff>
      <xdr:row>13</xdr:row>
      <xdr:rowOff>2117</xdr:rowOff>
    </xdr:to>
    <xdr:pic>
      <xdr:nvPicPr>
        <xdr:cNvPr id="7" name="Graphic 4">
          <a:extLst>
            <a:ext uri="{FF2B5EF4-FFF2-40B4-BE49-F238E27FC236}">
              <a16:creationId xmlns:a16="http://schemas.microsoft.com/office/drawing/2014/main" id="{1FA0CA92-D073-4287-A5FE-CD36C8FE0CF1}"/>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523875" y="4663017"/>
          <a:ext cx="1617980" cy="28257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BDB1C22-0831-455E-9D80-3CB50CFA5053}" name="tblMissionPrompts14" displayName="tblMissionPrompts14" ref="C7:E12" totalsRowShown="0" headerRowDxfId="279" dataDxfId="278">
  <autoFilter ref="C7:E12" xr:uid="{09324F53-4CF9-4A84-865D-5DA67071876A}"/>
  <tableColumns count="3">
    <tableColumn id="1" xr3:uid="{E8430FBC-5569-44AA-B82B-0C3E62C68356}" name="Impact Magnitude" dataDxfId="277"/>
    <tableColumn id="2" xr3:uid="{337C75B1-E855-481A-BF03-DFD2EA770FA3}" name="Prompt" dataDxfId="276"/>
    <tableColumn id="3" xr3:uid="{9A43E525-B93E-40F6-B6FD-66CB43ADAE48}" name="Response" dataDxfId="275"/>
  </tableColumns>
  <tableStyleInfo name="TableStyleMedium2"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51C00C5-B87F-49E2-BC87-136C3E61754D}" name="tblRiskRegister32" displayName="tblRiskRegister32" ref="B10:AJ140" totalsRowShown="0" headerRowDxfId="189" dataDxfId="188">
  <autoFilter ref="B10:AJ140" xr:uid="{9DD1637E-6A24-4152-BF1D-6C69C54474D3}"/>
  <sortState xmlns:xlrd2="http://schemas.microsoft.com/office/spreadsheetml/2017/richdata2" ref="B11:AJ140">
    <sortCondition ref="D10:D140"/>
  </sortState>
  <tableColumns count="35">
    <tableColumn id="20" xr3:uid="{B386DF3E-CAE4-41D3-A53A-37CD45084AE0}" name="Asset Class" dataDxfId="187"/>
    <tableColumn id="22" xr3:uid="{0F07088F-2060-479B-AB7C-17A71C3B8111}" name="Asset Name" dataDxfId="186"/>
    <tableColumn id="33" xr3:uid="{22B6B5FC-1E7E-402C-BDB3-EF0E6960D5F6}" name="CIS Safeguard #2" dataDxfId="185"/>
    <tableColumn id="2" xr3:uid="{982ABEAC-4809-4124-8426-1788708A5167}" name="CIS Safeguard Title" dataDxfId="184"/>
    <tableColumn id="30" xr3:uid="{2D102FF0-B9CB-4A30-8CCB-7E930C651C58}" name="IG1" dataDxfId="183"/>
    <tableColumn id="29" xr3:uid="{2A501978-25BD-4220-AC19-3FC5A559FB48}" name="IG2" dataDxfId="182"/>
    <tableColumn id="35" xr3:uid="{5DDFB219-6EBE-4624-9B0C-15A1F647A816}" name="NIST CSF Security Function" dataDxfId="181"/>
    <tableColumn id="34" xr3:uid="{E0C41EAD-99CD-4FFD-9AEC-9A3BEB37B0C3}" name="Our Implementation" dataDxfId="180"/>
    <tableColumn id="32" xr3:uid="{5EE95070-0AEA-45EC-B900-26546CD53269}" name="Evidence of Implementation" dataDxfId="179"/>
    <tableColumn id="1" xr3:uid="{4C329DA3-8A00-4882-97D6-E8DED3101F0A}" name="Vulnerabilities" dataDxfId="178"/>
    <tableColumn id="3" xr3:uid="{DE32F5DE-4A34-43B1-BD4D-C8C31FDC0ABA}" name="Safeguard Maturity Score" dataDxfId="177"/>
    <tableColumn id="27" xr3:uid="{AF3D0754-0D31-4DD4-948C-B5B61156F301}" name="VCDB Index" dataDxfId="176">
      <calculatedColumnFormula>IFERROR(VLOOKUP(tblRiskRegister32[[#This Row],[Asset Class]],tblVCDBIndex[],4,FALSE),"")</calculatedColumnFormula>
    </tableColumn>
    <tableColumn id="9" xr3:uid="{9DFFCE7E-90F3-41AA-AB97-02C29E3056AF}" name="Expectancy Score" dataDxfId="175">
      <calculatedColumnFormula>IFERROR(VLOOKUP(10*tblRiskRegister32[[#This Row],[Safeguard Maturity Score]]+tblRiskRegister32[[#This Row],[VCDB Index]],tblHITIndexWeightTable[],4,FALSE),"")</calculatedColumnFormula>
    </tableColumn>
    <tableColumn id="10" xr3:uid="{5C8A7569-0154-4ADD-AA40-77A64DEB3054}" name="Impact to Mission" dataDxfId="174">
      <calculatedColumnFormula>VLOOKUP(tblRiskRegister32[[#This Row],[Asset Class]],tblInherentImpacts30[],2,FALSE)</calculatedColumnFormula>
    </tableColumn>
    <tableColumn id="11" xr3:uid="{49D36246-41FB-408C-A888-625D2BA6E5D6}" name="Impact to Operational Objectives" dataDxfId="173">
      <calculatedColumnFormula>VLOOKUP(tblRiskRegister32[[#This Row],[Asset Class]],tblInherentImpacts30[],3,FALSE)</calculatedColumnFormula>
    </tableColumn>
    <tableColumn id="4" xr3:uid="{BCC17CE9-A961-4E9A-B634-3B7856D7A5F9}" name="Impact to Financial Objectives" dataDxfId="172">
      <calculatedColumnFormula>VLOOKUP(tblRiskRegister32[[#This Row],[Asset Class]],tblInherentImpacts30[],4,FALSE)</calculatedColumnFormula>
    </tableColumn>
    <tableColumn id="12" xr3:uid="{A00E3462-7287-475B-B575-7BE7420373C0}" name="Impact to Obligations" dataDxfId="171">
      <calculatedColumnFormula>VLOOKUP(tblRiskRegister32[[#This Row],[Asset Class]],tblInherentImpacts30[],5,FALSE)</calculatedColumnFormula>
    </tableColumn>
    <tableColumn id="13" xr3:uid="{0C576C88-0F5F-451B-A673-5833C54A352D}" name="Risk Score" dataDxfId="170">
      <calculatedColumnFormula>IFERROR(MAX(tblRiskRegister32[[#This Row],[Impact to Mission]:[Impact to Obligations]])*tblRiskRegister32[[#This Row],[Expectancy Score]],"")</calculatedColumnFormula>
    </tableColumn>
    <tableColumn id="14" xr3:uid="{0D85476C-FDB7-4719-AA34-655D011C000A}" name="Risk Level" dataDxfId="169">
      <calculatedColumnFormula>tblRiskRegister32[[#This Row],[Risk Score]]</calculatedColumnFormula>
    </tableColumn>
    <tableColumn id="25" xr3:uid="{FAB984D3-7F70-4E1E-943A-F2D67537C50A}" name="Risk Treatment Option" dataDxfId="168"/>
    <tableColumn id="5" xr3:uid="{054D0362-6301-484F-B8B8-124D5F94144B}" name="Risk Treatment Safeguard" dataDxfId="167"/>
    <tableColumn id="6" xr3:uid="{3975DA05-47EF-468D-B68B-DB1C38B4BECE}" name="Risk Treatment_x000a_Safeguard Title" dataDxfId="166"/>
    <tableColumn id="24" xr3:uid="{4EAC9308-CB78-4935-91A9-49DC03CE6F5E}" name="Risk Treatment_x000a_Safeguard Description" dataDxfId="165"/>
    <tableColumn id="21" xr3:uid="{17E35318-ED01-424F-8275-22B2A36A2166}" name="Our Planned Implementation" dataDxfId="164"/>
    <tableColumn id="7" xr3:uid="{7FC3B1A8-639C-4920-A4AF-6AD34C1B0CCE}" name="Risk Treatment Safeguard Maturity Score" dataDxfId="163"/>
    <tableColumn id="15" xr3:uid="{B4BEB8AC-0439-4C97-B0E5-230255ABDE1D}" name="Risk Treatment_x000a_Safeguard Expectancy Score" dataDxfId="162">
      <calculatedColumnFormula>IFERROR(VLOOKUP(10*tblRiskRegister32[[#This Row],[Risk Treatment Safeguard Maturity Score]]+tblRiskRegister32[[#This Row],[VCDB Index]],tblHITIndexWeightTable[],4,FALSE),"")</calculatedColumnFormula>
    </tableColumn>
    <tableColumn id="16" xr3:uid="{7E7FF273-7AE3-4B71-8DF7-5103C48270F0}" name="Risk Treatment Safeguard Impact to Mission" dataDxfId="161">
      <calculatedColumnFormula>VLOOKUP(tblRiskRegister32[[#This Row],[Asset Class]],tblInherentImpacts30[],2,FALSE)</calculatedColumnFormula>
    </tableColumn>
    <tableColumn id="17" xr3:uid="{E234E5FC-B87C-49AB-83F7-8F6E031E7C49}" name="Risk Treatment Safeguard Impact to Operational Objectives" dataDxfId="160">
      <calculatedColumnFormula>VLOOKUP(tblRiskRegister32[[#This Row],[Asset Class]],tblInherentImpacts30[],3,FALSE)</calculatedColumnFormula>
    </tableColumn>
    <tableColumn id="31" xr3:uid="{CF8589FA-F045-45CA-B868-242A68896202}" name="Risk Treatment Safeguard Impact to Financial Objectives" dataDxfId="159">
      <calculatedColumnFormula>VLOOKUP(tblRiskRegister32[[#This Row],[Asset Class]],tblInherentImpacts30[],4,FALSE)</calculatedColumnFormula>
    </tableColumn>
    <tableColumn id="18" xr3:uid="{EBA6F3A2-DCB1-4EFD-A655-B0BD5AE910E4}" name="Risk Treatment Safeguard Impact to Obligations" dataDxfId="158">
      <calculatedColumnFormula>VLOOKUP(tblRiskRegister32[[#This Row],[Asset Class]],tblInherentImpacts30[],5,FALSE)</calculatedColumnFormula>
    </tableColumn>
    <tableColumn id="28" xr3:uid="{F7B83DFB-FF9C-43AC-A3BD-70A58A5F15C6}" name="Risk Treatment Safeguard Risk Score" dataDxfId="157">
      <calculatedColumnFormula>IFERROR(MAX(tblRiskRegister32[[#This Row],[Risk Treatment Safeguard Impact to Mission]:[Risk Treatment Safeguard Impact to Obligations]])*tblRiskRegister32[[#This Row],[Risk Treatment
Safeguard Expectancy Score]],"")</calculatedColumnFormula>
    </tableColumn>
    <tableColumn id="26" xr3:uid="{6F4C4F60-3334-4128-81CE-FC73AD00F16A}" name="Reasonable and Acceptable" dataDxfId="156">
      <calculatedColumnFormula>IF(tblRiskRegister32[[#This Row],[Risk Score]]&gt;AcceptableRisk,IF(tblRiskRegister32[[#This Row],[Risk Treatment Safeguard Risk Score]]&lt;AcceptableRisk, IF(tblRiskRegister32[[#This Row],[Risk Treatment Safeguard Risk Score]]&lt;=tblRiskRegister32[[#This Row],[Risk Score]],"Yes","No"),"No"),"Yes")</calculatedColumnFormula>
    </tableColumn>
    <tableColumn id="19" xr3:uid="{15D7A831-919A-42AB-8722-C9CBEADE2F86}" name="Risk Treatment Safeguard Cost" dataDxfId="155" dataCellStyle="Currency"/>
    <tableColumn id="8" xr3:uid="{46272CCA-0793-4A93-9571-5F8AF995DBE7}" name="Implementation Quarter" dataDxfId="154" dataCellStyle="Currency"/>
    <tableColumn id="23" xr3:uid="{49E9853A-BB72-4DAD-AB59-4ABCF73F3CFE}" name="Implementation Year" dataDxfId="153"/>
  </tableColumns>
  <tableStyleInfo name="TableStyleMedium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17567108-5A07-43F6-BCA9-B155B5543AF6}" name="tblCostImpacts33" displayName="tblCostImpacts33" ref="AL10:AN20" totalsRowShown="0" headerRowDxfId="152" dataDxfId="151">
  <autoFilter ref="AL10:AN20" xr:uid="{8DF8E5E0-4444-493D-923E-B023F5A18943}"/>
  <tableColumns count="3">
    <tableColumn id="1" xr3:uid="{AC7F14F8-211B-49A4-9A7C-EE1DC0628C0A}" name="Impact to Financial Objectives" dataDxfId="150" dataCellStyle="Currency">
      <calculatedColumnFormula>SUMIF(tblRiskRegister32[[#All],[Implementation Year]],"="&amp;tblCostImpacts33[[#This Row],[Year]],tblRiskRegister32[[#All],[Risk Treatment Safeguard Cost]])</calculatedColumnFormula>
    </tableColumn>
    <tableColumn id="2" xr3:uid="{FC34218E-1AA0-45C1-8E86-735B23BFA4D9}" name="Year" dataDxfId="149"/>
    <tableColumn id="3" xr3:uid="{2500527B-152A-4873-A543-6623623C36BE}" name="Reasonable?" dataDxfId="148">
      <calculatedColumnFormula>IF(tblCostImpacts33[[#This Row],[Impact to Financial Objectives]]&lt;='2. Enterprise Parameters'!$F$13,"Yes","No")</calculatedColumnFormula>
    </tableColumn>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F715D722-C0DC-40F3-8939-425306C61E7A}" name="tblInherentImpacts3049" displayName="tblInherentImpacts3049" ref="F12:J18" totalsRowShown="0" headerRowDxfId="147" dataDxfId="145" headerRowBorderDxfId="146" tableBorderDxfId="144" totalsRowBorderDxfId="143">
  <tableColumns count="5">
    <tableColumn id="1" xr3:uid="{02FCC110-778C-4100-9418-34D68627396C}" name="Asset Class" dataDxfId="142"/>
    <tableColumn id="2" xr3:uid="{AA9BA4D5-E6E2-469D-B2AE-A50989E3BFAB}" name="Mission Impact" dataDxfId="141"/>
    <tableColumn id="3" xr3:uid="{F8B9C3A7-534A-4AA2-979B-DFA752C04141}" name="Operational Objectives Impact" dataDxfId="140"/>
    <tableColumn id="4" xr3:uid="{43B3DDD4-C43F-4881-8420-23813EB197C9}" name="Financial Objectives Impact" dataDxfId="139"/>
    <tableColumn id="5" xr3:uid="{946B9417-092B-44F8-B7EB-0DBF608AE0FE}" name="Obligations Impact" dataDxfId="13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8BBA5EBE-03E7-45DE-8727-6AB98509E54B}" name="tblImpactDefinitions2950" displayName="tblImpactDefinitions2950" ref="F3:J9" totalsRowShown="0" headerRowDxfId="137" dataDxfId="135" headerRowBorderDxfId="136" tableBorderDxfId="134" totalsRowBorderDxfId="133">
  <tableColumns count="5">
    <tableColumn id="1" xr3:uid="{85376017-A3CF-4BE2-BB88-4AEB7C755F69}" name="Impact Scores" dataDxfId="132"/>
    <tableColumn id="2" xr3:uid="{04585905-B17C-4E87-8E57-FA4C5971F3D2}" name="Mission" dataDxfId="131"/>
    <tableColumn id="3" xr3:uid="{1ABAD568-DF55-402E-8C78-0E11DCD6F68E}" name="Operational Objectives" dataDxfId="130">
      <calculatedColumnFormula>IF(ISBLANK('1. Impact Criteria Survey '!H38),"",'1. Impact Criteria Survey '!H38)</calculatedColumnFormula>
    </tableColumn>
    <tableColumn id="4" xr3:uid="{D68FB863-1913-4052-8144-35A8F7241910}" name="Financial Objectives" dataDxfId="129" dataCellStyle="Currency"/>
    <tableColumn id="5" xr3:uid="{B1CF1284-FD2F-4F84-B81C-9A9748936E1C}" name="Obligations" dataDxfId="128">
      <calculatedColumnFormula>IF(ISBLANK('1. Impact Criteria Survey '!H64),"",'1. Impact Criteria Survey '!H64)</calculatedColumnFormula>
    </tableColumn>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E48999-10B6-4E11-B044-B277753047A0}" name="tblMaturityScores" displayName="tblMaturityScores" ref="B18:C23" totalsRowShown="0" headerRowDxfId="127" dataDxfId="126">
  <autoFilter ref="B18:C23" xr:uid="{7B87A968-A3AD-4C4F-82A7-F496D86A46DA}"/>
  <tableColumns count="2">
    <tableColumn id="1" xr3:uid="{DD79982C-A9BA-4C29-9339-25D7077BA225}" name="Maturity Scores" dataDxfId="125"/>
    <tableColumn id="2" xr3:uid="{B95BD2FA-F1A4-4A6B-8B12-4B5DE8ABB09E}" name="Definition" dataDxfId="124"/>
  </tableColumns>
  <tableStyleInfo name="TableStyleMedium4"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FE67D7F-408D-4247-9729-AF2715BBF482}" name="Table5" displayName="Table5" ref="B29:D34" totalsRowShown="0" headerRowDxfId="123" dataDxfId="122">
  <autoFilter ref="B29:D34" xr:uid="{9543C490-5DBE-41CA-B48C-0C5A61F445AA}"/>
  <tableColumns count="3">
    <tableColumn id="1" xr3:uid="{AB1F23FC-EFCD-4F47-981B-1A533DC44E01}" name="Expectancy Scores" dataDxfId="121"/>
    <tableColumn id="2" xr3:uid="{4239A226-FA5E-49A1-86BA-6C89EC06FDE3}" name="Expectancy" dataDxfId="120"/>
    <tableColumn id="3" xr3:uid="{0C12584E-04E3-4DDF-B031-4024B9D8D6D4}" name="Criteria" dataDxfId="119"/>
  </tableColumns>
  <tableStyleInfo name="TableStyleMedium4"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15C1274-FDB1-4BEB-98FC-B08D4109F889}" name="Table6" displayName="Table6" ref="B40:C41" totalsRowShown="0" headerRowDxfId="118" dataDxfId="117">
  <autoFilter ref="B40:C41" xr:uid="{1F2A4CDB-E353-417D-87C3-37E36339B4E8}"/>
  <tableColumns count="2">
    <tableColumn id="1" xr3:uid="{3DC79FAB-AE52-4C8A-96B3-D0F1100C46B0}" name="Acceptable Risk Score" dataDxfId="116">
      <calculatedColumnFormula>IF(AcceptableRisk&gt;0, "&lt; " &amp; AcceptableRisk, "Complete the Risk Acceptance Criteria table in Enterprise Parameters")</calculatedColumnFormula>
    </tableColumn>
    <tableColumn id="2" xr3:uid="{2716CAD0-D544-4052-A3D6-A853AF68014F}" name="Risk Acceptance Criteria" dataDxfId="115">
      <calculatedColumnFormula>IF(AcceptableRisk&gt;0, "All scores lower than '" &amp; AcceptableRisk &amp; "' may be automatically accepted. All other risks must be reduced.","Complete the Risk Acceptance Criteria table in Enterprise parameters.")</calculatedColumnFormula>
    </tableColumn>
  </tableColumns>
  <tableStyleInfo name="TableStyleMedium4"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D7DE92C-2FC9-4A9B-8B56-9BBAC9A4D18C}" name="tblVCDBIndex" displayName="tblVCDBIndex" ref="B48:E55" totalsRowShown="0" headerRowDxfId="114" dataDxfId="113">
  <autoFilter ref="B48:E55" xr:uid="{3D5FFE15-1BB4-4EF0-B09F-4B164D6A82A7}"/>
  <tableColumns count="4">
    <tableColumn id="1" xr3:uid="{50E1FA10-603D-42D6-8A53-9DE10B2F836D}" name="Asset Class" dataDxfId="112"/>
    <tableColumn id="2" xr3:uid="{A5ADADF0-F404-4FB8-B93B-A9D20A6C8892}" name="Sum of Threat Count / Industry" dataDxfId="111"/>
    <tableColumn id="3" xr3:uid="{E69ACDA9-ACAA-4EEA-9C81-B28906831D41}" name="Percentage" dataDxfId="110" dataCellStyle="Percent">
      <calculatedColumnFormula>tblVCDBIndex[[#This Row],[Sum of Threat Count / Industry]]/$C$47</calculatedColumnFormula>
    </tableColumn>
    <tableColumn id="4" xr3:uid="{287EDDA7-0E69-4366-BA87-DCC60821B9A2}" name="Index" dataDxfId="109">
      <calculatedColumnFormula>IF(tblVCDBIndex[[#This Row],[Percentage]]&gt;=0.5,3,IF(tblVCDBIndex[[#This Row],[Percentage]]&gt;=0.1,2,1))</calculatedColumnFormula>
    </tableColumn>
  </tableColumns>
  <tableStyleInfo name="TableStyleMedium4"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E887B67-BF2C-4E30-9E2B-2AF3B21AC2F9}" name="tblHITIndexWeightTable" displayName="tblHITIndexWeightTable" ref="B61:E86" totalsRowShown="0" headerRowDxfId="108" dataDxfId="107">
  <autoFilter ref="B61:E86" xr:uid="{045CA64F-00D5-4A25-A420-B3A85B51667D}"/>
  <sortState xmlns:xlrd2="http://schemas.microsoft.com/office/spreadsheetml/2017/richdata2" ref="C62:E70">
    <sortCondition descending="1" ref="C61:C70"/>
  </sortState>
  <tableColumns count="4">
    <tableColumn id="4" xr3:uid="{42C0E347-189B-4749-AA0C-F2B9D0D43957}" name="VCDB Index Lookup" dataDxfId="106"/>
    <tableColumn id="1" xr3:uid="{54D34524-94CD-466A-B10E-F45894C20F46}" name="Maturity" dataDxfId="105"/>
    <tableColumn id="2" xr3:uid="{6FFDD197-6A58-4063-AFA5-225A42374912}" name="VCDB Index" dataDxfId="104"/>
    <tableColumn id="3" xr3:uid="{2AC0ACC8-58E6-4D9E-9B01-B192A02430C5}" name="Expectancy" dataDxfId="103"/>
  </tableColumns>
  <tableStyleInfo name="TableStyleMedium4"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F47F86D-E0F9-4DBA-AF95-CF1AC686018A}" name="Table10" displayName="Table10" ref="B6:B12" totalsRowShown="0" headerRowDxfId="102" dataDxfId="101">
  <autoFilter ref="B6:B12" xr:uid="{CC22DCD9-5E80-491A-A6DB-255929F03381}"/>
  <tableColumns count="1">
    <tableColumn id="1" xr3:uid="{EAB9E2CC-245E-4CC2-A0A0-5DC2A0BBFAB4}" name="Asset Classes" dataDxfId="100"/>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B23F7C1C-AA2E-407B-B213-D94117A47A8E}" name="tblOperationalObjectivesPrompts26" displayName="tblOperationalObjectivesPrompts26" ref="C20:E25" totalsRowShown="0" headerRowDxfId="274" dataDxfId="273">
  <autoFilter ref="C20:E25" xr:uid="{46EAAD7E-2ACA-4874-86BE-FF0085A8CE13}"/>
  <tableColumns count="3">
    <tableColumn id="1" xr3:uid="{535F53D4-86F0-4A36-887D-9D6631359F32}" name="Impact Magnitude" dataDxfId="272"/>
    <tableColumn id="2" xr3:uid="{CE887ECA-A047-42AB-8C26-95DED5D9B71B}" name="Prompt" dataDxfId="271"/>
    <tableColumn id="3" xr3:uid="{7F9BE9F0-9919-4FE1-B65C-11C6F94EA6C9}" name="Response" dataDxfId="270"/>
  </tableColumns>
  <tableStyleInfo name="TableStyleMedium2" showFirstColumn="0" showLastColumn="0" showRowStripes="0"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F5197394-C98A-47C4-9CBC-32571ED11E59}" name="tblMaturityScores1213" displayName="tblMaturityScores1213" ref="N3:O8" totalsRowShown="0" headerRowDxfId="99" dataDxfId="98" tableBorderDxfId="97">
  <autoFilter ref="N3:O8" xr:uid="{ECF99691-39B8-4848-9BB4-E26E83115FB5}"/>
  <tableColumns count="2">
    <tableColumn id="1" xr3:uid="{D15C61DF-9172-462F-A129-7BD2507CE13B}" name="Maturity Scores" dataDxfId="96"/>
    <tableColumn id="2" xr3:uid="{BF18E76D-9C72-4FF8-91DD-95A72DE3BB71}" name="Definition" dataDxfId="95"/>
  </tableColumns>
  <tableStyleInfo name="TableStyleMedium4"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51622E9C-4AF0-4699-967D-6AFBE7C88591}" name="tblMaturityScores121323" displayName="tblMaturityScores121323" ref="AB2:AC7" totalsRowShown="0" headerRowDxfId="94" dataDxfId="93" tableBorderDxfId="92">
  <autoFilter ref="AB2:AC7" xr:uid="{93B096CB-86C1-4018-AE0F-75339CB7E9CD}"/>
  <tableColumns count="2">
    <tableColumn id="1" xr3:uid="{9A148BE5-5716-45D4-8A2B-FB9603CD49CC}" name="Maturity Scores" dataDxfId="91"/>
    <tableColumn id="2" xr3:uid="{7B2E1E6F-9365-4B40-A029-AFE4BB02AFA7}" name="Definition" dataDxfId="90"/>
  </tableColumns>
  <tableStyleInfo name="TableStyleMedium4"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A325D08E-D4F8-4674-B472-287D2E2F9B24}" name="tblMissionPrompts1539" displayName="tblMissionPrompts1539" ref="C6:E11" totalsRowShown="0" headerRowDxfId="89" dataDxfId="88">
  <autoFilter ref="C6:E11" xr:uid="{8F20711D-F8B1-48CD-B22F-0A5A0A1C5D3C}"/>
  <tableColumns count="3">
    <tableColumn id="1" xr3:uid="{8DD8C15C-969A-4348-A666-A505EF01B4FB}" name="Impact Magnitude" dataDxfId="87"/>
    <tableColumn id="2" xr3:uid="{F98D7123-521C-4C49-A373-E13109FC035B}" name="Prompt" dataDxfId="86"/>
    <tableColumn id="3" xr3:uid="{54791CCD-0A9A-4145-A347-7827FD2C303D}" name="Response" dataDxfId="85"/>
  </tableColumns>
  <tableStyleInfo name="TableStyleMedium2" showFirstColumn="0" showLastColumn="0" showRowStripes="0"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C52A6CDA-F661-44DE-9F88-3E2B6F2433F3}" name="tblOperationalObjectivesPrompts1640" displayName="tblOperationalObjectivesPrompts1640" ref="C19:E24" totalsRowShown="0" headerRowDxfId="84" dataDxfId="83">
  <autoFilter ref="C19:E24" xr:uid="{B367AB36-C3FA-43BC-A465-45E7905186F9}"/>
  <tableColumns count="3">
    <tableColumn id="1" xr3:uid="{F305EC84-4891-4445-81A7-24DF93A2E1FA}" name="Impact Magnitude" dataDxfId="82"/>
    <tableColumn id="2" xr3:uid="{B53E6250-0084-44B2-B0FF-8A7450EE55A5}" name="Prompt" dataDxfId="81"/>
    <tableColumn id="3" xr3:uid="{2DB02900-64C1-4EBE-B3C5-26DDDD60C131}" name="Response" dataDxfId="80"/>
  </tableColumns>
  <tableStyleInfo name="TableStyleMedium2" showFirstColumn="0" showLastColumn="0" showRowStripes="0"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105BEDC4-1A42-41AA-B7D6-B2DA6EF2DC63}" name="tblFinancialObjectivesPrompts1741" displayName="tblFinancialObjectivesPrompts1741" ref="C32:E37" totalsRowShown="0" headerRowDxfId="79" dataDxfId="78">
  <autoFilter ref="C32:E37" xr:uid="{CDA49DD3-0427-4E3F-8578-C3FCC4E21BFC}"/>
  <tableColumns count="3">
    <tableColumn id="1" xr3:uid="{FAE0EED5-64EE-4E3C-B77A-DC8074C3961C}" name="Impact Magnitude" dataDxfId="77"/>
    <tableColumn id="2" xr3:uid="{71FF4BD6-207E-4C3B-B2EE-F2564853062C}" name="Prompt" dataDxfId="76"/>
    <tableColumn id="3" xr3:uid="{F986A9D7-EBEF-43AD-9C9A-B573F6B1E3A8}" name="Response" dataDxfId="75"/>
  </tableColumns>
  <tableStyleInfo name="TableStyleMedium2" showFirstColumn="0" showLastColumn="0" showRowStripes="0"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EF4783F5-0397-4184-8BA5-73D9FEC8A444}" name="tblObligations1842" displayName="tblObligations1842" ref="C45:E50" totalsRowShown="0" headerRowDxfId="74" dataDxfId="73">
  <autoFilter ref="C45:E50" xr:uid="{28D384D7-D4A2-45B2-9A91-0A8B145D46D3}"/>
  <tableColumns count="3">
    <tableColumn id="1" xr3:uid="{22E34050-297D-4ADA-97DC-CE4CC5D2EF15}" name="Impact Magnitude" dataDxfId="72"/>
    <tableColumn id="2" xr3:uid="{DEB9BBB3-938A-49A1-B595-B64230CC6D30}" name="Prompt" dataDxfId="71"/>
    <tableColumn id="3" xr3:uid="{BE2950B3-C8D5-460E-9DB8-27FDD3E0157B}" name="Response" dataDxfId="70"/>
  </tableColumns>
  <tableStyleInfo name="TableStyleMedium2" showFirstColumn="0" showLastColumn="0" showRowStripes="0"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EB1E71CB-CBAE-40E0-8E43-17E2DBAA543D}" name="tblImpactDefinitions2945" displayName="tblImpactDefinitions2945" ref="C10:G16" totalsRowShown="0" headerRowDxfId="69" dataDxfId="67" headerRowBorderDxfId="68" tableBorderDxfId="66" totalsRowBorderDxfId="65">
  <autoFilter ref="C10:G16" xr:uid="{AC9EE49D-FD97-44FB-9443-D3A906BF843D}"/>
  <tableColumns count="5">
    <tableColumn id="1" xr3:uid="{F3AD8B7F-126A-4CF3-9DC6-D64FF62189DE}" name="Impact Scores" dataDxfId="64"/>
    <tableColumn id="2" xr3:uid="{DED4030E-F551-4AA4-AACF-660E6D67AD55}" name="Mission" dataDxfId="63">
      <calculatedColumnFormula>IF(ISBLANK('Impact Criteria Survey -EXAMPLE'!E6),"",'Impact Criteria Survey -EXAMPLE'!E6)</calculatedColumnFormula>
    </tableColumn>
    <tableColumn id="3" xr3:uid="{20148093-B4B3-4FF0-A110-16D84165B335}" name="Operational Objectives" dataDxfId="62"/>
    <tableColumn id="4" xr3:uid="{7750DC98-5F84-4E4D-B8C7-4B41B5B32211}" name="Financial Objectives" dataDxfId="61" dataCellStyle="Currency"/>
    <tableColumn id="5" xr3:uid="{25D5253D-A1E1-404B-91F1-8630ACB2CCCA}" name="Obligations" dataDxfId="60">
      <calculatedColumnFormula>IF(ISBLANK('1. Impact Criteria Survey '!E41),"",'1. Impact Criteria Survey '!E41)</calculatedColumnFormula>
    </tableColumn>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668D6C46-439B-4037-8400-FD7E4CACA45A}" name="tblInherentImpacts3046" displayName="tblInherentImpacts3046" ref="C41:G47" totalsRowShown="0" headerRowDxfId="59" dataDxfId="57" headerRowBorderDxfId="58" tableBorderDxfId="56" totalsRowBorderDxfId="55">
  <autoFilter ref="C41:G47" xr:uid="{BDD42A33-B57B-4DB3-BD86-31AC8D65158E}"/>
  <tableColumns count="5">
    <tableColumn id="1" xr3:uid="{3E7D73AD-97B9-4FDE-AFB5-46AFF196C758}" name="Asset Class" dataDxfId="54"/>
    <tableColumn id="2" xr3:uid="{D3E0FE09-DFB5-4A53-8726-3F5FF883D750}" name="Mission Impact" dataDxfId="53">
      <calculatedColumnFormula>IF(MAX(D43:D47)=0,"",MAX(D43,D47))</calculatedColumnFormula>
    </tableColumn>
    <tableColumn id="3" xr3:uid="{8E61C2D3-6B72-47FF-9679-B78CB125C4FC}" name="Operational Objectives Impact" dataDxfId="52">
      <calculatedColumnFormula>IF(MAX(E43:E47)=0,"",MAX(E43,E47))</calculatedColumnFormula>
    </tableColumn>
    <tableColumn id="4" xr3:uid="{7BF30770-5AAE-4342-9E04-97CE9C52CB12}" name="Financial Objectives Impact" dataDxfId="51">
      <calculatedColumnFormula>IF(MAX(F43:F47)=0,"",MAX(F43,F47))</calculatedColumnFormula>
    </tableColumn>
    <tableColumn id="5" xr3:uid="{0396D0B1-BA5C-48AB-B707-9D3AE1040E51}" name="Obligations Impact" dataDxfId="50">
      <calculatedColumnFormula>IF(MAX(G43:G47)=0,"",MAX(G43,G47))</calculatedColumnFormula>
    </tableColumn>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C9713C22-1B33-45C5-BBE2-3BA67AA909EF}" name="tblLikelihoodDefinitions3147" displayName="tblLikelihoodDefinitions3147" ref="C22:E27" totalsRowShown="0" headerRowDxfId="49" dataDxfId="47" headerRowBorderDxfId="48" tableBorderDxfId="46" totalsRowBorderDxfId="45">
  <autoFilter ref="C22:E27" xr:uid="{6FB9D85E-A6E4-46DD-BB11-47B5DB255A08}"/>
  <tableColumns count="3">
    <tableColumn id="1" xr3:uid="{93F52962-9677-46AA-8CAF-D2BDF21D68D4}" name="Expectancy Score" dataDxfId="44"/>
    <tableColumn id="2" xr3:uid="{4155E0A7-14EB-463C-9E08-EFA0EE4535AB}" name="Expectancy" dataDxfId="43"/>
    <tableColumn id="3" xr3:uid="{3872D790-16D4-4CE4-9D37-0C6E4C687BBF}" name="Criteria" dataDxfId="42"/>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D585E0-C864-4594-A12E-454215854C1C}" name="tblRiskRegister322" displayName="tblRiskRegister322" ref="B10:AJ142" totalsRowShown="0" headerRowDxfId="41" dataDxfId="40">
  <autoFilter ref="B10:AJ142" xr:uid="{D354E302-68B3-4802-8106-BFE351F57305}"/>
  <sortState xmlns:xlrd2="http://schemas.microsoft.com/office/spreadsheetml/2017/richdata2" ref="B11:AJ142">
    <sortCondition ref="B10:B142"/>
  </sortState>
  <tableColumns count="35">
    <tableColumn id="20" xr3:uid="{80691878-5261-456D-A879-36CE7C832564}" name="Asset Class" dataDxfId="39"/>
    <tableColumn id="22" xr3:uid="{ADC060B9-2C95-42C0-9DE6-1CFD83E74B12}" name="Asset Name" dataDxfId="38"/>
    <tableColumn id="36" xr3:uid="{F0E8DD83-C9F1-45AD-9D27-7BF5E80445A3}" name="CIS Safeguard #" dataDxfId="37"/>
    <tableColumn id="2" xr3:uid="{5F1D3A46-4635-45EE-886D-8129BAE43903}" name="CIS Safeguard Title" dataDxfId="36"/>
    <tableColumn id="30" xr3:uid="{88DBE0ED-7216-4057-B082-19934F6A7300}" name="IG1" dataDxfId="35"/>
    <tableColumn id="29" xr3:uid="{FA422FAE-EA63-4A8D-9B19-DF17436C7CDF}" name="IG2" dataDxfId="34"/>
    <tableColumn id="32" xr3:uid="{2B06C3D5-7971-4CE7-B6BD-2ED75D1EA50F}" name="NIST CSF Security Function" dataDxfId="33"/>
    <tableColumn id="35" xr3:uid="{38EAC5DE-BD1F-4A12-8602-4A643938E222}" name="Our Implementation" dataDxfId="32"/>
    <tableColumn id="1" xr3:uid="{8423CAC4-3005-4F25-B5EA-E73EDBE5A74F}" name="Evidence of Implementation" dataDxfId="31"/>
    <tableColumn id="34" xr3:uid="{1392BAA1-59E9-4956-999A-62554D454B45}" name="Vulnerabilities" dataDxfId="30"/>
    <tableColumn id="3" xr3:uid="{782376B1-9931-462A-A8FB-78A292DC8A53}" name="Safeguard Maturity Score" dataDxfId="29"/>
    <tableColumn id="27" xr3:uid="{346ADEB2-1F1D-48DB-9A3E-1AFC9366FAD5}" name="VCDB Index" dataDxfId="28">
      <calculatedColumnFormula>IFERROR(VLOOKUP(tblRiskRegister322[[#This Row],[Asset Class]],tblVCDBIndex[],4,FALSE),"")</calculatedColumnFormula>
    </tableColumn>
    <tableColumn id="9" xr3:uid="{F20E7F24-5130-4F77-84F1-C46308E87019}" name="Expectancy Score" dataDxfId="27">
      <calculatedColumnFormula>IFERROR(VLOOKUP(10*tblRiskRegister322[[#This Row],[Safeguard Maturity Score]]+tblRiskRegister322[[#This Row],[VCDB Index]],tblHITIndexWeightTable[],4,FALSE),"")</calculatedColumnFormula>
    </tableColumn>
    <tableColumn id="10" xr3:uid="{106835A6-7F4F-4012-A398-79563B800BDC}" name="Impact to Mission" dataDxfId="26">
      <calculatedColumnFormula>VLOOKUP(tblRiskRegister322[[#This Row],[Asset Class]],tblInherentImpacts3046[],2,FALSE)</calculatedColumnFormula>
    </tableColumn>
    <tableColumn id="11" xr3:uid="{8B908234-1DFF-4ED1-9EA3-7BB6AE4A1E69}" name="Impact to Operational Objectives" dataDxfId="25">
      <calculatedColumnFormula>VLOOKUP(tblRiskRegister322[[#This Row],[Asset Class]],tblInherentImpacts3046[],3,FALSE)</calculatedColumnFormula>
    </tableColumn>
    <tableColumn id="4" xr3:uid="{8E43F6AE-7DF9-406A-8B07-DAD8726C719A}" name="Impact to Financial Objectives" dataDxfId="24">
      <calculatedColumnFormula>VLOOKUP(tblRiskRegister322[[#This Row],[Asset Class]],tblInherentImpacts3046[],4,FALSE)</calculatedColumnFormula>
    </tableColumn>
    <tableColumn id="12" xr3:uid="{E4A3ADD3-7E42-4B59-9308-08B3B6C7274A}" name="Impact to Obligations" dataDxfId="23">
      <calculatedColumnFormula>VLOOKUP(tblRiskRegister322[[#This Row],[Asset Class]],tblInherentImpacts3046[],5,FALSE)</calculatedColumnFormula>
    </tableColumn>
    <tableColumn id="13" xr3:uid="{77AA18BA-E7D4-4DD6-9E95-8171F3B5805B}" name="Risk Score" dataDxfId="22">
      <calculatedColumnFormula>IFERROR(MAX(tblRiskRegister322[[#This Row],[Impact to Mission]:[Impact to Obligations]])*tblRiskRegister322[[#This Row],[Expectancy Score]],"")</calculatedColumnFormula>
    </tableColumn>
    <tableColumn id="14" xr3:uid="{BDE1C990-D52D-40EE-85CB-7691B700B8B0}" name="Risk Level" dataDxfId="21">
      <calculatedColumnFormula>tblRiskRegister322[[#This Row],[Risk Score]]</calculatedColumnFormula>
    </tableColumn>
    <tableColumn id="25" xr3:uid="{726FBDB8-DD30-4F67-896E-7D96BED55716}" name="Risk Treatment Option" dataDxfId="20"/>
    <tableColumn id="5" xr3:uid="{580D0DBE-7958-45D2-8CD2-3B80D95D553C}" name="Risk Treatment Safeguard" dataDxfId="19"/>
    <tableColumn id="6" xr3:uid="{A728B141-FE48-40BC-A10E-724F2BEE8A07}" name="Risk Treatment_x000a_Safeguard Title" dataDxfId="18"/>
    <tableColumn id="24" xr3:uid="{EFFAE801-138C-426A-898D-F46A863123E2}" name="Risk Treatment_x000a_Safeguard Description" dataDxfId="17"/>
    <tableColumn id="21" xr3:uid="{7C29A721-6CC3-4AC6-9034-AD521FE2922F}" name="Our Planned Implementation" dataDxfId="16"/>
    <tableColumn id="7" xr3:uid="{A21F528D-E428-42FB-A06F-93579A633C58}" name="Risk Treatment Safeguard Maturity Score" dataDxfId="15"/>
    <tableColumn id="15" xr3:uid="{FE5696B6-21A5-444D-B81A-AE2B55AC5632}" name="Risk Treatment_x000a_Safeguard Expectancy Score" dataDxfId="14">
      <calculatedColumnFormula>IFERROR(VLOOKUP(10*tblRiskRegister322[[#This Row],[Risk Treatment Safeguard Maturity Score]]+tblRiskRegister322[[#This Row],[VCDB Index]],tblHITIndexWeightTable[],4,FALSE),"")</calculatedColumnFormula>
    </tableColumn>
    <tableColumn id="16" xr3:uid="{EC79A448-C66F-4E00-A46D-E2303FDBC4DF}" name="Risk Treatment Safeguard Impact to Mission" dataDxfId="13">
      <calculatedColumnFormula>VLOOKUP(tblRiskRegister3234[[#This Row],[Asset Class]],#REF!,2,FALSE)</calculatedColumnFormula>
    </tableColumn>
    <tableColumn id="17" xr3:uid="{E684026E-5333-4A11-9E15-90EBC9102B81}" name="Risk Treatment Safeguard Impact to Operational Objectives" dataDxfId="12">
      <calculatedColumnFormula>VLOOKUP(tblRiskRegister3234[[#This Row],[Asset Class]],#REF!,3,FALSE)</calculatedColumnFormula>
    </tableColumn>
    <tableColumn id="31" xr3:uid="{7C411A34-79A1-4C3B-B900-7BEE9C3128CB}" name="Risk Treatment Safeguard Impact to Financial Objectives" dataDxfId="11">
      <calculatedColumnFormula>VLOOKUP(tblRiskRegister3234[[#This Row],[Asset Class]],#REF!,3,FALSE)</calculatedColumnFormula>
    </tableColumn>
    <tableColumn id="18" xr3:uid="{CE657541-C92D-488F-894D-ED33AB4EBD28}" name="Risk Treatment Safeguard Impact to Obligations" dataDxfId="10">
      <calculatedColumnFormula>VLOOKUP(tblRiskRegister3234[[#This Row],[Asset Class]],#REF!,4,FALSE)</calculatedColumnFormula>
    </tableColumn>
    <tableColumn id="28" xr3:uid="{1B611DCF-F8AD-4263-A290-9099F11C8AFA}" name="Risk Treatment Safeguard Risk Score" dataDxfId="9">
      <calculatedColumnFormula>IFERROR(MAX(tblRiskRegister322[[#This Row],[Risk Treatment Safeguard Impact to Mission]:[Risk Treatment Safeguard Impact to Obligations]])*tblRiskRegister322[[#This Row],[Risk Treatment
Safeguard Expectancy Score]],"")</calculatedColumnFormula>
    </tableColumn>
    <tableColumn id="26" xr3:uid="{31C77B38-2E32-4A32-A910-0B58E23980E1}" name="Reasonable and Acceptable" dataDxfId="8">
      <calculatedColumnFormula>IF(tblRiskRegister322[[#This Row],[Risk Score]]&gt;AcceptableRisk1,IF(tblRiskRegister322[[#This Row],[Risk Treatment Safeguard Risk Score]]&lt;AcceptableRisk1, IF(tblRiskRegister322[[#This Row],[Risk Treatment Safeguard Risk Score]]&lt;=tblRiskRegister322[[#This Row],[Risk Score]],"Yes","No"),"No"),"Yes")</calculatedColumnFormula>
    </tableColumn>
    <tableColumn id="19" xr3:uid="{DB159915-DBDA-40D8-B50F-672F5F2497BB}" name="Risk Treatment Safeguard Cost" dataDxfId="7" dataCellStyle="Currency"/>
    <tableColumn id="8" xr3:uid="{E66FCFD3-3CEC-4EEB-B2F2-C6392FCB198D}" name="Implementation Quarter" dataDxfId="6" dataCellStyle="Currency"/>
    <tableColumn id="23" xr3:uid="{20E2162F-F17C-4BB3-98E8-CF87C5E37F5B}" name="Implementation Year" dataDxfId="5"/>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FE169686-DAE3-4361-924C-4E0464623588}" name="tblFinancialObjectivesPrompts27" displayName="tblFinancialObjectivesPrompts27" ref="C33:E38" totalsRowShown="0" headerRowDxfId="269" dataDxfId="268">
  <autoFilter ref="C33:E38" xr:uid="{5B3764C1-C122-4A1D-B915-2B9D03361D63}"/>
  <tableColumns count="3">
    <tableColumn id="1" xr3:uid="{2D34249D-F98C-45AF-983C-A68F4E069883}" name="Impact Magnitude" dataDxfId="267"/>
    <tableColumn id="2" xr3:uid="{EA7E3BD7-6861-4E52-9960-3AE1002DC7EA}" name="Prompt" dataDxfId="266"/>
    <tableColumn id="3" xr3:uid="{520E4071-CBE2-4F78-966A-F4D607031C4B}" name="Response" dataDxfId="265"/>
  </tableColumns>
  <tableStyleInfo name="TableStyleMedium2" showFirstColumn="0" showLastColumn="0" showRowStripes="0"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12F5A40-485A-4E1B-BD23-45BDF2D79AAA}" name="tblCostImpacts335" displayName="tblCostImpacts335" ref="AL10:AN20" totalsRowShown="0" headerRowDxfId="4" dataDxfId="3">
  <autoFilter ref="AL10:AN20" xr:uid="{8DF8E5E0-4444-493D-923E-B023F5A18943}"/>
  <tableColumns count="3">
    <tableColumn id="1" xr3:uid="{CA450968-2EE5-4184-A7B5-3ADE21F0666C}" name="Impact to Financial Objectives" dataDxfId="2" dataCellStyle="Currency">
      <calculatedColumnFormula>SUMIF(tblRiskRegister322[[#All],[Implementation Year]],"="&amp;tblCostImpacts335[[#This Row],[Year]],tblRiskRegister322[[#All],[Risk Treatment Safeguard Cost]])</calculatedColumnFormula>
    </tableColumn>
    <tableColumn id="2" xr3:uid="{B21E7AA5-67E6-439A-8EEA-9252F7B2E130}" name="Year" dataDxfId="1"/>
    <tableColumn id="3" xr3:uid="{D07C27F0-02E9-4F9B-AB16-79670B802288}" name="Reasonable?" dataDxfId="0">
      <calculatedColumnFormula>IF(tblCostImpacts335[[#This Row],[Impact to Financial Objectives]]&lt;='Enterprise Parameters  -EXAMPLE'!$F$13,"Yes","No")</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FF4AF5F8-3C64-4617-A0C2-202D26B431E6}" name="tblObligations28" displayName="tblObligations28" ref="C46:E51" totalsRowShown="0" headerRowDxfId="264" dataDxfId="263">
  <autoFilter ref="C46:E51" xr:uid="{614F668E-5111-40F9-AD5F-D214A6D31BA0}"/>
  <tableColumns count="3">
    <tableColumn id="1" xr3:uid="{BF7A29C5-E77A-456C-97B8-6FF6D1DF21CC}" name="Impact Magnitude" dataDxfId="262"/>
    <tableColumn id="2" xr3:uid="{54CB0C56-F545-4FD1-BE16-32AFFA33E1C9}" name="Prompt" dataDxfId="261"/>
    <tableColumn id="3" xr3:uid="{4DC93E75-3D17-411E-98E6-F5062AFA5ED2}" name="Response" dataDxfId="260"/>
  </tableColumns>
  <tableStyleInfo name="TableStyleMedium2"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CB5BA82D-C6DB-4120-95D5-DB050AECF539}" name="tblImpactDefinitions29" displayName="tblImpactDefinitions29" ref="C10:G16" totalsRowShown="0" headerRowDxfId="259" dataDxfId="257" headerRowBorderDxfId="258" tableBorderDxfId="256" totalsRowBorderDxfId="255">
  <autoFilter ref="C10:G16" xr:uid="{8DD03DC5-50FC-44D0-B8F0-179EA60BA403}"/>
  <tableColumns count="5">
    <tableColumn id="1" xr3:uid="{BAC54837-23DB-4BCF-88DA-B6572157BE46}" name="Impact Scores" dataDxfId="254"/>
    <tableColumn id="2" xr3:uid="{24ADE7BD-E00C-40B1-B8DC-CDFF149BC72E}" name="Mission" dataDxfId="253"/>
    <tableColumn id="3" xr3:uid="{AAC3B212-DEAB-47EC-80E4-1B680BFDAA46}" name="Operational Objectives" dataDxfId="252">
      <calculatedColumnFormula>IF(ISBLANK('1. Impact Criteria Survey '!E20),"",'1. Impact Criteria Survey '!E20)</calculatedColumnFormula>
    </tableColumn>
    <tableColumn id="4" xr3:uid="{EB9B0B8C-2509-4335-A81B-418E123B40A7}" name="Financial Objectives" dataDxfId="251" dataCellStyle="Currency"/>
    <tableColumn id="5" xr3:uid="{D767CD6B-9DA6-4491-828E-8889CE62F12E}" name="Obligations" dataDxfId="250">
      <calculatedColumnFormula>IF(ISBLANK('1. Impact Criteria Survey '!E46),"",'1. Impact Criteria Survey '!E46)</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53712D95-176C-4230-9C07-71A335F01BE8}" name="tblInherentImpacts30" displayName="tblInherentImpacts30" ref="C41:G47" totalsRowShown="0" headerRowDxfId="249" dataDxfId="247" headerRowBorderDxfId="248" tableBorderDxfId="246" totalsRowBorderDxfId="245">
  <autoFilter ref="C41:G47" xr:uid="{9273A98F-98B1-41B9-A7F2-1ADD2DC94951}"/>
  <tableColumns count="5">
    <tableColumn id="1" xr3:uid="{F4BA415F-A0A9-4F92-8063-BE7C9B63AAEE}" name="Asset Class" dataDxfId="244"/>
    <tableColumn id="2" xr3:uid="{8929D26B-6EDD-41CD-AD59-457B604345B3}" name="Mission Impact" dataDxfId="243">
      <calculatedColumnFormula>IF(MAX(D43:D47)=0,"",MAX(D43:D47))</calculatedColumnFormula>
    </tableColumn>
    <tableColumn id="3" xr3:uid="{ACEAE1D3-DB66-42F9-A37E-422A6BD5CEB6}" name="Operational Objectives Impact" dataDxfId="242">
      <calculatedColumnFormula>IF(MAX(E43:E47)=0,"",MAX(E43,E47))</calculatedColumnFormula>
    </tableColumn>
    <tableColumn id="4" xr3:uid="{27BEA72C-EBF9-4836-AE5D-430D9D4C9782}" name="Financial Objectives Impact" dataDxfId="241">
      <calculatedColumnFormula>IF(MAX(F43:F47)=0,"",MAX(F43,F47))</calculatedColumnFormula>
    </tableColumn>
    <tableColumn id="5" xr3:uid="{3FE8F5F6-06E2-4142-B9DA-01A086940281}" name="Obligations Impact" dataDxfId="240">
      <calculatedColumnFormula>IF(MAX(G43:G47)=0,"",MAX(G43,G47))</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2E55E4AD-C6C0-4436-8BF3-425225089402}" name="tblLikelihoodDefinitions31" displayName="tblLikelihoodDefinitions31" ref="C22:E27" totalsRowShown="0" headerRowDxfId="239" dataDxfId="237" headerRowBorderDxfId="238" tableBorderDxfId="236" totalsRowBorderDxfId="235">
  <autoFilter ref="C22:E27" xr:uid="{6531DCC4-4F6C-4E87-91EB-28D5C035F4E3}"/>
  <tableColumns count="3">
    <tableColumn id="1" xr3:uid="{D24B7B20-283F-4D0E-BBE7-F3E8F8377CE5}" name="Expectancy Score" dataDxfId="234"/>
    <tableColumn id="2" xr3:uid="{6030AE4B-E332-4400-8C85-5E7A287CC17B}" name="Expectancy" dataDxfId="233"/>
    <tableColumn id="3" xr3:uid="{FB487DE0-71E3-4A47-B8B4-4553174D12CB}" name="Criteria" dataDxfId="232"/>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99B891EA-B3BD-4A8A-BBFD-9CC03A89BF45}" name="tblRiskRegister3234" displayName="tblRiskRegister3234" ref="B10:AJ152" totalsRowShown="0" headerRowDxfId="231" dataDxfId="230">
  <autoFilter ref="B10:AJ152" xr:uid="{9DD1637E-6A24-4152-BF1D-6C69C54474D3}"/>
  <sortState xmlns:xlrd2="http://schemas.microsoft.com/office/spreadsheetml/2017/richdata2" ref="B11:AJ152">
    <sortCondition ref="B10:B152"/>
  </sortState>
  <tableColumns count="35">
    <tableColumn id="20" xr3:uid="{B1CBDCAB-EFEA-4BBE-8FF5-9CF03BCBBF48}" name="Asset Class" dataDxfId="229"/>
    <tableColumn id="22" xr3:uid="{D36AE6C6-FF13-4EB7-9A4D-228965C44E7F}" name="Asset Name" dataDxfId="228"/>
    <tableColumn id="33" xr3:uid="{A31818C6-2C6B-4A58-8F17-D75732671303}" name="CIS Safeguard #" dataDxfId="227"/>
    <tableColumn id="2" xr3:uid="{D63FBF1A-4A08-4A9A-A162-2604B256F4D1}" name="CIS Safeguard Title" dataDxfId="226"/>
    <tableColumn id="30" xr3:uid="{8FDB32D6-4851-4633-8258-20B1E0221691}" name="IG1" dataDxfId="225"/>
    <tableColumn id="29" xr3:uid="{08F3BCD2-44E6-463C-9B07-13A78524DECF}" name="IG2" dataDxfId="224"/>
    <tableColumn id="35" xr3:uid="{977B8DD5-4AEE-4834-B4C6-706B45C2E42F}" name="NIST CSF Security Function" dataDxfId="223"/>
    <tableColumn id="34" xr3:uid="{1F00650C-D6B1-40DB-9FC5-349E439ABE82}" name="Our Implementation" dataDxfId="222"/>
    <tableColumn id="32" xr3:uid="{23A80EB1-BEAE-47DA-BFFD-24531AB0304F}" name="Evidence of Implementation" dataDxfId="221"/>
    <tableColumn id="1" xr3:uid="{55326697-93C2-4428-B18F-E098AD8E0FF4}" name="Vulnerabilities" dataDxfId="220"/>
    <tableColumn id="3" xr3:uid="{2A330A33-DF7F-4284-9731-3C8B7094937A}" name="Safeguard Maturity Score" dataDxfId="219"/>
    <tableColumn id="27" xr3:uid="{C4CF9BB0-0C1B-4D67-B57C-CD0C64D7E710}" name="VCDB Index" dataDxfId="218">
      <calculatedColumnFormula>IFERROR(VLOOKUP(tblRiskRegister3234[[#This Row],[Asset Class]],tblVCDBIndex[],4,FALSE),"")</calculatedColumnFormula>
    </tableColumn>
    <tableColumn id="9" xr3:uid="{EA69A482-1258-4E3D-AA94-A4511793DDE0}" name="Expectancy Score" dataDxfId="217">
      <calculatedColumnFormula>IFERROR(VLOOKUP(10*tblRiskRegister3234[[#This Row],[Safeguard Maturity Score]]+tblRiskRegister3234[[#This Row],[VCDB Index]],tblHITIndexWeightTable[],4,FALSE),"")</calculatedColumnFormula>
    </tableColumn>
    <tableColumn id="10" xr3:uid="{DB913145-5E26-4592-B40C-7D9AF99BACAC}" name="Impact to Mission" dataDxfId="216">
      <calculatedColumnFormula>VLOOKUP(tblRiskRegister3234[[#This Row],[Asset Class]],tblInherentImpacts30[],2,FALSE)</calculatedColumnFormula>
    </tableColumn>
    <tableColumn id="11" xr3:uid="{3B35FE48-B8D7-4491-8387-B7E2C207AE39}" name="Impact to Operational Objectives" dataDxfId="215">
      <calculatedColumnFormula>VLOOKUP(tblRiskRegister3234[[#This Row],[Asset Class]],tblInherentImpacts30[],3,FALSE)</calculatedColumnFormula>
    </tableColumn>
    <tableColumn id="4" xr3:uid="{DDC53622-30C8-4662-BDD4-C7C0F2BEC062}" name="Impact to Financial Objectives" dataDxfId="214">
      <calculatedColumnFormula>VLOOKUP(tblRiskRegister3234[[#This Row],[Asset Class]],tblInherentImpacts30[],4,FALSE)</calculatedColumnFormula>
    </tableColumn>
    <tableColumn id="12" xr3:uid="{BE80BFDA-344D-441C-B01C-9872B310721A}" name="Impact to Obligations" dataDxfId="213">
      <calculatedColumnFormula>VLOOKUP(tblRiskRegister3234[[#This Row],[Asset Class]],tblInherentImpacts30[],5,FALSE)</calculatedColumnFormula>
    </tableColumn>
    <tableColumn id="13" xr3:uid="{A87514E3-E11A-4558-BA14-5D89AC850F2D}" name="Risk Score" dataDxfId="212">
      <calculatedColumnFormula>IFERROR(MAX(tblRiskRegister3234[[#This Row],[Impact to Mission]:[Impact to Obligations]])*tblRiskRegister3234[[#This Row],[Expectancy Score]],"")</calculatedColumnFormula>
    </tableColumn>
    <tableColumn id="14" xr3:uid="{9D0E8FA7-52B3-4C20-97C6-A44FD872B7EE}" name="Risk Level" dataDxfId="211">
      <calculatedColumnFormula>tblRiskRegister3234[[#This Row],[Risk Score]]</calculatedColumnFormula>
    </tableColumn>
    <tableColumn id="25" xr3:uid="{385D42A0-D7FD-4033-97F1-A82C1B0C9CD0}" name="Risk Treatment Option" dataDxfId="210"/>
    <tableColumn id="5" xr3:uid="{9EE03372-3BD2-4BD0-AFDB-24FD50D01324}" name="Risk Treatment Safeguard" dataDxfId="209"/>
    <tableColumn id="6" xr3:uid="{74C17C51-6E67-420A-8AA9-B49956C8B7DE}" name="Risk Treatment_x000a_Safeguard Title" dataDxfId="208"/>
    <tableColumn id="24" xr3:uid="{B9261D71-ABE6-4DBD-9D87-F006BB562EAA}" name="Risk Treatment_x000a_Safeguard Description" dataDxfId="207"/>
    <tableColumn id="21" xr3:uid="{8FA9C2B8-3AEC-44CD-B314-F20EB72F4056}" name="Our Planned Implementation" dataDxfId="206"/>
    <tableColumn id="7" xr3:uid="{EF1BA83B-40F2-45CF-980B-F9DDE0A63C0B}" name="Risk Treatment Safeguard Maturity Score" dataDxfId="205"/>
    <tableColumn id="15" xr3:uid="{91B9C8E3-1218-46D1-87BB-60CA8D4B4D26}" name="Risk Treatment_x000a_Safeguard Expectancy Score" dataDxfId="204">
      <calculatedColumnFormula>IFERROR(VLOOKUP(10*tblRiskRegister3234[[#This Row],[Risk Treatment Safeguard Maturity Score]]+tblRiskRegister3234[[#This Row],[VCDB Index]],tblHITIndexWeightTable[],4,FALSE),"")</calculatedColumnFormula>
    </tableColumn>
    <tableColumn id="16" xr3:uid="{E4D0CB31-3A3B-4DAA-ABEC-81ACCBB964AE}" name="Risk Treatment Safeguard Impact to Mission" dataDxfId="203">
      <calculatedColumnFormula>VLOOKUP(tblRiskRegister3234[[#This Row],[Asset Class]],tblInherentImpacts30[],2,FALSE)</calculatedColumnFormula>
    </tableColumn>
    <tableColumn id="17" xr3:uid="{95DD60D6-F730-42D0-8EA3-193477753B09}" name="Risk Treatment Safeguard Impact to Operational Objectives" dataDxfId="202">
      <calculatedColumnFormula>VLOOKUP(tblRiskRegister3234[[#This Row],[Asset Class]],tblInherentImpacts30[],3,FALSE)</calculatedColumnFormula>
    </tableColumn>
    <tableColumn id="31" xr3:uid="{9F569D49-0526-42AA-B89B-CBDE74FBAC07}" name="Risk Treatment Safeguard Impact to Financial Objectives" dataDxfId="201">
      <calculatedColumnFormula>VLOOKUP(tblRiskRegister3234[[#This Row],[Asset Class]],tblInherentImpacts30[],4,FALSE)</calculatedColumnFormula>
    </tableColumn>
    <tableColumn id="18" xr3:uid="{405D0D3F-F2D6-46A7-BF18-CF5F385B2D40}" name="Risk Treatment Safeguard Impact to Obligations" dataDxfId="200">
      <calculatedColumnFormula>VLOOKUP(tblRiskRegister3234[[#This Row],[Asset Class]],tblInherentImpacts30[],5,FALSE)</calculatedColumnFormula>
    </tableColumn>
    <tableColumn id="28" xr3:uid="{DE94163C-9DCF-48CB-BEBA-E45CBD889379}" name="Risk Treatment Safeguard Risk Score" dataDxfId="199">
      <calculatedColumnFormula>IFERROR(MAX(tblRiskRegister3234[[#This Row],[Risk Treatment Safeguard Impact to Mission]:[Risk Treatment Safeguard Impact to Obligations]])*tblRiskRegister3234[[#This Row],[Risk Treatment
Safeguard Expectancy Score]],"")</calculatedColumnFormula>
    </tableColumn>
    <tableColumn id="26" xr3:uid="{160A1380-015F-49B3-AC49-BF541B3687F5}" name="Reasonable and Acceptable" dataDxfId="198">
      <calculatedColumnFormula>IF(tblRiskRegister3234[[#This Row],[Risk Score]]&gt;AcceptableRisk,IF(tblRiskRegister3234[[#This Row],[Risk Treatment Safeguard Risk Score]]&lt;AcceptableRisk, IF(tblRiskRegister3234[[#This Row],[Risk Treatment Safeguard Risk Score]]&lt;=tblRiskRegister3234[[#This Row],[Risk Score]],"Yes","No"),"No"),"Yes")</calculatedColumnFormula>
    </tableColumn>
    <tableColumn id="19" xr3:uid="{FAA729F2-BF22-4098-BE5D-CD508D6745A6}" name="Risk Treatment Safeguard Cost" dataDxfId="197" dataCellStyle="Currency"/>
    <tableColumn id="8" xr3:uid="{7B9433BC-9238-4DDF-A880-5CBFD0538250}" name="Implementation Quarter" dataDxfId="196" dataCellStyle="Currency"/>
    <tableColumn id="23" xr3:uid="{78599CC7-91FE-4805-9C7B-CAA74ABE125E}" name="Implementation Year" dataDxfId="195"/>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2531276B-387C-4C86-9C43-D86D2DA70A19}" name="tblCostImpacts3335" displayName="tblCostImpacts3335" ref="AL10:AN20" totalsRowShown="0" headerRowDxfId="194" dataDxfId="193">
  <autoFilter ref="AL10:AN20" xr:uid="{8DF8E5E0-4444-493D-923E-B023F5A18943}"/>
  <tableColumns count="3">
    <tableColumn id="1" xr3:uid="{C9C75B7D-C953-4939-8459-55A41F88BC4E}" name="Impact to Financial Objectives" dataDxfId="192" dataCellStyle="Currency">
      <calculatedColumnFormula>SUMIF(tblRiskRegister3234[[#All],[Implementation Year]],"="&amp;tblCostImpacts3335[[#This Row],[Year]],tblRiskRegister3234[[#All],[Risk Treatment Safeguard Cost]])</calculatedColumnFormula>
    </tableColumn>
    <tableColumn id="2" xr3:uid="{8CBF206C-6B63-4AB5-97C1-1319527220B3}" name="Year" dataDxfId="191"/>
    <tableColumn id="3" xr3:uid="{83E10D68-38FC-49FD-BCE5-B0B9B5997FA4}" name="Reasonable?" dataDxfId="190">
      <calculatedColumnFormula>IF(tblCostImpacts3335[[#This Row],[Impact to Financial Objectives]]&lt;='2. Enterprise Parameters'!$F$13,"Yes","No")</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22.xml"/><Relationship Id="rId7"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9.bin"/><Relationship Id="rId6" Type="http://schemas.openxmlformats.org/officeDocument/2006/relationships/table" Target="../tables/table25.xml"/><Relationship Id="rId5" Type="http://schemas.openxmlformats.org/officeDocument/2006/relationships/table" Target="../tables/table24.xml"/><Relationship Id="rId4" Type="http://schemas.openxmlformats.org/officeDocument/2006/relationships/table" Target="../tables/table23.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26.xml"/><Relationship Id="rId2" Type="http://schemas.openxmlformats.org/officeDocument/2006/relationships/vmlDrawing" Target="../drawings/vmlDrawing2.vml"/><Relationship Id="rId1" Type="http://schemas.openxmlformats.org/officeDocument/2006/relationships/printerSettings" Target="../printerSettings/printerSettings10.bin"/><Relationship Id="rId6" Type="http://schemas.openxmlformats.org/officeDocument/2006/relationships/comments" Target="../comments2.xml"/><Relationship Id="rId5" Type="http://schemas.openxmlformats.org/officeDocument/2006/relationships/table" Target="../tables/table28.xml"/><Relationship Id="rId4" Type="http://schemas.openxmlformats.org/officeDocument/2006/relationships/table" Target="../tables/table27.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29.xml"/><Relationship Id="rId2" Type="http://schemas.openxmlformats.org/officeDocument/2006/relationships/vmlDrawing" Target="../drawings/vmlDrawing3.vml"/><Relationship Id="rId1" Type="http://schemas.openxmlformats.org/officeDocument/2006/relationships/printerSettings" Target="../printerSettings/printerSettings11.bin"/><Relationship Id="rId5" Type="http://schemas.openxmlformats.org/officeDocument/2006/relationships/comments" Target="../comments3.xml"/><Relationship Id="rId4" Type="http://schemas.openxmlformats.org/officeDocument/2006/relationships/table" Target="../tables/table30.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3" Type="http://schemas.openxmlformats.org/officeDocument/2006/relationships/hyperlink" Target="https://csat.cisecurity.org/" TargetMode="External"/><Relationship Id="rId2" Type="http://schemas.openxmlformats.org/officeDocument/2006/relationships/hyperlink" Target="https://workbench.cisecurity.org/dashboard" TargetMode="External"/><Relationship Id="rId1" Type="http://schemas.openxmlformats.org/officeDocument/2006/relationships/hyperlink" Target="https://www.cisecurity.org/controls/v8" TargetMode="External"/><Relationship Id="rId6" Type="http://schemas.openxmlformats.org/officeDocument/2006/relationships/drawing" Target="../drawings/drawing2.xml"/><Relationship Id="rId5" Type="http://schemas.openxmlformats.org/officeDocument/2006/relationships/hyperlink" Target="https://www.cisecurity.org/controls/v8/" TargetMode="External"/><Relationship Id="rId4" Type="http://schemas.openxmlformats.org/officeDocument/2006/relationships/hyperlink" Target="https://www.cisecurity.org/controls/cis-controls-self-assessment-tool-cis-csat/"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5" Type="http://schemas.openxmlformats.org/officeDocument/2006/relationships/table" Target="../tables/table4.xm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2.bin"/><Relationship Id="rId4" Type="http://schemas.openxmlformats.org/officeDocument/2006/relationships/table" Target="../tables/table7.xml"/></Relationships>
</file>

<file path=xl/worksheets/_rels/sheet6.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table" Target="../tables/table15.xml"/><Relationship Id="rId7" Type="http://schemas.openxmlformats.org/officeDocument/2006/relationships/table" Target="../tables/table19.xml"/><Relationship Id="rId2" Type="http://schemas.openxmlformats.org/officeDocument/2006/relationships/table" Target="../tables/table14.xml"/><Relationship Id="rId1" Type="http://schemas.openxmlformats.org/officeDocument/2006/relationships/printerSettings" Target="../printerSettings/printerSettings6.bin"/><Relationship Id="rId6" Type="http://schemas.openxmlformats.org/officeDocument/2006/relationships/table" Target="../tables/table18.xml"/><Relationship Id="rId5" Type="http://schemas.openxmlformats.org/officeDocument/2006/relationships/table" Target="../tables/table17.xml"/><Relationship Id="rId4" Type="http://schemas.openxmlformats.org/officeDocument/2006/relationships/table" Target="../tables/table1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A2B83-8F2B-4B79-B206-22E83925782E}">
  <sheetPr codeName="Sheet1">
    <tabColor rgb="FF003B5C"/>
  </sheetPr>
  <dimension ref="A1"/>
  <sheetViews>
    <sheetView showGridLines="0" tabSelected="1" workbookViewId="0">
      <selection activeCell="P21" sqref="P21"/>
    </sheetView>
  </sheetViews>
  <sheetFormatPr defaultColWidth="11.42578125" defaultRowHeight="15" x14ac:dyDescent="0.25"/>
  <sheetData/>
  <sheetProtection sheet="1"/>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8D9B9-5136-46FF-8D39-0FFC16453045}">
  <sheetPr>
    <tabColor rgb="FFA391F1"/>
  </sheetPr>
  <dimension ref="B1:U146"/>
  <sheetViews>
    <sheetView showGridLines="0" workbookViewId="0">
      <selection activeCell="B1" sqref="B1:J1"/>
    </sheetView>
  </sheetViews>
  <sheetFormatPr defaultColWidth="9.140625" defaultRowHeight="12.75" x14ac:dyDescent="0.2"/>
  <cols>
    <col min="1" max="1" width="5.28515625" style="52" customWidth="1"/>
    <col min="2" max="2" width="18.7109375" style="55" customWidth="1"/>
    <col min="3" max="3" width="15.5703125" style="56" customWidth="1"/>
    <col min="4" max="4" width="17.7109375" style="56" customWidth="1"/>
    <col min="5" max="5" width="20" style="56" customWidth="1"/>
    <col min="6" max="6" width="5.85546875" style="52" customWidth="1"/>
    <col min="7" max="7" width="17.7109375" style="57" customWidth="1"/>
    <col min="8" max="9" width="15.7109375" style="56" customWidth="1"/>
    <col min="10" max="10" width="16.7109375" style="56" customWidth="1"/>
    <col min="11" max="11" width="9.140625" style="52"/>
    <col min="12" max="12" width="97.140625" style="52" customWidth="1"/>
    <col min="13" max="13" width="9.140625" style="52"/>
    <col min="14" max="14" width="17.140625" style="52" customWidth="1"/>
    <col min="15" max="15" width="72.42578125" style="52" customWidth="1"/>
    <col min="16" max="16384" width="9.140625" style="52"/>
  </cols>
  <sheetData>
    <row r="1" spans="2:21" ht="57" customHeight="1" thickBot="1" x14ac:dyDescent="0.4">
      <c r="B1" s="342" t="s">
        <v>350</v>
      </c>
      <c r="C1" s="343"/>
      <c r="D1" s="343"/>
      <c r="E1" s="343"/>
      <c r="F1" s="343"/>
      <c r="G1" s="343"/>
      <c r="H1" s="343"/>
      <c r="I1" s="343"/>
      <c r="J1" s="344"/>
      <c r="L1" s="53" t="s">
        <v>351</v>
      </c>
      <c r="M1" s="54"/>
      <c r="N1" s="345" t="s">
        <v>352</v>
      </c>
      <c r="O1" s="346"/>
      <c r="P1" s="54"/>
      <c r="Q1" s="54"/>
      <c r="R1" s="54"/>
      <c r="S1" s="54"/>
      <c r="T1" s="54"/>
      <c r="U1" s="54"/>
    </row>
    <row r="2" spans="2:21" ht="15.75" customHeight="1" thickBot="1" x14ac:dyDescent="0.25">
      <c r="L2" s="58"/>
    </row>
    <row r="3" spans="2:21" ht="15" thickBot="1" x14ac:dyDescent="0.25">
      <c r="B3" s="347" t="s">
        <v>353</v>
      </c>
      <c r="C3" s="348"/>
      <c r="D3" s="348"/>
      <c r="E3" s="349"/>
      <c r="G3" s="347" t="s">
        <v>354</v>
      </c>
      <c r="H3" s="348"/>
      <c r="I3" s="348"/>
      <c r="J3" s="349"/>
      <c r="L3" s="247" t="s">
        <v>877</v>
      </c>
      <c r="N3" s="59" t="s">
        <v>195</v>
      </c>
      <c r="O3" s="59" t="s">
        <v>4</v>
      </c>
    </row>
    <row r="4" spans="2:21" ht="44.25" thickTop="1" thickBot="1" x14ac:dyDescent="0.25">
      <c r="B4" s="60" t="s">
        <v>912</v>
      </c>
      <c r="C4" s="61" t="s">
        <v>355</v>
      </c>
      <c r="D4" s="61" t="s">
        <v>356</v>
      </c>
      <c r="E4" s="62" t="s">
        <v>357</v>
      </c>
      <c r="F4" s="63"/>
      <c r="G4" s="60" t="s">
        <v>913</v>
      </c>
      <c r="H4" s="61" t="s">
        <v>355</v>
      </c>
      <c r="I4" s="61" t="s">
        <v>356</v>
      </c>
      <c r="J4" s="62" t="s">
        <v>357</v>
      </c>
      <c r="K4" s="63"/>
      <c r="L4" s="248" t="s">
        <v>878</v>
      </c>
      <c r="M4" s="55"/>
      <c r="N4" s="59">
        <v>1</v>
      </c>
      <c r="O4" s="64" t="s">
        <v>148</v>
      </c>
      <c r="P4" s="55"/>
      <c r="Q4" s="55"/>
      <c r="R4" s="55"/>
      <c r="S4" s="55"/>
      <c r="T4" s="55"/>
      <c r="U4" s="55"/>
    </row>
    <row r="5" spans="2:21" s="63" customFormat="1" ht="15" thickTop="1" x14ac:dyDescent="0.2">
      <c r="B5" s="65">
        <v>1.1000000000000001</v>
      </c>
      <c r="C5" s="65"/>
      <c r="D5" s="66" t="str">
        <f>LEFT($C5, 1)</f>
        <v/>
      </c>
      <c r="E5" s="67" t="str">
        <f>D5</f>
        <v/>
      </c>
      <c r="F5" s="52"/>
      <c r="G5" s="104">
        <v>1.1000000000000001</v>
      </c>
      <c r="H5" s="65"/>
      <c r="I5" s="66" t="str">
        <f>LEFT($H5, 1)</f>
        <v/>
      </c>
      <c r="J5" s="67" t="str">
        <f>I5</f>
        <v/>
      </c>
      <c r="K5" s="52"/>
      <c r="L5" s="248" t="s">
        <v>879</v>
      </c>
      <c r="M5" s="55"/>
      <c r="N5" s="59">
        <v>2</v>
      </c>
      <c r="O5" s="64" t="s">
        <v>149</v>
      </c>
      <c r="P5" s="55"/>
      <c r="Q5" s="55"/>
      <c r="R5" s="55"/>
      <c r="S5" s="55"/>
      <c r="T5" s="55"/>
      <c r="U5" s="55"/>
    </row>
    <row r="6" spans="2:21" ht="14.25" x14ac:dyDescent="0.2">
      <c r="B6" s="68">
        <v>1.3</v>
      </c>
      <c r="C6" s="68"/>
      <c r="D6" s="69" t="str">
        <f t="shared" ref="D6:D69" si="0">LEFT($C6, 1)</f>
        <v/>
      </c>
      <c r="E6" s="70" t="str">
        <f>D6</f>
        <v/>
      </c>
      <c r="G6" s="105">
        <v>1.2</v>
      </c>
      <c r="H6" s="68"/>
      <c r="I6" s="69" t="str">
        <f t="shared" ref="I6:I69" si="1">LEFT($H6, 1)</f>
        <v/>
      </c>
      <c r="J6" s="70" t="str">
        <f t="shared" ref="J6:J69" si="2">I6</f>
        <v/>
      </c>
      <c r="L6" s="248" t="s">
        <v>880</v>
      </c>
      <c r="M6" s="55"/>
      <c r="N6" s="59">
        <v>3</v>
      </c>
      <c r="O6" s="64" t="s">
        <v>150</v>
      </c>
      <c r="P6" s="55"/>
      <c r="Q6" s="55"/>
      <c r="R6" s="55"/>
      <c r="S6" s="55"/>
      <c r="T6" s="55"/>
      <c r="U6" s="55"/>
    </row>
    <row r="7" spans="2:21" ht="14.25" x14ac:dyDescent="0.2">
      <c r="B7" s="65">
        <v>1.4</v>
      </c>
      <c r="C7" s="65"/>
      <c r="D7" s="66" t="str">
        <f t="shared" si="0"/>
        <v/>
      </c>
      <c r="E7" s="71" t="str">
        <f t="shared" ref="E7:E46" si="3">D7</f>
        <v/>
      </c>
      <c r="G7" s="104">
        <v>1.3</v>
      </c>
      <c r="H7" s="65"/>
      <c r="I7" s="66" t="str">
        <f t="shared" si="1"/>
        <v/>
      </c>
      <c r="J7" s="71" t="str">
        <f t="shared" si="2"/>
        <v/>
      </c>
      <c r="L7" s="248" t="s">
        <v>881</v>
      </c>
      <c r="M7" s="55"/>
      <c r="N7" s="59">
        <v>4</v>
      </c>
      <c r="O7" s="64" t="s">
        <v>197</v>
      </c>
      <c r="P7" s="55"/>
      <c r="Q7" s="55"/>
      <c r="R7" s="55"/>
      <c r="S7" s="55"/>
      <c r="T7" s="55"/>
      <c r="U7" s="55"/>
    </row>
    <row r="8" spans="2:21" ht="14.25" x14ac:dyDescent="0.2">
      <c r="B8" s="68">
        <v>1.5</v>
      </c>
      <c r="C8" s="68"/>
      <c r="D8" s="69" t="str">
        <f t="shared" si="0"/>
        <v/>
      </c>
      <c r="E8" s="70" t="str">
        <f t="shared" si="3"/>
        <v/>
      </c>
      <c r="G8" s="105">
        <v>1.4</v>
      </c>
      <c r="H8" s="68"/>
      <c r="I8" s="69" t="str">
        <f t="shared" si="1"/>
        <v/>
      </c>
      <c r="J8" s="70" t="str">
        <f t="shared" si="2"/>
        <v/>
      </c>
      <c r="L8" s="247" t="s">
        <v>882</v>
      </c>
      <c r="M8" s="55"/>
      <c r="N8" s="59">
        <v>5</v>
      </c>
      <c r="O8" s="64" t="s">
        <v>198</v>
      </c>
      <c r="P8" s="55"/>
      <c r="Q8" s="55"/>
      <c r="R8" s="55"/>
      <c r="S8" s="55"/>
      <c r="T8" s="55"/>
      <c r="U8" s="55"/>
    </row>
    <row r="9" spans="2:21" ht="28.5" x14ac:dyDescent="0.2">
      <c r="B9" s="65">
        <v>1.6</v>
      </c>
      <c r="C9" s="65"/>
      <c r="D9" s="66" t="str">
        <f>LEFT($C9, 1)</f>
        <v/>
      </c>
      <c r="E9" s="71" t="str">
        <f t="shared" si="3"/>
        <v/>
      </c>
      <c r="G9" s="104">
        <v>2.1</v>
      </c>
      <c r="H9" s="65"/>
      <c r="I9" s="66" t="str">
        <f t="shared" si="1"/>
        <v/>
      </c>
      <c r="J9" s="71" t="str">
        <f>I9</f>
        <v/>
      </c>
      <c r="L9" s="248" t="s">
        <v>916</v>
      </c>
      <c r="M9" s="55"/>
      <c r="N9" s="55"/>
      <c r="O9" s="55"/>
      <c r="P9" s="55"/>
      <c r="Q9" s="55"/>
      <c r="R9" s="55"/>
      <c r="S9" s="55"/>
      <c r="T9" s="55"/>
      <c r="U9" s="55"/>
    </row>
    <row r="10" spans="2:21" ht="14.25" x14ac:dyDescent="0.2">
      <c r="B10" s="68">
        <v>1.7</v>
      </c>
      <c r="C10" s="68"/>
      <c r="D10" s="69" t="str">
        <f t="shared" si="0"/>
        <v/>
      </c>
      <c r="E10" s="70" t="str">
        <f t="shared" si="3"/>
        <v/>
      </c>
      <c r="G10" s="105">
        <v>2.2000000000000002</v>
      </c>
      <c r="H10" s="68"/>
      <c r="I10" s="69" t="str">
        <f t="shared" si="1"/>
        <v/>
      </c>
      <c r="J10" s="70" t="str">
        <f t="shared" si="2"/>
        <v/>
      </c>
      <c r="L10" s="248" t="s">
        <v>883</v>
      </c>
      <c r="M10" s="55"/>
      <c r="N10" s="55"/>
      <c r="O10" s="55"/>
      <c r="P10" s="55"/>
      <c r="Q10" s="55"/>
      <c r="R10" s="55"/>
      <c r="S10" s="55"/>
      <c r="T10" s="55"/>
      <c r="U10" s="55"/>
    </row>
    <row r="11" spans="2:21" ht="42.75" x14ac:dyDescent="0.2">
      <c r="B11" s="65">
        <v>2.1</v>
      </c>
      <c r="C11" s="65"/>
      <c r="D11" s="66" t="str">
        <f t="shared" si="0"/>
        <v/>
      </c>
      <c r="E11" s="71" t="str">
        <f>D11</f>
        <v/>
      </c>
      <c r="G11" s="104">
        <v>2.2999999999999998</v>
      </c>
      <c r="H11" s="65"/>
      <c r="I11" s="66" t="str">
        <f t="shared" si="1"/>
        <v/>
      </c>
      <c r="J11" s="71" t="str">
        <f t="shared" si="2"/>
        <v/>
      </c>
      <c r="L11" s="248" t="s">
        <v>884</v>
      </c>
      <c r="M11" s="55"/>
      <c r="N11" s="55"/>
      <c r="O11" s="55"/>
      <c r="P11" s="55"/>
      <c r="Q11" s="55"/>
      <c r="R11" s="55"/>
      <c r="S11" s="55"/>
      <c r="T11" s="55"/>
      <c r="U11" s="55"/>
    </row>
    <row r="12" spans="2:21" ht="14.25" x14ac:dyDescent="0.2">
      <c r="B12" s="68">
        <v>2.2000000000000002</v>
      </c>
      <c r="C12" s="68"/>
      <c r="D12" s="69" t="str">
        <f t="shared" si="0"/>
        <v/>
      </c>
      <c r="E12" s="70" t="str">
        <f t="shared" si="3"/>
        <v/>
      </c>
      <c r="G12" s="105">
        <v>2.4</v>
      </c>
      <c r="H12" s="68"/>
      <c r="I12" s="69" t="str">
        <f t="shared" si="1"/>
        <v/>
      </c>
      <c r="J12" s="70" t="str">
        <f t="shared" si="2"/>
        <v/>
      </c>
      <c r="L12" s="248" t="s">
        <v>885</v>
      </c>
      <c r="M12" s="55"/>
      <c r="N12" s="55"/>
      <c r="O12" s="55"/>
      <c r="P12" s="55"/>
      <c r="Q12" s="55"/>
      <c r="R12" s="55"/>
      <c r="S12" s="55"/>
      <c r="T12" s="55"/>
      <c r="U12" s="55"/>
    </row>
    <row r="13" spans="2:21" ht="28.5" x14ac:dyDescent="0.2">
      <c r="B13" s="65">
        <v>2.2999999999999998</v>
      </c>
      <c r="C13" s="65"/>
      <c r="D13" s="66" t="str">
        <f t="shared" si="0"/>
        <v/>
      </c>
      <c r="E13" s="71" t="str">
        <f t="shared" si="3"/>
        <v/>
      </c>
      <c r="G13" s="104">
        <v>2.5</v>
      </c>
      <c r="H13" s="65"/>
      <c r="I13" s="66" t="str">
        <f t="shared" si="1"/>
        <v/>
      </c>
      <c r="J13" s="71" t="str">
        <f t="shared" si="2"/>
        <v/>
      </c>
      <c r="L13" s="248" t="s">
        <v>886</v>
      </c>
      <c r="M13" s="55"/>
      <c r="N13" s="55"/>
      <c r="O13" s="55"/>
      <c r="P13" s="55"/>
      <c r="Q13" s="55"/>
      <c r="R13" s="55"/>
      <c r="S13" s="55"/>
      <c r="T13" s="55"/>
      <c r="U13" s="55"/>
    </row>
    <row r="14" spans="2:21" ht="14.25" x14ac:dyDescent="0.2">
      <c r="B14" s="68">
        <v>2.4</v>
      </c>
      <c r="C14" s="68"/>
      <c r="D14" s="69" t="str">
        <f t="shared" si="0"/>
        <v/>
      </c>
      <c r="E14" s="70" t="str">
        <f t="shared" si="3"/>
        <v/>
      </c>
      <c r="G14" s="105">
        <v>2.6</v>
      </c>
      <c r="H14" s="68"/>
      <c r="I14" s="69" t="str">
        <f t="shared" si="1"/>
        <v/>
      </c>
      <c r="J14" s="70" t="str">
        <f t="shared" si="2"/>
        <v/>
      </c>
      <c r="L14" s="247" t="s">
        <v>887</v>
      </c>
      <c r="M14" s="55"/>
      <c r="N14" s="55"/>
      <c r="O14" s="55"/>
      <c r="P14" s="55"/>
      <c r="Q14" s="55"/>
      <c r="R14" s="55"/>
      <c r="S14" s="55"/>
      <c r="T14" s="55"/>
      <c r="U14" s="55"/>
    </row>
    <row r="15" spans="2:21" ht="28.5" x14ac:dyDescent="0.2">
      <c r="B15" s="65">
        <v>2.6</v>
      </c>
      <c r="C15" s="65"/>
      <c r="D15" s="66" t="str">
        <f t="shared" si="0"/>
        <v/>
      </c>
      <c r="E15" s="71" t="str">
        <f t="shared" si="3"/>
        <v/>
      </c>
      <c r="G15" s="104">
        <v>3.1</v>
      </c>
      <c r="H15" s="65"/>
      <c r="I15" s="66" t="str">
        <f t="shared" si="1"/>
        <v/>
      </c>
      <c r="J15" s="71" t="str">
        <f t="shared" si="2"/>
        <v/>
      </c>
      <c r="L15" s="247" t="s">
        <v>888</v>
      </c>
      <c r="M15" s="55"/>
      <c r="N15" s="55"/>
      <c r="O15" s="55"/>
      <c r="P15" s="55"/>
      <c r="Q15" s="55"/>
      <c r="R15" s="55"/>
      <c r="S15" s="55"/>
      <c r="T15" s="55"/>
      <c r="U15" s="55"/>
    </row>
    <row r="16" spans="2:21" ht="28.5" x14ac:dyDescent="0.2">
      <c r="B16" s="68">
        <v>3.1</v>
      </c>
      <c r="C16" s="68"/>
      <c r="D16" s="69" t="str">
        <f t="shared" si="0"/>
        <v/>
      </c>
      <c r="E16" s="70" t="str">
        <f t="shared" si="3"/>
        <v/>
      </c>
      <c r="G16" s="105">
        <v>3.2</v>
      </c>
      <c r="H16" s="68"/>
      <c r="I16" s="69" t="str">
        <f t="shared" si="1"/>
        <v/>
      </c>
      <c r="J16" s="70" t="str">
        <f t="shared" si="2"/>
        <v/>
      </c>
      <c r="L16" s="248" t="s">
        <v>915</v>
      </c>
      <c r="M16" s="55"/>
      <c r="N16" s="55"/>
      <c r="O16" s="55"/>
      <c r="P16" s="55"/>
      <c r="Q16" s="55"/>
      <c r="R16" s="55"/>
      <c r="S16" s="55"/>
      <c r="T16" s="55"/>
      <c r="U16" s="55"/>
    </row>
    <row r="17" spans="2:21" ht="42.75" x14ac:dyDescent="0.2">
      <c r="B17" s="65">
        <v>3.2</v>
      </c>
      <c r="C17" s="65"/>
      <c r="D17" s="66" t="str">
        <f t="shared" si="0"/>
        <v/>
      </c>
      <c r="E17" s="71" t="str">
        <f t="shared" si="3"/>
        <v/>
      </c>
      <c r="G17" s="104">
        <v>3.3</v>
      </c>
      <c r="H17" s="65"/>
      <c r="I17" s="66" t="str">
        <f t="shared" si="1"/>
        <v/>
      </c>
      <c r="J17" s="71" t="str">
        <f t="shared" si="2"/>
        <v/>
      </c>
      <c r="L17" s="247" t="s">
        <v>889</v>
      </c>
      <c r="M17" s="55"/>
      <c r="N17" s="55"/>
      <c r="O17" s="55"/>
      <c r="P17" s="55"/>
      <c r="Q17" s="55"/>
      <c r="R17" s="55"/>
      <c r="S17" s="55"/>
      <c r="T17" s="55"/>
      <c r="U17" s="55"/>
    </row>
    <row r="18" spans="2:21" ht="14.25" x14ac:dyDescent="0.2">
      <c r="B18" s="68">
        <v>3.3</v>
      </c>
      <c r="C18" s="68"/>
      <c r="D18" s="69" t="str">
        <f t="shared" si="0"/>
        <v/>
      </c>
      <c r="E18" s="70" t="str">
        <f>D18</f>
        <v/>
      </c>
      <c r="G18" s="105">
        <v>3.4</v>
      </c>
      <c r="H18" s="68"/>
      <c r="I18" s="69" t="str">
        <f t="shared" si="1"/>
        <v/>
      </c>
      <c r="J18" s="70" t="str">
        <f t="shared" si="2"/>
        <v/>
      </c>
      <c r="L18" s="248" t="s">
        <v>917</v>
      </c>
      <c r="M18" s="55"/>
      <c r="N18" s="55"/>
      <c r="O18" s="55"/>
      <c r="P18" s="55"/>
      <c r="Q18" s="55"/>
      <c r="R18" s="55"/>
      <c r="S18" s="55"/>
      <c r="T18" s="55"/>
      <c r="U18" s="55"/>
    </row>
    <row r="19" spans="2:21" ht="42.75" x14ac:dyDescent="0.2">
      <c r="B19" s="65">
        <v>3.4</v>
      </c>
      <c r="C19" s="65"/>
      <c r="D19" s="66" t="str">
        <f t="shared" si="0"/>
        <v/>
      </c>
      <c r="E19" s="71" t="str">
        <f t="shared" si="3"/>
        <v/>
      </c>
      <c r="G19" s="104">
        <v>3.5</v>
      </c>
      <c r="H19" s="65"/>
      <c r="I19" s="66" t="str">
        <f t="shared" si="1"/>
        <v/>
      </c>
      <c r="J19" s="71" t="str">
        <f t="shared" si="2"/>
        <v/>
      </c>
      <c r="L19" s="248" t="s">
        <v>918</v>
      </c>
      <c r="M19" s="55"/>
      <c r="N19" s="55"/>
      <c r="O19" s="55"/>
      <c r="P19" s="55"/>
      <c r="Q19" s="55"/>
      <c r="R19" s="55"/>
      <c r="S19" s="55"/>
      <c r="T19" s="55"/>
      <c r="U19" s="55"/>
    </row>
    <row r="20" spans="2:21" ht="15" thickBot="1" x14ac:dyDescent="0.25">
      <c r="B20" s="68">
        <v>3.5</v>
      </c>
      <c r="C20" s="68"/>
      <c r="D20" s="69" t="str">
        <f t="shared" si="0"/>
        <v/>
      </c>
      <c r="E20" s="70" t="str">
        <f t="shared" si="3"/>
        <v/>
      </c>
      <c r="G20" s="105">
        <v>3.6</v>
      </c>
      <c r="H20" s="68"/>
      <c r="I20" s="69" t="str">
        <f t="shared" si="1"/>
        <v/>
      </c>
      <c r="J20" s="70" t="str">
        <f t="shared" si="2"/>
        <v/>
      </c>
      <c r="L20" s="249" t="s">
        <v>919</v>
      </c>
      <c r="M20" s="55"/>
      <c r="N20" s="55"/>
      <c r="O20" s="55"/>
      <c r="P20" s="55"/>
      <c r="Q20" s="55"/>
      <c r="R20" s="55"/>
      <c r="S20" s="55"/>
      <c r="T20" s="55"/>
      <c r="U20" s="55"/>
    </row>
    <row r="21" spans="2:21" x14ac:dyDescent="0.2">
      <c r="B21" s="65">
        <v>3.6</v>
      </c>
      <c r="C21" s="65"/>
      <c r="D21" s="66" t="str">
        <f t="shared" si="0"/>
        <v/>
      </c>
      <c r="E21" s="71" t="str">
        <f t="shared" si="3"/>
        <v/>
      </c>
      <c r="G21" s="104">
        <v>3.7</v>
      </c>
      <c r="H21" s="65"/>
      <c r="I21" s="66" t="str">
        <f t="shared" si="1"/>
        <v/>
      </c>
      <c r="J21" s="71" t="str">
        <f t="shared" si="2"/>
        <v/>
      </c>
      <c r="L21" s="131"/>
      <c r="M21" s="72"/>
      <c r="N21" s="72"/>
      <c r="O21" s="72"/>
      <c r="P21" s="72"/>
      <c r="Q21" s="72"/>
      <c r="R21" s="72"/>
      <c r="S21" s="72"/>
      <c r="T21" s="72"/>
      <c r="U21" s="72"/>
    </row>
    <row r="22" spans="2:21" x14ac:dyDescent="0.2">
      <c r="B22" s="68">
        <v>3.7</v>
      </c>
      <c r="C22" s="68"/>
      <c r="D22" s="69" t="str">
        <f t="shared" si="0"/>
        <v/>
      </c>
      <c r="E22" s="70" t="str">
        <f t="shared" si="3"/>
        <v/>
      </c>
      <c r="G22" s="105">
        <v>3.8</v>
      </c>
      <c r="H22" s="68"/>
      <c r="I22" s="69" t="str">
        <f t="shared" si="1"/>
        <v/>
      </c>
      <c r="J22" s="70" t="str">
        <f t="shared" si="2"/>
        <v/>
      </c>
      <c r="L22" s="72"/>
      <c r="M22" s="72"/>
      <c r="N22" s="72"/>
      <c r="O22" s="72"/>
      <c r="P22" s="72"/>
      <c r="Q22" s="72"/>
      <c r="R22" s="72"/>
      <c r="S22" s="72"/>
      <c r="T22" s="72"/>
      <c r="U22" s="72"/>
    </row>
    <row r="23" spans="2:21" x14ac:dyDescent="0.2">
      <c r="B23" s="65">
        <v>4.0999999999999996</v>
      </c>
      <c r="C23" s="65"/>
      <c r="D23" s="66" t="str">
        <f t="shared" si="0"/>
        <v/>
      </c>
      <c r="E23" s="71" t="str">
        <f t="shared" si="3"/>
        <v/>
      </c>
      <c r="G23" s="104">
        <v>3.9</v>
      </c>
      <c r="H23" s="65"/>
      <c r="I23" s="66" t="str">
        <f t="shared" si="1"/>
        <v/>
      </c>
      <c r="J23" s="71" t="str">
        <f t="shared" si="2"/>
        <v/>
      </c>
      <c r="L23" s="72"/>
      <c r="M23" s="72"/>
      <c r="N23" s="72"/>
      <c r="O23" s="72"/>
      <c r="P23" s="72"/>
      <c r="Q23" s="72"/>
      <c r="R23" s="72"/>
      <c r="S23" s="72"/>
      <c r="T23" s="72"/>
      <c r="U23" s="72"/>
    </row>
    <row r="24" spans="2:21" x14ac:dyDescent="0.2">
      <c r="B24" s="68">
        <v>4.2</v>
      </c>
      <c r="C24" s="68"/>
      <c r="D24" s="69" t="str">
        <f t="shared" si="0"/>
        <v/>
      </c>
      <c r="E24" s="70" t="str">
        <f t="shared" si="3"/>
        <v/>
      </c>
      <c r="G24" s="106">
        <v>3.1</v>
      </c>
      <c r="H24" s="68"/>
      <c r="I24" s="69" t="str">
        <f t="shared" si="1"/>
        <v/>
      </c>
      <c r="J24" s="70" t="str">
        <f t="shared" si="2"/>
        <v/>
      </c>
      <c r="L24" s="72"/>
      <c r="M24" s="72"/>
      <c r="N24" s="72"/>
      <c r="O24" s="72"/>
      <c r="P24" s="72"/>
      <c r="Q24" s="72"/>
      <c r="R24" s="72"/>
      <c r="S24" s="72"/>
      <c r="T24" s="72"/>
      <c r="U24" s="72"/>
    </row>
    <row r="25" spans="2:21" x14ac:dyDescent="0.2">
      <c r="B25" s="65">
        <v>4.3</v>
      </c>
      <c r="C25" s="65"/>
      <c r="D25" s="66" t="str">
        <f t="shared" si="0"/>
        <v/>
      </c>
      <c r="E25" s="71" t="str">
        <f t="shared" si="3"/>
        <v/>
      </c>
      <c r="G25" s="104">
        <v>3.11</v>
      </c>
      <c r="H25" s="65"/>
      <c r="I25" s="66" t="str">
        <f t="shared" si="1"/>
        <v/>
      </c>
      <c r="J25" s="71" t="str">
        <f t="shared" si="2"/>
        <v/>
      </c>
      <c r="L25" s="72"/>
      <c r="M25" s="72"/>
      <c r="N25" s="72"/>
      <c r="O25" s="72"/>
      <c r="P25" s="72"/>
      <c r="Q25" s="72"/>
      <c r="R25" s="72"/>
      <c r="S25" s="72"/>
      <c r="T25" s="72"/>
      <c r="U25" s="72"/>
    </row>
    <row r="26" spans="2:21" x14ac:dyDescent="0.2">
      <c r="B26" s="68">
        <v>4.4000000000000004</v>
      </c>
      <c r="C26" s="68"/>
      <c r="D26" s="69" t="str">
        <f t="shared" si="0"/>
        <v/>
      </c>
      <c r="E26" s="70" t="str">
        <f t="shared" si="3"/>
        <v/>
      </c>
      <c r="G26" s="105">
        <v>3.12</v>
      </c>
      <c r="H26" s="68"/>
      <c r="I26" s="69" t="str">
        <f t="shared" si="1"/>
        <v/>
      </c>
      <c r="J26" s="70" t="str">
        <f t="shared" si="2"/>
        <v/>
      </c>
      <c r="L26" s="72"/>
      <c r="M26" s="72"/>
      <c r="N26" s="72"/>
      <c r="O26" s="72"/>
      <c r="P26" s="72"/>
      <c r="Q26" s="72"/>
      <c r="R26" s="72"/>
      <c r="S26" s="72"/>
      <c r="T26" s="72"/>
      <c r="U26" s="72"/>
    </row>
    <row r="27" spans="2:21" x14ac:dyDescent="0.2">
      <c r="B27" s="65">
        <v>4.5</v>
      </c>
      <c r="C27" s="65"/>
      <c r="D27" s="66" t="str">
        <f t="shared" si="0"/>
        <v/>
      </c>
      <c r="E27" s="71" t="str">
        <f t="shared" si="3"/>
        <v/>
      </c>
      <c r="G27" s="104">
        <v>4.0999999999999996</v>
      </c>
      <c r="H27" s="65"/>
      <c r="I27" s="66" t="str">
        <f t="shared" si="1"/>
        <v/>
      </c>
      <c r="J27" s="71" t="str">
        <f t="shared" si="2"/>
        <v/>
      </c>
      <c r="L27" s="72"/>
      <c r="M27" s="72"/>
      <c r="N27" s="72"/>
      <c r="O27" s="72"/>
      <c r="P27" s="72"/>
      <c r="Q27" s="72"/>
      <c r="R27" s="72"/>
      <c r="S27" s="72"/>
      <c r="T27" s="72"/>
      <c r="U27" s="72"/>
    </row>
    <row r="28" spans="2:21" x14ac:dyDescent="0.2">
      <c r="B28" s="68">
        <v>4.5999999999999996</v>
      </c>
      <c r="C28" s="68"/>
      <c r="D28" s="69" t="str">
        <f t="shared" si="0"/>
        <v/>
      </c>
      <c r="E28" s="70" t="str">
        <f t="shared" si="3"/>
        <v/>
      </c>
      <c r="G28" s="105">
        <v>4.2</v>
      </c>
      <c r="H28" s="68"/>
      <c r="I28" s="69" t="str">
        <f t="shared" si="1"/>
        <v/>
      </c>
      <c r="J28" s="70" t="str">
        <f t="shared" si="2"/>
        <v/>
      </c>
      <c r="L28" s="72"/>
      <c r="M28" s="72"/>
      <c r="N28" s="72"/>
      <c r="O28" s="72"/>
      <c r="P28" s="72"/>
      <c r="Q28" s="72"/>
      <c r="R28" s="72"/>
      <c r="S28" s="72"/>
      <c r="T28" s="72"/>
      <c r="U28" s="72"/>
    </row>
    <row r="29" spans="2:21" x14ac:dyDescent="0.2">
      <c r="B29" s="65">
        <v>4.7</v>
      </c>
      <c r="C29" s="65"/>
      <c r="D29" s="66" t="str">
        <f t="shared" si="0"/>
        <v/>
      </c>
      <c r="E29" s="71" t="str">
        <f t="shared" si="3"/>
        <v/>
      </c>
      <c r="G29" s="104">
        <v>4.3</v>
      </c>
      <c r="H29" s="65"/>
      <c r="I29" s="66" t="str">
        <f t="shared" si="1"/>
        <v/>
      </c>
      <c r="J29" s="71" t="str">
        <f t="shared" si="2"/>
        <v/>
      </c>
      <c r="L29" s="72"/>
      <c r="M29" s="72"/>
      <c r="N29" s="72"/>
      <c r="O29" s="72"/>
      <c r="P29" s="72"/>
      <c r="Q29" s="72"/>
      <c r="R29" s="72"/>
      <c r="S29" s="72"/>
      <c r="T29" s="72"/>
      <c r="U29" s="72"/>
    </row>
    <row r="30" spans="2:21" x14ac:dyDescent="0.2">
      <c r="B30" s="68">
        <v>4.8</v>
      </c>
      <c r="C30" s="68"/>
      <c r="D30" s="69" t="str">
        <f t="shared" si="0"/>
        <v/>
      </c>
      <c r="E30" s="70" t="str">
        <f t="shared" si="3"/>
        <v/>
      </c>
      <c r="G30" s="105">
        <v>4.4000000000000004</v>
      </c>
      <c r="H30" s="68"/>
      <c r="I30" s="69" t="str">
        <f t="shared" si="1"/>
        <v/>
      </c>
      <c r="J30" s="70" t="str">
        <f t="shared" si="2"/>
        <v/>
      </c>
      <c r="L30" s="72"/>
      <c r="M30" s="72"/>
      <c r="N30" s="72"/>
      <c r="O30" s="72"/>
      <c r="P30" s="72"/>
      <c r="Q30" s="72"/>
      <c r="R30" s="72"/>
      <c r="S30" s="72"/>
      <c r="T30" s="72"/>
      <c r="U30" s="72"/>
    </row>
    <row r="31" spans="2:21" x14ac:dyDescent="0.2">
      <c r="B31" s="65">
        <v>4.9000000000000004</v>
      </c>
      <c r="C31" s="65"/>
      <c r="D31" s="66" t="str">
        <f t="shared" si="0"/>
        <v/>
      </c>
      <c r="E31" s="71" t="str">
        <f t="shared" si="3"/>
        <v/>
      </c>
      <c r="G31" s="104">
        <v>4.5</v>
      </c>
      <c r="H31" s="65"/>
      <c r="I31" s="66" t="str">
        <f t="shared" si="1"/>
        <v/>
      </c>
      <c r="J31" s="71" t="str">
        <f t="shared" si="2"/>
        <v/>
      </c>
      <c r="L31" s="72"/>
      <c r="M31" s="72"/>
      <c r="N31" s="72"/>
      <c r="O31" s="72"/>
      <c r="P31" s="72"/>
      <c r="Q31" s="72"/>
      <c r="R31" s="72"/>
      <c r="S31" s="72"/>
      <c r="T31" s="72"/>
      <c r="U31" s="72"/>
    </row>
    <row r="32" spans="2:21" x14ac:dyDescent="0.2">
      <c r="B32" s="68">
        <v>5.0999999999999996</v>
      </c>
      <c r="C32" s="68"/>
      <c r="D32" s="69" t="str">
        <f t="shared" si="0"/>
        <v/>
      </c>
      <c r="E32" s="70" t="str">
        <f t="shared" si="3"/>
        <v/>
      </c>
      <c r="G32" s="105">
        <v>4.5999999999999996</v>
      </c>
      <c r="H32" s="68"/>
      <c r="I32" s="69" t="str">
        <f t="shared" si="1"/>
        <v/>
      </c>
      <c r="J32" s="70" t="str">
        <f t="shared" si="2"/>
        <v/>
      </c>
      <c r="L32" s="72"/>
      <c r="M32" s="72"/>
      <c r="N32" s="72"/>
      <c r="O32" s="72"/>
      <c r="P32" s="72"/>
      <c r="Q32" s="72"/>
      <c r="R32" s="72"/>
      <c r="S32" s="72"/>
      <c r="T32" s="72"/>
      <c r="U32" s="72"/>
    </row>
    <row r="33" spans="2:21" x14ac:dyDescent="0.2">
      <c r="B33" s="65">
        <v>5.2</v>
      </c>
      <c r="C33" s="65"/>
      <c r="D33" s="66" t="str">
        <f t="shared" si="0"/>
        <v/>
      </c>
      <c r="E33" s="71" t="str">
        <f t="shared" si="3"/>
        <v/>
      </c>
      <c r="G33" s="104">
        <v>4.7</v>
      </c>
      <c r="H33" s="65"/>
      <c r="I33" s="66" t="str">
        <f t="shared" si="1"/>
        <v/>
      </c>
      <c r="J33" s="71" t="str">
        <f t="shared" si="2"/>
        <v/>
      </c>
      <c r="L33" s="72"/>
      <c r="M33" s="72"/>
      <c r="N33" s="72"/>
      <c r="O33" s="72"/>
      <c r="P33" s="72"/>
      <c r="Q33" s="72"/>
      <c r="R33" s="72"/>
      <c r="S33" s="72"/>
      <c r="T33" s="72"/>
      <c r="U33" s="72"/>
    </row>
    <row r="34" spans="2:21" x14ac:dyDescent="0.2">
      <c r="B34" s="68">
        <v>5.3</v>
      </c>
      <c r="C34" s="68"/>
      <c r="D34" s="69" t="str">
        <f t="shared" si="0"/>
        <v/>
      </c>
      <c r="E34" s="70" t="str">
        <f t="shared" si="3"/>
        <v/>
      </c>
      <c r="G34" s="105">
        <v>4.8</v>
      </c>
      <c r="H34" s="68"/>
      <c r="I34" s="69" t="str">
        <f t="shared" si="1"/>
        <v/>
      </c>
      <c r="J34" s="70" t="str">
        <f t="shared" si="2"/>
        <v/>
      </c>
      <c r="L34" s="72"/>
      <c r="M34" s="72"/>
      <c r="N34" s="72"/>
      <c r="O34" s="72"/>
      <c r="P34" s="72"/>
      <c r="Q34" s="72"/>
      <c r="R34" s="72"/>
      <c r="S34" s="72"/>
      <c r="T34" s="72"/>
      <c r="U34" s="72"/>
    </row>
    <row r="35" spans="2:21" x14ac:dyDescent="0.2">
      <c r="B35" s="65">
        <v>5.4</v>
      </c>
      <c r="C35" s="65"/>
      <c r="D35" s="66" t="str">
        <f t="shared" si="0"/>
        <v/>
      </c>
      <c r="E35" s="71" t="str">
        <f t="shared" si="3"/>
        <v/>
      </c>
      <c r="G35" s="104">
        <v>4.9000000000000004</v>
      </c>
      <c r="H35" s="65"/>
      <c r="I35" s="66" t="str">
        <f t="shared" si="1"/>
        <v/>
      </c>
      <c r="J35" s="71" t="str">
        <f t="shared" si="2"/>
        <v/>
      </c>
      <c r="L35" s="72"/>
      <c r="M35" s="72"/>
      <c r="N35" s="72"/>
      <c r="O35" s="72"/>
      <c r="P35" s="72"/>
      <c r="Q35" s="72"/>
      <c r="R35" s="72"/>
      <c r="S35" s="72"/>
      <c r="T35" s="72"/>
      <c r="U35" s="72"/>
    </row>
    <row r="36" spans="2:21" x14ac:dyDescent="0.2">
      <c r="B36" s="68">
        <v>5.5</v>
      </c>
      <c r="C36" s="68"/>
      <c r="D36" s="69" t="str">
        <f t="shared" si="0"/>
        <v/>
      </c>
      <c r="E36" s="70" t="str">
        <f t="shared" si="3"/>
        <v/>
      </c>
      <c r="G36" s="106">
        <v>4.0999999999999996</v>
      </c>
      <c r="H36" s="68"/>
      <c r="I36" s="69" t="str">
        <f t="shared" si="1"/>
        <v/>
      </c>
      <c r="J36" s="70" t="str">
        <f t="shared" si="2"/>
        <v/>
      </c>
      <c r="L36" s="72"/>
      <c r="M36" s="72"/>
      <c r="N36" s="72"/>
      <c r="O36" s="72"/>
      <c r="P36" s="72"/>
      <c r="Q36" s="72"/>
      <c r="R36" s="72"/>
      <c r="S36" s="72"/>
      <c r="T36" s="72"/>
      <c r="U36" s="72"/>
    </row>
    <row r="37" spans="2:21" x14ac:dyDescent="0.2">
      <c r="B37" s="65">
        <v>6.1</v>
      </c>
      <c r="C37" s="65"/>
      <c r="D37" s="66" t="str">
        <f t="shared" si="0"/>
        <v/>
      </c>
      <c r="E37" s="71" t="str">
        <f t="shared" si="3"/>
        <v/>
      </c>
      <c r="G37" s="104">
        <v>4.1100000000000003</v>
      </c>
      <c r="H37" s="65"/>
      <c r="I37" s="66" t="str">
        <f t="shared" si="1"/>
        <v/>
      </c>
      <c r="J37" s="71" t="str">
        <f t="shared" si="2"/>
        <v/>
      </c>
      <c r="L37" s="72"/>
      <c r="M37" s="72"/>
      <c r="N37" s="72"/>
      <c r="O37" s="72"/>
      <c r="P37" s="72"/>
      <c r="Q37" s="72"/>
      <c r="R37" s="72"/>
      <c r="S37" s="72"/>
      <c r="T37" s="72"/>
      <c r="U37" s="72"/>
    </row>
    <row r="38" spans="2:21" x14ac:dyDescent="0.2">
      <c r="B38" s="68">
        <v>6.2</v>
      </c>
      <c r="C38" s="68"/>
      <c r="D38" s="69" t="str">
        <f t="shared" si="0"/>
        <v/>
      </c>
      <c r="E38" s="70" t="str">
        <f t="shared" si="3"/>
        <v/>
      </c>
      <c r="G38" s="105">
        <v>5.0999999999999996</v>
      </c>
      <c r="H38" s="68"/>
      <c r="I38" s="69" t="str">
        <f t="shared" si="1"/>
        <v/>
      </c>
      <c r="J38" s="70" t="str">
        <f t="shared" si="2"/>
        <v/>
      </c>
      <c r="L38" s="72"/>
      <c r="M38" s="72"/>
      <c r="N38" s="72"/>
      <c r="O38" s="72"/>
      <c r="P38" s="72"/>
      <c r="Q38" s="72"/>
      <c r="R38" s="72"/>
      <c r="S38" s="72"/>
      <c r="T38" s="72"/>
      <c r="U38" s="72"/>
    </row>
    <row r="39" spans="2:21" x14ac:dyDescent="0.2">
      <c r="B39" s="65">
        <v>6.3</v>
      </c>
      <c r="C39" s="65"/>
      <c r="D39" s="66" t="str">
        <f t="shared" si="0"/>
        <v/>
      </c>
      <c r="E39" s="71" t="str">
        <f t="shared" si="3"/>
        <v/>
      </c>
      <c r="G39" s="104">
        <v>5.2</v>
      </c>
      <c r="H39" s="65"/>
      <c r="I39" s="66" t="str">
        <f t="shared" si="1"/>
        <v/>
      </c>
      <c r="J39" s="71" t="str">
        <f t="shared" si="2"/>
        <v/>
      </c>
      <c r="L39" s="72"/>
      <c r="M39" s="72"/>
      <c r="N39" s="72"/>
      <c r="O39" s="72"/>
      <c r="P39" s="72"/>
      <c r="Q39" s="72"/>
      <c r="R39" s="72"/>
      <c r="S39" s="72"/>
      <c r="T39" s="72"/>
      <c r="U39" s="72"/>
    </row>
    <row r="40" spans="2:21" x14ac:dyDescent="0.2">
      <c r="B40" s="68">
        <v>6.4</v>
      </c>
      <c r="C40" s="68"/>
      <c r="D40" s="69" t="str">
        <f t="shared" si="0"/>
        <v/>
      </c>
      <c r="E40" s="70" t="str">
        <f t="shared" si="3"/>
        <v/>
      </c>
      <c r="G40" s="105">
        <v>5.3</v>
      </c>
      <c r="H40" s="68"/>
      <c r="I40" s="69" t="str">
        <f t="shared" si="1"/>
        <v/>
      </c>
      <c r="J40" s="70" t="str">
        <f t="shared" si="2"/>
        <v/>
      </c>
      <c r="L40" s="72"/>
      <c r="M40" s="72"/>
      <c r="N40" s="72"/>
      <c r="O40" s="72"/>
      <c r="P40" s="72"/>
      <c r="Q40" s="72"/>
      <c r="R40" s="72"/>
      <c r="S40" s="72"/>
      <c r="T40" s="72"/>
      <c r="U40" s="72"/>
    </row>
    <row r="41" spans="2:21" x14ac:dyDescent="0.2">
      <c r="B41" s="65">
        <v>6.5</v>
      </c>
      <c r="C41" s="65"/>
      <c r="D41" s="66" t="str">
        <f t="shared" si="0"/>
        <v/>
      </c>
      <c r="E41" s="71" t="str">
        <f t="shared" si="3"/>
        <v/>
      </c>
      <c r="G41" s="104">
        <v>5.4</v>
      </c>
      <c r="H41" s="65"/>
      <c r="I41" s="66" t="str">
        <f t="shared" si="1"/>
        <v/>
      </c>
      <c r="J41" s="71" t="str">
        <f t="shared" si="2"/>
        <v/>
      </c>
      <c r="L41" s="72"/>
      <c r="M41" s="72"/>
      <c r="N41" s="72"/>
      <c r="O41" s="72"/>
      <c r="P41" s="72"/>
      <c r="Q41" s="72"/>
      <c r="R41" s="72"/>
      <c r="S41" s="72"/>
      <c r="T41" s="72"/>
      <c r="U41" s="72"/>
    </row>
    <row r="42" spans="2:21" x14ac:dyDescent="0.2">
      <c r="B42" s="68">
        <v>6.6</v>
      </c>
      <c r="C42" s="68"/>
      <c r="D42" s="69" t="str">
        <f t="shared" si="0"/>
        <v/>
      </c>
      <c r="E42" s="70" t="str">
        <f t="shared" si="3"/>
        <v/>
      </c>
      <c r="G42" s="105">
        <v>5.5</v>
      </c>
      <c r="H42" s="68"/>
      <c r="I42" s="69" t="str">
        <f t="shared" si="1"/>
        <v/>
      </c>
      <c r="J42" s="70" t="str">
        <f t="shared" si="2"/>
        <v/>
      </c>
      <c r="L42" s="72"/>
      <c r="M42" s="72"/>
      <c r="N42" s="72"/>
      <c r="O42" s="72"/>
      <c r="P42" s="72"/>
      <c r="Q42" s="72"/>
      <c r="R42" s="72"/>
      <c r="S42" s="72"/>
      <c r="T42" s="72"/>
      <c r="U42" s="72"/>
    </row>
    <row r="43" spans="2:21" x14ac:dyDescent="0.2">
      <c r="B43" s="65">
        <v>6.7</v>
      </c>
      <c r="C43" s="65"/>
      <c r="D43" s="66" t="str">
        <f t="shared" si="0"/>
        <v/>
      </c>
      <c r="E43" s="71" t="str">
        <f t="shared" si="3"/>
        <v/>
      </c>
      <c r="G43" s="104">
        <v>5.6</v>
      </c>
      <c r="H43" s="65"/>
      <c r="I43" s="66" t="str">
        <f t="shared" si="1"/>
        <v/>
      </c>
      <c r="J43" s="71" t="str">
        <f t="shared" si="2"/>
        <v/>
      </c>
      <c r="L43" s="72"/>
      <c r="M43" s="72"/>
      <c r="N43" s="72"/>
      <c r="O43" s="72"/>
      <c r="P43" s="72"/>
      <c r="Q43" s="72"/>
      <c r="R43" s="72"/>
      <c r="S43" s="72"/>
      <c r="T43" s="72"/>
      <c r="U43" s="72"/>
    </row>
    <row r="44" spans="2:21" x14ac:dyDescent="0.2">
      <c r="B44" s="68">
        <v>7.1</v>
      </c>
      <c r="C44" s="68"/>
      <c r="D44" s="69" t="str">
        <f t="shared" si="0"/>
        <v/>
      </c>
      <c r="E44" s="70" t="str">
        <f t="shared" si="3"/>
        <v/>
      </c>
      <c r="G44" s="105">
        <v>6.1</v>
      </c>
      <c r="H44" s="68"/>
      <c r="I44" s="69" t="str">
        <f t="shared" si="1"/>
        <v/>
      </c>
      <c r="J44" s="70" t="str">
        <f t="shared" si="2"/>
        <v/>
      </c>
      <c r="L44" s="72"/>
      <c r="M44" s="72"/>
      <c r="N44" s="72"/>
      <c r="O44" s="72"/>
      <c r="P44" s="72"/>
      <c r="Q44" s="72"/>
      <c r="R44" s="72"/>
      <c r="S44" s="72"/>
      <c r="T44" s="72"/>
      <c r="U44" s="72"/>
    </row>
    <row r="45" spans="2:21" x14ac:dyDescent="0.2">
      <c r="B45" s="65">
        <v>7.2</v>
      </c>
      <c r="C45" s="65"/>
      <c r="D45" s="66" t="str">
        <f t="shared" si="0"/>
        <v/>
      </c>
      <c r="E45" s="71" t="str">
        <f t="shared" si="3"/>
        <v/>
      </c>
      <c r="G45" s="104">
        <v>6.2</v>
      </c>
      <c r="H45" s="65"/>
      <c r="I45" s="66" t="str">
        <f t="shared" si="1"/>
        <v/>
      </c>
      <c r="J45" s="71" t="str">
        <f t="shared" si="2"/>
        <v/>
      </c>
      <c r="L45" s="72"/>
      <c r="M45" s="72"/>
      <c r="N45" s="72"/>
      <c r="O45" s="72"/>
      <c r="P45" s="72"/>
      <c r="Q45" s="72"/>
      <c r="R45" s="72"/>
      <c r="S45" s="72"/>
      <c r="T45" s="72"/>
      <c r="U45" s="72"/>
    </row>
    <row r="46" spans="2:21" x14ac:dyDescent="0.2">
      <c r="B46" s="68">
        <v>7.3</v>
      </c>
      <c r="C46" s="68"/>
      <c r="D46" s="69" t="str">
        <f>LEFT($C46, 1)</f>
        <v/>
      </c>
      <c r="E46" s="70" t="str">
        <f t="shared" si="3"/>
        <v/>
      </c>
      <c r="G46" s="105">
        <v>6.3</v>
      </c>
      <c r="H46" s="68"/>
      <c r="I46" s="69" t="str">
        <f t="shared" si="1"/>
        <v/>
      </c>
      <c r="J46" s="70" t="str">
        <f t="shared" si="2"/>
        <v/>
      </c>
      <c r="L46" s="72"/>
      <c r="M46" s="72"/>
      <c r="N46" s="72"/>
      <c r="O46" s="72"/>
      <c r="P46" s="72"/>
      <c r="Q46" s="72"/>
      <c r="R46" s="72"/>
      <c r="S46" s="72"/>
      <c r="T46" s="72"/>
      <c r="U46" s="72"/>
    </row>
    <row r="47" spans="2:21" x14ac:dyDescent="0.2">
      <c r="B47" s="65">
        <v>7.4</v>
      </c>
      <c r="C47" s="65"/>
      <c r="D47" s="66" t="str">
        <f>LEFT($C47, 1)</f>
        <v/>
      </c>
      <c r="E47" s="71" t="str">
        <f>D47</f>
        <v/>
      </c>
      <c r="G47" s="104">
        <v>6.4</v>
      </c>
      <c r="H47" s="65"/>
      <c r="I47" s="66" t="str">
        <f t="shared" si="1"/>
        <v/>
      </c>
      <c r="J47" s="71" t="str">
        <f t="shared" si="2"/>
        <v/>
      </c>
      <c r="L47" s="72"/>
      <c r="M47" s="72"/>
      <c r="N47" s="72"/>
      <c r="O47" s="72"/>
      <c r="P47" s="72"/>
      <c r="Q47" s="72"/>
      <c r="R47" s="72"/>
      <c r="S47" s="72"/>
      <c r="T47" s="72"/>
      <c r="U47" s="72"/>
    </row>
    <row r="48" spans="2:21" x14ac:dyDescent="0.2">
      <c r="B48" s="68">
        <v>7.5</v>
      </c>
      <c r="C48" s="68"/>
      <c r="D48" s="69" t="str">
        <f t="shared" si="0"/>
        <v/>
      </c>
      <c r="E48" s="70" t="str">
        <f>D48</f>
        <v/>
      </c>
      <c r="G48" s="105">
        <v>6.5</v>
      </c>
      <c r="H48" s="68"/>
      <c r="I48" s="69" t="str">
        <f t="shared" si="1"/>
        <v/>
      </c>
      <c r="J48" s="70" t="str">
        <f t="shared" si="2"/>
        <v/>
      </c>
      <c r="L48" s="72"/>
      <c r="M48" s="72"/>
      <c r="N48" s="72"/>
      <c r="O48" s="72"/>
      <c r="P48" s="72"/>
      <c r="Q48" s="72"/>
      <c r="R48" s="72"/>
      <c r="S48" s="72"/>
      <c r="T48" s="72"/>
      <c r="U48" s="72"/>
    </row>
    <row r="49" spans="2:21" x14ac:dyDescent="0.2">
      <c r="B49" s="65">
        <v>7.6</v>
      </c>
      <c r="C49" s="65"/>
      <c r="D49" s="66" t="str">
        <f t="shared" si="0"/>
        <v/>
      </c>
      <c r="E49" s="71" t="str">
        <f t="shared" ref="E49:E112" si="4">D49</f>
        <v/>
      </c>
      <c r="G49" s="104">
        <v>6.6</v>
      </c>
      <c r="H49" s="65"/>
      <c r="I49" s="66" t="str">
        <f t="shared" si="1"/>
        <v/>
      </c>
      <c r="J49" s="71" t="str">
        <f t="shared" si="2"/>
        <v/>
      </c>
      <c r="L49" s="72"/>
      <c r="M49" s="72"/>
      <c r="N49" s="72"/>
      <c r="O49" s="72"/>
      <c r="P49" s="72"/>
      <c r="Q49" s="72"/>
      <c r="R49" s="72"/>
      <c r="S49" s="72"/>
      <c r="T49" s="72"/>
      <c r="U49" s="72"/>
    </row>
    <row r="50" spans="2:21" x14ac:dyDescent="0.2">
      <c r="B50" s="68">
        <v>7.7</v>
      </c>
      <c r="C50" s="68"/>
      <c r="D50" s="69" t="str">
        <f t="shared" si="0"/>
        <v/>
      </c>
      <c r="E50" s="70" t="str">
        <f t="shared" si="4"/>
        <v/>
      </c>
      <c r="G50" s="105">
        <v>6.7</v>
      </c>
      <c r="H50" s="68"/>
      <c r="I50" s="69" t="str">
        <f t="shared" si="1"/>
        <v/>
      </c>
      <c r="J50" s="70" t="str">
        <f t="shared" si="2"/>
        <v/>
      </c>
      <c r="L50" s="72"/>
      <c r="M50" s="72"/>
      <c r="N50" s="72"/>
      <c r="O50" s="72"/>
      <c r="P50" s="72"/>
      <c r="Q50" s="72"/>
      <c r="R50" s="72"/>
      <c r="S50" s="72"/>
      <c r="T50" s="72"/>
      <c r="U50" s="72"/>
    </row>
    <row r="51" spans="2:21" x14ac:dyDescent="0.2">
      <c r="B51" s="65">
        <v>7.8</v>
      </c>
      <c r="C51" s="65"/>
      <c r="D51" s="66" t="str">
        <f t="shared" si="0"/>
        <v/>
      </c>
      <c r="E51" s="71" t="str">
        <f t="shared" si="4"/>
        <v/>
      </c>
      <c r="G51" s="104">
        <v>7.1</v>
      </c>
      <c r="H51" s="65"/>
      <c r="I51" s="66" t="str">
        <f t="shared" si="1"/>
        <v/>
      </c>
      <c r="J51" s="71" t="str">
        <f t="shared" si="2"/>
        <v/>
      </c>
      <c r="M51" s="72"/>
      <c r="N51" s="72"/>
      <c r="O51" s="72"/>
      <c r="P51" s="72"/>
      <c r="Q51" s="72"/>
      <c r="R51" s="72"/>
      <c r="S51" s="72"/>
      <c r="T51" s="72"/>
      <c r="U51" s="72"/>
    </row>
    <row r="52" spans="2:21" x14ac:dyDescent="0.2">
      <c r="B52" s="68">
        <v>7.9</v>
      </c>
      <c r="C52" s="68"/>
      <c r="D52" s="69" t="str">
        <f t="shared" si="0"/>
        <v/>
      </c>
      <c r="E52" s="70" t="str">
        <f t="shared" si="4"/>
        <v/>
      </c>
      <c r="G52" s="105">
        <v>7.2</v>
      </c>
      <c r="H52" s="68"/>
      <c r="I52" s="69" t="str">
        <f t="shared" si="1"/>
        <v/>
      </c>
      <c r="J52" s="70" t="str">
        <f t="shared" si="2"/>
        <v/>
      </c>
    </row>
    <row r="53" spans="2:21" x14ac:dyDescent="0.2">
      <c r="B53" s="65">
        <v>8.1</v>
      </c>
      <c r="C53" s="65"/>
      <c r="D53" s="66" t="str">
        <f t="shared" si="0"/>
        <v/>
      </c>
      <c r="E53" s="71" t="str">
        <f t="shared" si="4"/>
        <v/>
      </c>
      <c r="G53" s="104">
        <v>7.3</v>
      </c>
      <c r="H53" s="65"/>
      <c r="I53" s="66" t="str">
        <f t="shared" si="1"/>
        <v/>
      </c>
      <c r="J53" s="71" t="str">
        <f t="shared" si="2"/>
        <v/>
      </c>
    </row>
    <row r="54" spans="2:21" x14ac:dyDescent="0.2">
      <c r="B54" s="68">
        <v>8.1999999999999993</v>
      </c>
      <c r="C54" s="68"/>
      <c r="D54" s="69" t="str">
        <f t="shared" si="0"/>
        <v/>
      </c>
      <c r="E54" s="70" t="str">
        <f t="shared" si="4"/>
        <v/>
      </c>
      <c r="G54" s="105">
        <v>7.4</v>
      </c>
      <c r="H54" s="68"/>
      <c r="I54" s="69" t="str">
        <f t="shared" si="1"/>
        <v/>
      </c>
      <c r="J54" s="70" t="str">
        <f t="shared" si="2"/>
        <v/>
      </c>
    </row>
    <row r="55" spans="2:21" x14ac:dyDescent="0.2">
      <c r="B55" s="65">
        <v>8.3000000000000007</v>
      </c>
      <c r="C55" s="65"/>
      <c r="D55" s="66" t="str">
        <f t="shared" si="0"/>
        <v/>
      </c>
      <c r="E55" s="71" t="str">
        <f t="shared" si="4"/>
        <v/>
      </c>
      <c r="G55" s="104">
        <v>7.5</v>
      </c>
      <c r="H55" s="65"/>
      <c r="I55" s="66" t="str">
        <f t="shared" si="1"/>
        <v/>
      </c>
      <c r="J55" s="71" t="str">
        <f t="shared" si="2"/>
        <v/>
      </c>
    </row>
    <row r="56" spans="2:21" x14ac:dyDescent="0.2">
      <c r="B56" s="68">
        <v>8.4</v>
      </c>
      <c r="C56" s="68"/>
      <c r="D56" s="69" t="str">
        <f t="shared" si="0"/>
        <v/>
      </c>
      <c r="E56" s="70" t="str">
        <f t="shared" si="4"/>
        <v/>
      </c>
      <c r="G56" s="105">
        <v>7.6</v>
      </c>
      <c r="H56" s="68"/>
      <c r="I56" s="69" t="str">
        <f t="shared" si="1"/>
        <v/>
      </c>
      <c r="J56" s="70" t="str">
        <f t="shared" si="2"/>
        <v/>
      </c>
    </row>
    <row r="57" spans="2:21" x14ac:dyDescent="0.2">
      <c r="B57" s="65">
        <v>8.5</v>
      </c>
      <c r="C57" s="65"/>
      <c r="D57" s="66" t="str">
        <f t="shared" si="0"/>
        <v/>
      </c>
      <c r="E57" s="71" t="str">
        <f t="shared" si="4"/>
        <v/>
      </c>
      <c r="G57" s="104">
        <v>7.7</v>
      </c>
      <c r="H57" s="65"/>
      <c r="I57" s="66" t="str">
        <f t="shared" si="1"/>
        <v/>
      </c>
      <c r="J57" s="71" t="str">
        <f t="shared" si="2"/>
        <v/>
      </c>
    </row>
    <row r="58" spans="2:21" x14ac:dyDescent="0.2">
      <c r="B58" s="68">
        <v>8.6</v>
      </c>
      <c r="C58" s="68"/>
      <c r="D58" s="69" t="str">
        <f t="shared" si="0"/>
        <v/>
      </c>
      <c r="E58" s="70" t="str">
        <f t="shared" si="4"/>
        <v/>
      </c>
      <c r="G58" s="105">
        <v>8.1</v>
      </c>
      <c r="H58" s="68"/>
      <c r="I58" s="69" t="str">
        <f t="shared" si="1"/>
        <v/>
      </c>
      <c r="J58" s="70" t="str">
        <f t="shared" si="2"/>
        <v/>
      </c>
    </row>
    <row r="59" spans="2:21" x14ac:dyDescent="0.2">
      <c r="B59" s="65">
        <v>8.6999999999999993</v>
      </c>
      <c r="C59" s="65"/>
      <c r="D59" s="66" t="str">
        <f t="shared" si="0"/>
        <v/>
      </c>
      <c r="E59" s="71" t="str">
        <f t="shared" si="4"/>
        <v/>
      </c>
      <c r="G59" s="104">
        <v>8.1999999999999993</v>
      </c>
      <c r="H59" s="65"/>
      <c r="I59" s="66" t="str">
        <f t="shared" si="1"/>
        <v/>
      </c>
      <c r="J59" s="71" t="str">
        <f t="shared" si="2"/>
        <v/>
      </c>
    </row>
    <row r="60" spans="2:21" x14ac:dyDescent="0.2">
      <c r="B60" s="68">
        <v>8.8000000000000007</v>
      </c>
      <c r="C60" s="68"/>
      <c r="D60" s="69" t="str">
        <f t="shared" si="0"/>
        <v/>
      </c>
      <c r="E60" s="70" t="str">
        <f t="shared" si="4"/>
        <v/>
      </c>
      <c r="G60" s="105">
        <v>8.3000000000000007</v>
      </c>
      <c r="H60" s="68"/>
      <c r="I60" s="69" t="str">
        <f t="shared" si="1"/>
        <v/>
      </c>
      <c r="J60" s="70" t="str">
        <f t="shared" si="2"/>
        <v/>
      </c>
    </row>
    <row r="61" spans="2:21" x14ac:dyDescent="0.2">
      <c r="B61" s="65">
        <v>9.1</v>
      </c>
      <c r="C61" s="65"/>
      <c r="D61" s="66" t="str">
        <f t="shared" si="0"/>
        <v/>
      </c>
      <c r="E61" s="71" t="str">
        <f t="shared" si="4"/>
        <v/>
      </c>
      <c r="G61" s="104">
        <v>8.4</v>
      </c>
      <c r="H61" s="65"/>
      <c r="I61" s="66" t="str">
        <f t="shared" si="1"/>
        <v/>
      </c>
      <c r="J61" s="71" t="str">
        <f t="shared" si="2"/>
        <v/>
      </c>
    </row>
    <row r="62" spans="2:21" x14ac:dyDescent="0.2">
      <c r="B62" s="68">
        <v>9.1999999999999993</v>
      </c>
      <c r="C62" s="68"/>
      <c r="D62" s="69" t="str">
        <f t="shared" si="0"/>
        <v/>
      </c>
      <c r="E62" s="70" t="str">
        <f t="shared" si="4"/>
        <v/>
      </c>
      <c r="G62" s="105">
        <v>8.5</v>
      </c>
      <c r="H62" s="68"/>
      <c r="I62" s="69" t="str">
        <f t="shared" si="1"/>
        <v/>
      </c>
      <c r="J62" s="70" t="str">
        <f t="shared" si="2"/>
        <v/>
      </c>
    </row>
    <row r="63" spans="2:21" x14ac:dyDescent="0.2">
      <c r="B63" s="65">
        <v>9.3000000000000007</v>
      </c>
      <c r="C63" s="65"/>
      <c r="D63" s="66" t="str">
        <f t="shared" si="0"/>
        <v/>
      </c>
      <c r="E63" s="71" t="str">
        <f t="shared" si="4"/>
        <v/>
      </c>
      <c r="G63" s="104">
        <v>8.6</v>
      </c>
      <c r="H63" s="65"/>
      <c r="I63" s="66" t="str">
        <f t="shared" si="1"/>
        <v/>
      </c>
      <c r="J63" s="71" t="str">
        <f t="shared" si="2"/>
        <v/>
      </c>
    </row>
    <row r="64" spans="2:21" x14ac:dyDescent="0.2">
      <c r="B64" s="68">
        <v>9.4</v>
      </c>
      <c r="C64" s="68"/>
      <c r="D64" s="69" t="str">
        <f t="shared" si="0"/>
        <v/>
      </c>
      <c r="E64" s="70" t="str">
        <f t="shared" si="4"/>
        <v/>
      </c>
      <c r="G64" s="105">
        <v>8.6999999999999993</v>
      </c>
      <c r="H64" s="68"/>
      <c r="I64" s="69" t="str">
        <f t="shared" si="1"/>
        <v/>
      </c>
      <c r="J64" s="70" t="str">
        <f t="shared" si="2"/>
        <v/>
      </c>
    </row>
    <row r="65" spans="2:10" x14ac:dyDescent="0.2">
      <c r="B65" s="65">
        <v>10.1</v>
      </c>
      <c r="C65" s="65"/>
      <c r="D65" s="66" t="str">
        <f t="shared" si="0"/>
        <v/>
      </c>
      <c r="E65" s="71" t="str">
        <f t="shared" si="4"/>
        <v/>
      </c>
      <c r="G65" s="104">
        <v>8.8000000000000007</v>
      </c>
      <c r="H65" s="65"/>
      <c r="I65" s="66" t="str">
        <f t="shared" si="1"/>
        <v/>
      </c>
      <c r="J65" s="71" t="str">
        <f t="shared" si="2"/>
        <v/>
      </c>
    </row>
    <row r="66" spans="2:10" x14ac:dyDescent="0.2">
      <c r="B66" s="68">
        <v>10.199999999999999</v>
      </c>
      <c r="C66" s="68"/>
      <c r="D66" s="69" t="str">
        <f t="shared" si="0"/>
        <v/>
      </c>
      <c r="E66" s="70" t="str">
        <f t="shared" si="4"/>
        <v/>
      </c>
      <c r="G66" s="105">
        <v>8.9</v>
      </c>
      <c r="H66" s="68"/>
      <c r="I66" s="69" t="str">
        <f t="shared" si="1"/>
        <v/>
      </c>
      <c r="J66" s="70" t="str">
        <f t="shared" si="2"/>
        <v/>
      </c>
    </row>
    <row r="67" spans="2:10" x14ac:dyDescent="0.2">
      <c r="B67" s="65">
        <v>10.3</v>
      </c>
      <c r="C67" s="65"/>
      <c r="D67" s="66" t="str">
        <f t="shared" si="0"/>
        <v/>
      </c>
      <c r="E67" s="71" t="str">
        <f t="shared" si="4"/>
        <v/>
      </c>
      <c r="G67" s="127">
        <v>8.1</v>
      </c>
      <c r="H67" s="65"/>
      <c r="I67" s="66" t="str">
        <f t="shared" si="1"/>
        <v/>
      </c>
      <c r="J67" s="71" t="str">
        <f t="shared" si="2"/>
        <v/>
      </c>
    </row>
    <row r="68" spans="2:10" x14ac:dyDescent="0.2">
      <c r="B68" s="68">
        <v>10.4</v>
      </c>
      <c r="C68" s="68"/>
      <c r="D68" s="69" t="str">
        <f t="shared" si="0"/>
        <v/>
      </c>
      <c r="E68" s="70" t="str">
        <f t="shared" si="4"/>
        <v/>
      </c>
      <c r="G68" s="105">
        <v>8.11</v>
      </c>
      <c r="H68" s="68"/>
      <c r="I68" s="69" t="str">
        <f t="shared" si="1"/>
        <v/>
      </c>
      <c r="J68" s="70" t="str">
        <f t="shared" si="2"/>
        <v/>
      </c>
    </row>
    <row r="69" spans="2:10" x14ac:dyDescent="0.2">
      <c r="B69" s="65">
        <v>10.5</v>
      </c>
      <c r="C69" s="65"/>
      <c r="D69" s="66" t="str">
        <f t="shared" si="0"/>
        <v/>
      </c>
      <c r="E69" s="71" t="str">
        <f t="shared" si="4"/>
        <v/>
      </c>
      <c r="G69" s="104">
        <v>9.1</v>
      </c>
      <c r="H69" s="65"/>
      <c r="I69" s="66" t="str">
        <f t="shared" si="1"/>
        <v/>
      </c>
      <c r="J69" s="71" t="str">
        <f t="shared" si="2"/>
        <v/>
      </c>
    </row>
    <row r="70" spans="2:10" x14ac:dyDescent="0.2">
      <c r="B70" s="68">
        <v>11.1</v>
      </c>
      <c r="C70" s="68"/>
      <c r="D70" s="69" t="str">
        <f t="shared" ref="D70:D133" si="5">LEFT($C70, 1)</f>
        <v/>
      </c>
      <c r="E70" s="70" t="str">
        <f t="shared" si="4"/>
        <v/>
      </c>
      <c r="G70" s="105">
        <v>9.1999999999999993</v>
      </c>
      <c r="H70" s="68"/>
      <c r="I70" s="69" t="str">
        <f t="shared" ref="I70:I133" si="6">LEFT($H70, 1)</f>
        <v/>
      </c>
      <c r="J70" s="70" t="str">
        <f t="shared" ref="J70:J133" si="7">I70</f>
        <v/>
      </c>
    </row>
    <row r="71" spans="2:10" x14ac:dyDescent="0.2">
      <c r="B71" s="65">
        <v>11.2</v>
      </c>
      <c r="C71" s="65"/>
      <c r="D71" s="66" t="str">
        <f t="shared" si="5"/>
        <v/>
      </c>
      <c r="E71" s="71" t="str">
        <f t="shared" si="4"/>
        <v/>
      </c>
      <c r="G71" s="104">
        <v>9.3000000000000007</v>
      </c>
      <c r="H71" s="65"/>
      <c r="I71" s="66" t="str">
        <f>LEFT($H71, 1)</f>
        <v/>
      </c>
      <c r="J71" s="71" t="str">
        <f t="shared" si="7"/>
        <v/>
      </c>
    </row>
    <row r="72" spans="2:10" x14ac:dyDescent="0.2">
      <c r="B72" s="68">
        <v>11.3</v>
      </c>
      <c r="C72" s="68"/>
      <c r="D72" s="69" t="str">
        <f t="shared" si="5"/>
        <v/>
      </c>
      <c r="E72" s="70" t="str">
        <f t="shared" si="4"/>
        <v/>
      </c>
      <c r="G72" s="105">
        <v>9.4</v>
      </c>
      <c r="H72" s="68"/>
      <c r="I72" s="69" t="str">
        <f t="shared" si="6"/>
        <v/>
      </c>
      <c r="J72" s="70" t="str">
        <f t="shared" si="7"/>
        <v/>
      </c>
    </row>
    <row r="73" spans="2:10" x14ac:dyDescent="0.2">
      <c r="B73" s="65">
        <v>11.4</v>
      </c>
      <c r="C73" s="65"/>
      <c r="D73" s="66" t="str">
        <f t="shared" si="5"/>
        <v/>
      </c>
      <c r="E73" s="71" t="str">
        <f t="shared" si="4"/>
        <v/>
      </c>
      <c r="G73" s="104">
        <v>9.5</v>
      </c>
      <c r="H73" s="65"/>
      <c r="I73" s="66" t="str">
        <f t="shared" si="6"/>
        <v/>
      </c>
      <c r="J73" s="71" t="str">
        <f t="shared" si="7"/>
        <v/>
      </c>
    </row>
    <row r="74" spans="2:10" x14ac:dyDescent="0.2">
      <c r="B74" s="68">
        <v>11.5</v>
      </c>
      <c r="C74" s="68"/>
      <c r="D74" s="69" t="str">
        <f t="shared" si="5"/>
        <v/>
      </c>
      <c r="E74" s="70" t="str">
        <f t="shared" si="4"/>
        <v/>
      </c>
      <c r="G74" s="105">
        <v>9.6</v>
      </c>
      <c r="H74" s="68"/>
      <c r="I74" s="69" t="str">
        <f t="shared" si="6"/>
        <v/>
      </c>
      <c r="J74" s="70" t="str">
        <f t="shared" si="7"/>
        <v/>
      </c>
    </row>
    <row r="75" spans="2:10" x14ac:dyDescent="0.2">
      <c r="B75" s="65">
        <v>11.6</v>
      </c>
      <c r="C75" s="65"/>
      <c r="D75" s="66" t="str">
        <f t="shared" si="5"/>
        <v/>
      </c>
      <c r="E75" s="71" t="str">
        <f t="shared" si="4"/>
        <v/>
      </c>
      <c r="G75" s="104">
        <v>10.1</v>
      </c>
      <c r="H75" s="65"/>
      <c r="I75" s="66" t="str">
        <f t="shared" si="6"/>
        <v/>
      </c>
      <c r="J75" s="71" t="str">
        <f t="shared" si="7"/>
        <v/>
      </c>
    </row>
    <row r="76" spans="2:10" x14ac:dyDescent="0.2">
      <c r="B76" s="68">
        <v>11.7</v>
      </c>
      <c r="C76" s="68"/>
      <c r="D76" s="69" t="str">
        <f t="shared" si="5"/>
        <v/>
      </c>
      <c r="E76" s="70" t="str">
        <f t="shared" si="4"/>
        <v/>
      </c>
      <c r="G76" s="105">
        <v>10.199999999999999</v>
      </c>
      <c r="H76" s="68"/>
      <c r="I76" s="69" t="str">
        <f t="shared" si="6"/>
        <v/>
      </c>
      <c r="J76" s="70" t="str">
        <f t="shared" si="7"/>
        <v/>
      </c>
    </row>
    <row r="77" spans="2:10" x14ac:dyDescent="0.2">
      <c r="B77" s="65">
        <v>12.1</v>
      </c>
      <c r="C77" s="65"/>
      <c r="D77" s="66" t="str">
        <f t="shared" si="5"/>
        <v/>
      </c>
      <c r="E77" s="71" t="str">
        <f t="shared" si="4"/>
        <v/>
      </c>
      <c r="G77" s="104">
        <v>10.3</v>
      </c>
      <c r="H77" s="65"/>
      <c r="I77" s="66" t="str">
        <f t="shared" si="6"/>
        <v/>
      </c>
      <c r="J77" s="71" t="str">
        <f t="shared" si="7"/>
        <v/>
      </c>
    </row>
    <row r="78" spans="2:10" x14ac:dyDescent="0.2">
      <c r="B78" s="68">
        <v>12.2</v>
      </c>
      <c r="C78" s="68"/>
      <c r="D78" s="69" t="str">
        <f t="shared" si="5"/>
        <v/>
      </c>
      <c r="E78" s="70" t="str">
        <f t="shared" si="4"/>
        <v/>
      </c>
      <c r="G78" s="105">
        <v>10.4</v>
      </c>
      <c r="H78" s="68"/>
      <c r="I78" s="69" t="str">
        <f t="shared" si="6"/>
        <v/>
      </c>
      <c r="J78" s="70" t="str">
        <f t="shared" si="7"/>
        <v/>
      </c>
    </row>
    <row r="79" spans="2:10" x14ac:dyDescent="0.2">
      <c r="B79" s="65">
        <v>12.3</v>
      </c>
      <c r="C79" s="65"/>
      <c r="D79" s="66" t="str">
        <f t="shared" si="5"/>
        <v/>
      </c>
      <c r="E79" s="71" t="str">
        <f t="shared" si="4"/>
        <v/>
      </c>
      <c r="G79" s="104">
        <v>10.5</v>
      </c>
      <c r="H79" s="65"/>
      <c r="I79" s="66" t="str">
        <f t="shared" si="6"/>
        <v/>
      </c>
      <c r="J79" s="71" t="str">
        <f t="shared" si="7"/>
        <v/>
      </c>
    </row>
    <row r="80" spans="2:10" x14ac:dyDescent="0.2">
      <c r="B80" s="68">
        <v>12.4</v>
      </c>
      <c r="C80" s="68"/>
      <c r="D80" s="69" t="str">
        <f t="shared" si="5"/>
        <v/>
      </c>
      <c r="E80" s="70" t="str">
        <f t="shared" si="4"/>
        <v/>
      </c>
      <c r="G80" s="105">
        <v>10.6</v>
      </c>
      <c r="H80" s="68"/>
      <c r="I80" s="69" t="str">
        <f t="shared" si="6"/>
        <v/>
      </c>
      <c r="J80" s="70" t="str">
        <f t="shared" si="7"/>
        <v/>
      </c>
    </row>
    <row r="81" spans="2:10" x14ac:dyDescent="0.2">
      <c r="B81" s="65">
        <v>12.5</v>
      </c>
      <c r="C81" s="65"/>
      <c r="D81" s="66" t="str">
        <f t="shared" si="5"/>
        <v/>
      </c>
      <c r="E81" s="71" t="str">
        <f t="shared" si="4"/>
        <v/>
      </c>
      <c r="G81" s="104">
        <v>10.7</v>
      </c>
      <c r="H81" s="65"/>
      <c r="I81" s="66" t="str">
        <f t="shared" si="6"/>
        <v/>
      </c>
      <c r="J81" s="71" t="str">
        <f t="shared" si="7"/>
        <v/>
      </c>
    </row>
    <row r="82" spans="2:10" x14ac:dyDescent="0.2">
      <c r="B82" s="68">
        <v>12.6</v>
      </c>
      <c r="C82" s="68"/>
      <c r="D82" s="69" t="str">
        <f t="shared" si="5"/>
        <v/>
      </c>
      <c r="E82" s="70" t="str">
        <f t="shared" si="4"/>
        <v/>
      </c>
      <c r="G82" s="105">
        <v>11.1</v>
      </c>
      <c r="H82" s="68"/>
      <c r="I82" s="69" t="str">
        <f t="shared" si="6"/>
        <v/>
      </c>
      <c r="J82" s="70" t="str">
        <f t="shared" si="7"/>
        <v/>
      </c>
    </row>
    <row r="83" spans="2:10" x14ac:dyDescent="0.2">
      <c r="B83" s="65">
        <v>12.8</v>
      </c>
      <c r="C83" s="65"/>
      <c r="D83" s="66" t="str">
        <f t="shared" si="5"/>
        <v/>
      </c>
      <c r="E83" s="71" t="str">
        <f t="shared" si="4"/>
        <v/>
      </c>
      <c r="G83" s="104">
        <v>11.2</v>
      </c>
      <c r="H83" s="65"/>
      <c r="I83" s="66" t="str">
        <f t="shared" si="6"/>
        <v/>
      </c>
      <c r="J83" s="71" t="str">
        <f t="shared" si="7"/>
        <v/>
      </c>
    </row>
    <row r="84" spans="2:10" x14ac:dyDescent="0.2">
      <c r="B84" s="68">
        <v>12.11</v>
      </c>
      <c r="C84" s="68"/>
      <c r="D84" s="69" t="str">
        <f t="shared" si="5"/>
        <v/>
      </c>
      <c r="E84" s="70" t="str">
        <f t="shared" si="4"/>
        <v/>
      </c>
      <c r="G84" s="105">
        <v>11.3</v>
      </c>
      <c r="H84" s="68"/>
      <c r="I84" s="69" t="str">
        <f t="shared" si="6"/>
        <v/>
      </c>
      <c r="J84" s="70" t="str">
        <f t="shared" si="7"/>
        <v/>
      </c>
    </row>
    <row r="85" spans="2:10" x14ac:dyDescent="0.2">
      <c r="B85" s="65">
        <v>13.1</v>
      </c>
      <c r="C85" s="65"/>
      <c r="D85" s="66" t="str">
        <f t="shared" si="5"/>
        <v/>
      </c>
      <c r="E85" s="71" t="str">
        <f t="shared" si="4"/>
        <v/>
      </c>
      <c r="G85" s="104">
        <v>11.4</v>
      </c>
      <c r="H85" s="65"/>
      <c r="I85" s="66" t="str">
        <f t="shared" si="6"/>
        <v/>
      </c>
      <c r="J85" s="71" t="str">
        <f t="shared" si="7"/>
        <v/>
      </c>
    </row>
    <row r="86" spans="2:10" x14ac:dyDescent="0.2">
      <c r="B86" s="68">
        <v>13.2</v>
      </c>
      <c r="C86" s="68"/>
      <c r="D86" s="69" t="str">
        <f t="shared" si="5"/>
        <v/>
      </c>
      <c r="E86" s="70" t="str">
        <f t="shared" si="4"/>
        <v/>
      </c>
      <c r="G86" s="105">
        <v>11.5</v>
      </c>
      <c r="H86" s="68"/>
      <c r="I86" s="69" t="str">
        <f t="shared" si="6"/>
        <v/>
      </c>
      <c r="J86" s="70" t="str">
        <f t="shared" si="7"/>
        <v/>
      </c>
    </row>
    <row r="87" spans="2:10" x14ac:dyDescent="0.2">
      <c r="B87" s="65">
        <v>13.4</v>
      </c>
      <c r="C87" s="65"/>
      <c r="D87" s="66" t="str">
        <f t="shared" si="5"/>
        <v/>
      </c>
      <c r="E87" s="71" t="str">
        <f t="shared" si="4"/>
        <v/>
      </c>
      <c r="G87" s="104">
        <v>12.1</v>
      </c>
      <c r="H87" s="65"/>
      <c r="I87" s="66" t="str">
        <f t="shared" si="6"/>
        <v/>
      </c>
      <c r="J87" s="71" t="str">
        <f t="shared" si="7"/>
        <v/>
      </c>
    </row>
    <row r="88" spans="2:10" x14ac:dyDescent="0.2">
      <c r="B88" s="68">
        <v>13.6</v>
      </c>
      <c r="C88" s="68"/>
      <c r="D88" s="69" t="str">
        <f t="shared" si="5"/>
        <v/>
      </c>
      <c r="E88" s="70" t="str">
        <f t="shared" si="4"/>
        <v/>
      </c>
      <c r="G88" s="105">
        <v>12.2</v>
      </c>
      <c r="H88" s="68"/>
      <c r="I88" s="69" t="str">
        <f t="shared" si="6"/>
        <v/>
      </c>
      <c r="J88" s="70" t="str">
        <f t="shared" si="7"/>
        <v/>
      </c>
    </row>
    <row r="89" spans="2:10" x14ac:dyDescent="0.2">
      <c r="B89" s="65">
        <v>13.7</v>
      </c>
      <c r="C89" s="65"/>
      <c r="D89" s="66" t="str">
        <f t="shared" si="5"/>
        <v/>
      </c>
      <c r="E89" s="71" t="str">
        <f t="shared" si="4"/>
        <v/>
      </c>
      <c r="G89" s="104">
        <v>12.3</v>
      </c>
      <c r="H89" s="65"/>
      <c r="I89" s="66" t="str">
        <f t="shared" si="6"/>
        <v/>
      </c>
      <c r="J89" s="71" t="str">
        <f t="shared" si="7"/>
        <v/>
      </c>
    </row>
    <row r="90" spans="2:10" x14ac:dyDescent="0.2">
      <c r="B90" s="68">
        <v>14.1</v>
      </c>
      <c r="C90" s="68"/>
      <c r="D90" s="69" t="str">
        <f t="shared" si="5"/>
        <v/>
      </c>
      <c r="E90" s="70" t="str">
        <f t="shared" si="4"/>
        <v/>
      </c>
      <c r="G90" s="105">
        <v>12.4</v>
      </c>
      <c r="H90" s="68"/>
      <c r="I90" s="69" t="str">
        <f t="shared" si="6"/>
        <v/>
      </c>
      <c r="J90" s="70" t="str">
        <f t="shared" si="7"/>
        <v/>
      </c>
    </row>
    <row r="91" spans="2:10" x14ac:dyDescent="0.2">
      <c r="B91" s="65">
        <v>14.2</v>
      </c>
      <c r="C91" s="65"/>
      <c r="D91" s="66" t="str">
        <f t="shared" si="5"/>
        <v/>
      </c>
      <c r="E91" s="71" t="str">
        <f t="shared" si="4"/>
        <v/>
      </c>
      <c r="G91" s="104">
        <v>12.5</v>
      </c>
      <c r="H91" s="65"/>
      <c r="I91" s="66" t="str">
        <f t="shared" si="6"/>
        <v/>
      </c>
      <c r="J91" s="71" t="str">
        <f t="shared" si="7"/>
        <v/>
      </c>
    </row>
    <row r="92" spans="2:10" x14ac:dyDescent="0.2">
      <c r="B92" s="68">
        <v>14.3</v>
      </c>
      <c r="C92" s="68"/>
      <c r="D92" s="69" t="str">
        <f t="shared" si="5"/>
        <v/>
      </c>
      <c r="E92" s="70" t="str">
        <f t="shared" si="4"/>
        <v/>
      </c>
      <c r="G92" s="105">
        <v>12.6</v>
      </c>
      <c r="H92" s="68"/>
      <c r="I92" s="69" t="str">
        <f t="shared" si="6"/>
        <v/>
      </c>
      <c r="J92" s="70" t="str">
        <f t="shared" si="7"/>
        <v/>
      </c>
    </row>
    <row r="93" spans="2:10" x14ac:dyDescent="0.2">
      <c r="B93" s="65">
        <v>14.4</v>
      </c>
      <c r="C93" s="65"/>
      <c r="D93" s="66" t="str">
        <f t="shared" si="5"/>
        <v/>
      </c>
      <c r="E93" s="71" t="str">
        <f t="shared" si="4"/>
        <v/>
      </c>
      <c r="G93" s="104">
        <v>12.7</v>
      </c>
      <c r="H93" s="65"/>
      <c r="I93" s="66" t="str">
        <f t="shared" si="6"/>
        <v/>
      </c>
      <c r="J93" s="71" t="str">
        <f t="shared" si="7"/>
        <v/>
      </c>
    </row>
    <row r="94" spans="2:10" x14ac:dyDescent="0.2">
      <c r="B94" s="68">
        <v>14.6</v>
      </c>
      <c r="C94" s="68"/>
      <c r="D94" s="69" t="str">
        <f t="shared" si="5"/>
        <v/>
      </c>
      <c r="E94" s="70" t="str">
        <f t="shared" si="4"/>
        <v/>
      </c>
      <c r="G94" s="105">
        <v>13.1</v>
      </c>
      <c r="H94" s="68"/>
      <c r="I94" s="69" t="str">
        <f t="shared" si="6"/>
        <v/>
      </c>
      <c r="J94" s="70" t="str">
        <f t="shared" si="7"/>
        <v/>
      </c>
    </row>
    <row r="95" spans="2:10" x14ac:dyDescent="0.2">
      <c r="B95" s="65">
        <v>15.1</v>
      </c>
      <c r="C95" s="65"/>
      <c r="D95" s="66" t="str">
        <f t="shared" si="5"/>
        <v/>
      </c>
      <c r="E95" s="71" t="str">
        <f t="shared" si="4"/>
        <v/>
      </c>
      <c r="G95" s="104">
        <v>13.2</v>
      </c>
      <c r="H95" s="65"/>
      <c r="I95" s="66" t="str">
        <f t="shared" si="6"/>
        <v/>
      </c>
      <c r="J95" s="71" t="str">
        <f t="shared" si="7"/>
        <v/>
      </c>
    </row>
    <row r="96" spans="2:10" x14ac:dyDescent="0.2">
      <c r="B96" s="68">
        <v>15.2</v>
      </c>
      <c r="C96" s="68"/>
      <c r="D96" s="69" t="str">
        <f t="shared" si="5"/>
        <v/>
      </c>
      <c r="E96" s="70" t="str">
        <f t="shared" si="4"/>
        <v/>
      </c>
      <c r="G96" s="105">
        <v>13.3</v>
      </c>
      <c r="H96" s="68"/>
      <c r="I96" s="69" t="str">
        <f t="shared" si="6"/>
        <v/>
      </c>
      <c r="J96" s="70" t="str">
        <f t="shared" si="7"/>
        <v/>
      </c>
    </row>
    <row r="97" spans="2:10" x14ac:dyDescent="0.2">
      <c r="B97" s="65">
        <v>15.3</v>
      </c>
      <c r="C97" s="65"/>
      <c r="D97" s="66" t="str">
        <f t="shared" si="5"/>
        <v/>
      </c>
      <c r="E97" s="71" t="str">
        <f t="shared" si="4"/>
        <v/>
      </c>
      <c r="G97" s="104">
        <v>13.4</v>
      </c>
      <c r="H97" s="65"/>
      <c r="I97" s="66" t="str">
        <f t="shared" si="6"/>
        <v/>
      </c>
      <c r="J97" s="71" t="str">
        <f t="shared" si="7"/>
        <v/>
      </c>
    </row>
    <row r="98" spans="2:10" x14ac:dyDescent="0.2">
      <c r="B98" s="68">
        <v>15.6</v>
      </c>
      <c r="C98" s="68"/>
      <c r="D98" s="69" t="str">
        <f t="shared" si="5"/>
        <v/>
      </c>
      <c r="E98" s="70" t="str">
        <f t="shared" si="4"/>
        <v/>
      </c>
      <c r="G98" s="105">
        <v>13.5</v>
      </c>
      <c r="H98" s="68"/>
      <c r="I98" s="69" t="str">
        <f t="shared" si="6"/>
        <v/>
      </c>
      <c r="J98" s="70" t="str">
        <f t="shared" si="7"/>
        <v/>
      </c>
    </row>
    <row r="99" spans="2:10" x14ac:dyDescent="0.2">
      <c r="B99" s="65">
        <v>15.7</v>
      </c>
      <c r="C99" s="65"/>
      <c r="D99" s="66" t="str">
        <f t="shared" si="5"/>
        <v/>
      </c>
      <c r="E99" s="71" t="str">
        <f t="shared" si="4"/>
        <v/>
      </c>
      <c r="G99" s="104">
        <v>13.6</v>
      </c>
      <c r="H99" s="65"/>
      <c r="I99" s="66" t="str">
        <f t="shared" si="6"/>
        <v/>
      </c>
      <c r="J99" s="71" t="str">
        <f t="shared" si="7"/>
        <v/>
      </c>
    </row>
    <row r="100" spans="2:10" x14ac:dyDescent="0.2">
      <c r="B100" s="68">
        <v>15.9</v>
      </c>
      <c r="C100" s="68"/>
      <c r="D100" s="69" t="str">
        <f t="shared" si="5"/>
        <v/>
      </c>
      <c r="E100" s="70" t="str">
        <f t="shared" si="4"/>
        <v/>
      </c>
      <c r="G100" s="105">
        <v>14.1</v>
      </c>
      <c r="H100" s="68"/>
      <c r="I100" s="69" t="str">
        <f t="shared" si="6"/>
        <v/>
      </c>
      <c r="J100" s="70" t="str">
        <f t="shared" si="7"/>
        <v/>
      </c>
    </row>
    <row r="101" spans="2:10" x14ac:dyDescent="0.2">
      <c r="B101" s="65" t="s">
        <v>545</v>
      </c>
      <c r="C101" s="65"/>
      <c r="D101" s="66" t="str">
        <f t="shared" si="5"/>
        <v/>
      </c>
      <c r="E101" s="71" t="str">
        <f t="shared" si="4"/>
        <v/>
      </c>
      <c r="G101" s="104">
        <v>14.2</v>
      </c>
      <c r="H101" s="65"/>
      <c r="I101" s="66" t="str">
        <f t="shared" si="6"/>
        <v/>
      </c>
      <c r="J101" s="71" t="str">
        <f t="shared" si="7"/>
        <v/>
      </c>
    </row>
    <row r="102" spans="2:10" x14ac:dyDescent="0.2">
      <c r="B102" s="68">
        <v>16.100000000000001</v>
      </c>
      <c r="C102" s="68"/>
      <c r="D102" s="69" t="str">
        <f t="shared" si="5"/>
        <v/>
      </c>
      <c r="E102" s="70" t="str">
        <f t="shared" si="4"/>
        <v/>
      </c>
      <c r="G102" s="105">
        <v>14.3</v>
      </c>
      <c r="H102" s="68"/>
      <c r="I102" s="69" t="str">
        <f t="shared" si="6"/>
        <v/>
      </c>
      <c r="J102" s="70" t="str">
        <f t="shared" si="7"/>
        <v/>
      </c>
    </row>
    <row r="103" spans="2:10" x14ac:dyDescent="0.2">
      <c r="B103" s="65">
        <v>16.2</v>
      </c>
      <c r="C103" s="65"/>
      <c r="D103" s="66" t="str">
        <f t="shared" si="5"/>
        <v/>
      </c>
      <c r="E103" s="71" t="str">
        <f t="shared" si="4"/>
        <v/>
      </c>
      <c r="G103" s="104">
        <v>14.4</v>
      </c>
      <c r="H103" s="65"/>
      <c r="I103" s="66" t="str">
        <f t="shared" si="6"/>
        <v/>
      </c>
      <c r="J103" s="71" t="str">
        <f t="shared" si="7"/>
        <v/>
      </c>
    </row>
    <row r="104" spans="2:10" x14ac:dyDescent="0.2">
      <c r="B104" s="68">
        <v>16.3</v>
      </c>
      <c r="C104" s="68"/>
      <c r="D104" s="69" t="str">
        <f t="shared" si="5"/>
        <v/>
      </c>
      <c r="E104" s="70" t="str">
        <f t="shared" si="4"/>
        <v/>
      </c>
      <c r="G104" s="105">
        <v>14.5</v>
      </c>
      <c r="H104" s="68"/>
      <c r="I104" s="69" t="str">
        <f t="shared" si="6"/>
        <v/>
      </c>
      <c r="J104" s="70" t="str">
        <f t="shared" si="7"/>
        <v/>
      </c>
    </row>
    <row r="105" spans="2:10" x14ac:dyDescent="0.2">
      <c r="B105" s="65">
        <v>16.399999999999999</v>
      </c>
      <c r="C105" s="65"/>
      <c r="D105" s="66" t="str">
        <f t="shared" si="5"/>
        <v/>
      </c>
      <c r="E105" s="71" t="str">
        <f t="shared" si="4"/>
        <v/>
      </c>
      <c r="G105" s="104">
        <v>14.6</v>
      </c>
      <c r="H105" s="65"/>
      <c r="I105" s="66" t="str">
        <f t="shared" si="6"/>
        <v/>
      </c>
      <c r="J105" s="71" t="str">
        <f t="shared" si="7"/>
        <v/>
      </c>
    </row>
    <row r="106" spans="2:10" x14ac:dyDescent="0.2">
      <c r="B106" s="68">
        <v>16.5</v>
      </c>
      <c r="C106" s="68"/>
      <c r="D106" s="69" t="str">
        <f t="shared" si="5"/>
        <v/>
      </c>
      <c r="E106" s="70" t="str">
        <f t="shared" si="4"/>
        <v/>
      </c>
      <c r="G106" s="105">
        <v>14.7</v>
      </c>
      <c r="H106" s="68"/>
      <c r="I106" s="69" t="str">
        <f t="shared" si="6"/>
        <v/>
      </c>
      <c r="J106" s="70" t="str">
        <f t="shared" si="7"/>
        <v/>
      </c>
    </row>
    <row r="107" spans="2:10" x14ac:dyDescent="0.2">
      <c r="B107" s="65">
        <v>16.600000000000001</v>
      </c>
      <c r="C107" s="65"/>
      <c r="D107" s="66" t="str">
        <f t="shared" si="5"/>
        <v/>
      </c>
      <c r="E107" s="71" t="str">
        <f t="shared" si="4"/>
        <v/>
      </c>
      <c r="G107" s="104">
        <v>14.8</v>
      </c>
      <c r="H107" s="65"/>
      <c r="I107" s="66" t="str">
        <f t="shared" si="6"/>
        <v/>
      </c>
      <c r="J107" s="71" t="str">
        <f t="shared" si="7"/>
        <v/>
      </c>
    </row>
    <row r="108" spans="2:10" x14ac:dyDescent="0.2">
      <c r="B108" s="68">
        <v>16.7</v>
      </c>
      <c r="C108" s="68"/>
      <c r="D108" s="69" t="str">
        <f t="shared" si="5"/>
        <v/>
      </c>
      <c r="E108" s="70" t="str">
        <f t="shared" si="4"/>
        <v/>
      </c>
      <c r="G108" s="105">
        <v>14.9</v>
      </c>
      <c r="H108" s="68"/>
      <c r="I108" s="69" t="str">
        <f t="shared" si="6"/>
        <v/>
      </c>
      <c r="J108" s="70" t="str">
        <f t="shared" si="7"/>
        <v/>
      </c>
    </row>
    <row r="109" spans="2:10" x14ac:dyDescent="0.2">
      <c r="B109" s="65">
        <v>16.8</v>
      </c>
      <c r="C109" s="65"/>
      <c r="D109" s="66" t="str">
        <f t="shared" si="5"/>
        <v/>
      </c>
      <c r="E109" s="71" t="str">
        <f t="shared" si="4"/>
        <v/>
      </c>
      <c r="G109" s="104">
        <v>15.1</v>
      </c>
      <c r="H109" s="65"/>
      <c r="I109" s="66" t="str">
        <f t="shared" si="6"/>
        <v/>
      </c>
      <c r="J109" s="71" t="str">
        <f t="shared" si="7"/>
        <v/>
      </c>
    </row>
    <row r="110" spans="2:10" x14ac:dyDescent="0.2">
      <c r="B110" s="68">
        <v>16.899999999999999</v>
      </c>
      <c r="C110" s="68"/>
      <c r="D110" s="69" t="str">
        <f t="shared" si="5"/>
        <v/>
      </c>
      <c r="E110" s="70" t="str">
        <f t="shared" si="4"/>
        <v/>
      </c>
      <c r="G110" s="105">
        <v>15.2</v>
      </c>
      <c r="H110" s="68"/>
      <c r="I110" s="69" t="str">
        <f t="shared" si="6"/>
        <v/>
      </c>
      <c r="J110" s="70" t="str">
        <f t="shared" si="7"/>
        <v/>
      </c>
    </row>
    <row r="111" spans="2:10" x14ac:dyDescent="0.2">
      <c r="B111" s="65" t="s">
        <v>546</v>
      </c>
      <c r="C111" s="65"/>
      <c r="D111" s="66" t="str">
        <f t="shared" si="5"/>
        <v/>
      </c>
      <c r="E111" s="71" t="str">
        <f t="shared" si="4"/>
        <v/>
      </c>
      <c r="G111" s="104">
        <v>15.3</v>
      </c>
      <c r="H111" s="65"/>
      <c r="I111" s="66" t="str">
        <f t="shared" si="6"/>
        <v/>
      </c>
      <c r="J111" s="71" t="str">
        <f t="shared" si="7"/>
        <v/>
      </c>
    </row>
    <row r="112" spans="2:10" x14ac:dyDescent="0.2">
      <c r="B112" s="68">
        <v>16.11</v>
      </c>
      <c r="C112" s="68"/>
      <c r="D112" s="69" t="str">
        <f t="shared" si="5"/>
        <v/>
      </c>
      <c r="E112" s="70" t="str">
        <f t="shared" si="4"/>
        <v/>
      </c>
      <c r="G112" s="105">
        <v>15.4</v>
      </c>
      <c r="H112" s="68"/>
      <c r="I112" s="69" t="str">
        <f t="shared" si="6"/>
        <v/>
      </c>
      <c r="J112" s="70" t="str">
        <f t="shared" si="7"/>
        <v/>
      </c>
    </row>
    <row r="113" spans="2:10" x14ac:dyDescent="0.2">
      <c r="B113" s="65">
        <v>16.12</v>
      </c>
      <c r="C113" s="65"/>
      <c r="D113" s="66" t="str">
        <f t="shared" si="5"/>
        <v/>
      </c>
      <c r="E113" s="71" t="str">
        <f t="shared" ref="E113:E146" si="8">D113</f>
        <v/>
      </c>
      <c r="G113" s="104">
        <v>16.100000000000001</v>
      </c>
      <c r="H113" s="65"/>
      <c r="I113" s="66" t="str">
        <f t="shared" si="6"/>
        <v/>
      </c>
      <c r="J113" s="71" t="str">
        <f t="shared" si="7"/>
        <v/>
      </c>
    </row>
    <row r="114" spans="2:10" x14ac:dyDescent="0.2">
      <c r="B114" s="68" t="s">
        <v>547</v>
      </c>
      <c r="C114" s="68"/>
      <c r="D114" s="69" t="str">
        <f t="shared" si="5"/>
        <v/>
      </c>
      <c r="E114" s="70" t="str">
        <f t="shared" si="8"/>
        <v/>
      </c>
      <c r="G114" s="105">
        <v>16.2</v>
      </c>
      <c r="H114" s="68"/>
      <c r="I114" s="69" t="str">
        <f t="shared" si="6"/>
        <v/>
      </c>
      <c r="J114" s="70" t="str">
        <f t="shared" si="7"/>
        <v/>
      </c>
    </row>
    <row r="115" spans="2:10" x14ac:dyDescent="0.2">
      <c r="B115" s="65" t="s">
        <v>548</v>
      </c>
      <c r="C115" s="65"/>
      <c r="D115" s="66" t="str">
        <f t="shared" si="5"/>
        <v/>
      </c>
      <c r="E115" s="71" t="str">
        <f t="shared" si="8"/>
        <v/>
      </c>
      <c r="G115" s="104">
        <v>16.3</v>
      </c>
      <c r="H115" s="65"/>
      <c r="I115" s="66" t="str">
        <f t="shared" si="6"/>
        <v/>
      </c>
      <c r="J115" s="71" t="str">
        <f t="shared" si="7"/>
        <v/>
      </c>
    </row>
    <row r="116" spans="2:10" x14ac:dyDescent="0.2">
      <c r="B116" s="68" t="s">
        <v>549</v>
      </c>
      <c r="C116" s="68"/>
      <c r="D116" s="69" t="str">
        <f t="shared" si="5"/>
        <v/>
      </c>
      <c r="E116" s="70" t="str">
        <f t="shared" si="8"/>
        <v/>
      </c>
      <c r="G116" s="105">
        <v>16.399999999999999</v>
      </c>
      <c r="H116" s="68"/>
      <c r="I116" s="69" t="str">
        <f t="shared" si="6"/>
        <v/>
      </c>
      <c r="J116" s="70" t="str">
        <f t="shared" si="7"/>
        <v/>
      </c>
    </row>
    <row r="117" spans="2:10" x14ac:dyDescent="0.2">
      <c r="B117" s="65" t="s">
        <v>550</v>
      </c>
      <c r="C117" s="65"/>
      <c r="D117" s="66" t="str">
        <f t="shared" si="5"/>
        <v/>
      </c>
      <c r="E117" s="71" t="str">
        <f t="shared" si="8"/>
        <v/>
      </c>
      <c r="G117" s="104">
        <v>16.5</v>
      </c>
      <c r="H117" s="65"/>
      <c r="I117" s="66" t="str">
        <f t="shared" si="6"/>
        <v/>
      </c>
      <c r="J117" s="71" t="str">
        <f t="shared" si="7"/>
        <v/>
      </c>
    </row>
    <row r="118" spans="2:10" x14ac:dyDescent="0.2">
      <c r="B118" s="68" t="s">
        <v>551</v>
      </c>
      <c r="C118" s="68"/>
      <c r="D118" s="69" t="str">
        <f t="shared" si="5"/>
        <v/>
      </c>
      <c r="E118" s="70" t="str">
        <f t="shared" si="8"/>
        <v/>
      </c>
      <c r="G118" s="105">
        <v>16.600000000000001</v>
      </c>
      <c r="H118" s="68"/>
      <c r="I118" s="69" t="str">
        <f t="shared" si="6"/>
        <v/>
      </c>
      <c r="J118" s="70" t="str">
        <f t="shared" si="7"/>
        <v/>
      </c>
    </row>
    <row r="119" spans="2:10" x14ac:dyDescent="0.2">
      <c r="B119" s="65" t="s">
        <v>552</v>
      </c>
      <c r="C119" s="65"/>
      <c r="D119" s="66" t="str">
        <f t="shared" si="5"/>
        <v/>
      </c>
      <c r="E119" s="71" t="str">
        <f t="shared" si="8"/>
        <v/>
      </c>
      <c r="G119" s="104">
        <v>16.7</v>
      </c>
      <c r="H119" s="65"/>
      <c r="I119" s="66" t="str">
        <f t="shared" si="6"/>
        <v/>
      </c>
      <c r="J119" s="71" t="str">
        <f t="shared" si="7"/>
        <v/>
      </c>
    </row>
    <row r="120" spans="2:10" x14ac:dyDescent="0.2">
      <c r="B120" s="68" t="s">
        <v>553</v>
      </c>
      <c r="C120" s="68"/>
      <c r="D120" s="69" t="str">
        <f t="shared" si="5"/>
        <v/>
      </c>
      <c r="E120" s="70" t="str">
        <f t="shared" si="8"/>
        <v/>
      </c>
      <c r="G120" s="105">
        <v>16.8</v>
      </c>
      <c r="H120" s="68"/>
      <c r="I120" s="69" t="str">
        <f t="shared" si="6"/>
        <v/>
      </c>
      <c r="J120" s="70" t="str">
        <f t="shared" si="7"/>
        <v/>
      </c>
    </row>
    <row r="121" spans="2:10" x14ac:dyDescent="0.2">
      <c r="B121" s="65" t="s">
        <v>554</v>
      </c>
      <c r="C121" s="65"/>
      <c r="D121" s="66" t="str">
        <f t="shared" si="5"/>
        <v/>
      </c>
      <c r="E121" s="71" t="str">
        <f t="shared" si="8"/>
        <v/>
      </c>
      <c r="G121" s="104">
        <v>16.899999999999999</v>
      </c>
      <c r="H121" s="65"/>
      <c r="I121" s="66" t="str">
        <f t="shared" si="6"/>
        <v/>
      </c>
      <c r="J121" s="71" t="str">
        <f t="shared" si="7"/>
        <v/>
      </c>
    </row>
    <row r="122" spans="2:10" x14ac:dyDescent="0.2">
      <c r="B122" s="68" t="s">
        <v>555</v>
      </c>
      <c r="C122" s="68"/>
      <c r="D122" s="69" t="str">
        <f t="shared" si="5"/>
        <v/>
      </c>
      <c r="E122" s="70" t="str">
        <f t="shared" si="8"/>
        <v/>
      </c>
      <c r="G122" s="106">
        <v>16.100000000000001</v>
      </c>
      <c r="H122" s="68"/>
      <c r="I122" s="69" t="str">
        <f t="shared" si="6"/>
        <v/>
      </c>
      <c r="J122" s="70" t="str">
        <f t="shared" si="7"/>
        <v/>
      </c>
    </row>
    <row r="123" spans="2:10" x14ac:dyDescent="0.2">
      <c r="B123" s="65" t="s">
        <v>556</v>
      </c>
      <c r="C123" s="65"/>
      <c r="D123" s="66" t="str">
        <f t="shared" si="5"/>
        <v/>
      </c>
      <c r="E123" s="71" t="str">
        <f t="shared" si="8"/>
        <v/>
      </c>
      <c r="G123" s="104">
        <v>16.11</v>
      </c>
      <c r="H123" s="65"/>
      <c r="I123" s="66" t="str">
        <f t="shared" si="6"/>
        <v/>
      </c>
      <c r="J123" s="71" t="str">
        <f t="shared" si="7"/>
        <v/>
      </c>
    </row>
    <row r="124" spans="2:10" x14ac:dyDescent="0.2">
      <c r="B124" s="68" t="s">
        <v>557</v>
      </c>
      <c r="C124" s="68"/>
      <c r="D124" s="69" t="str">
        <f t="shared" si="5"/>
        <v/>
      </c>
      <c r="E124" s="70" t="str">
        <f t="shared" si="8"/>
        <v/>
      </c>
      <c r="G124" s="105">
        <v>17.100000000000001</v>
      </c>
      <c r="H124" s="68"/>
      <c r="I124" s="69" t="str">
        <f t="shared" si="6"/>
        <v/>
      </c>
      <c r="J124" s="70" t="str">
        <f t="shared" si="7"/>
        <v/>
      </c>
    </row>
    <row r="125" spans="2:10" x14ac:dyDescent="0.2">
      <c r="B125" s="65" t="s">
        <v>558</v>
      </c>
      <c r="C125" s="65"/>
      <c r="D125" s="66" t="str">
        <f t="shared" si="5"/>
        <v/>
      </c>
      <c r="E125" s="71" t="str">
        <f t="shared" si="8"/>
        <v/>
      </c>
      <c r="G125" s="104">
        <v>17.2</v>
      </c>
      <c r="H125" s="65"/>
      <c r="I125" s="66" t="str">
        <f t="shared" si="6"/>
        <v/>
      </c>
      <c r="J125" s="71" t="str">
        <f t="shared" si="7"/>
        <v/>
      </c>
    </row>
    <row r="126" spans="2:10" x14ac:dyDescent="0.2">
      <c r="B126" s="68" t="s">
        <v>559</v>
      </c>
      <c r="C126" s="68"/>
      <c r="D126" s="69" t="str">
        <f t="shared" si="5"/>
        <v/>
      </c>
      <c r="E126" s="70" t="str">
        <f t="shared" si="8"/>
        <v/>
      </c>
      <c r="G126" s="105">
        <v>17.3</v>
      </c>
      <c r="H126" s="68"/>
      <c r="I126" s="69" t="str">
        <f t="shared" si="6"/>
        <v/>
      </c>
      <c r="J126" s="70" t="str">
        <f t="shared" si="7"/>
        <v/>
      </c>
    </row>
    <row r="127" spans="2:10" x14ac:dyDescent="0.2">
      <c r="B127" s="65" t="s">
        <v>560</v>
      </c>
      <c r="C127" s="65"/>
      <c r="D127" s="66" t="str">
        <f t="shared" si="5"/>
        <v/>
      </c>
      <c r="E127" s="71" t="str">
        <f t="shared" si="8"/>
        <v/>
      </c>
      <c r="G127" s="104">
        <v>17.399999999999999</v>
      </c>
      <c r="H127" s="65"/>
      <c r="I127" s="66" t="str">
        <f t="shared" si="6"/>
        <v/>
      </c>
      <c r="J127" s="71" t="str">
        <f t="shared" si="7"/>
        <v/>
      </c>
    </row>
    <row r="128" spans="2:10" x14ac:dyDescent="0.2">
      <c r="B128" s="68" t="s">
        <v>561</v>
      </c>
      <c r="C128" s="68"/>
      <c r="D128" s="69" t="str">
        <f t="shared" si="5"/>
        <v/>
      </c>
      <c r="E128" s="70" t="str">
        <f t="shared" si="8"/>
        <v/>
      </c>
      <c r="G128" s="105">
        <v>17.5</v>
      </c>
      <c r="H128" s="68"/>
      <c r="I128" s="69" t="str">
        <f t="shared" si="6"/>
        <v/>
      </c>
      <c r="J128" s="70" t="str">
        <f t="shared" si="7"/>
        <v/>
      </c>
    </row>
    <row r="129" spans="2:10" x14ac:dyDescent="0.2">
      <c r="B129" s="65" t="s">
        <v>562</v>
      </c>
      <c r="C129" s="65"/>
      <c r="D129" s="66" t="str">
        <f t="shared" si="5"/>
        <v/>
      </c>
      <c r="E129" s="71" t="str">
        <f t="shared" si="8"/>
        <v/>
      </c>
      <c r="G129" s="104">
        <v>17.600000000000001</v>
      </c>
      <c r="H129" s="65"/>
      <c r="I129" s="66" t="str">
        <f t="shared" si="6"/>
        <v/>
      </c>
      <c r="J129" s="71" t="str">
        <f t="shared" si="7"/>
        <v/>
      </c>
    </row>
    <row r="130" spans="2:10" x14ac:dyDescent="0.2">
      <c r="B130" s="68" t="s">
        <v>563</v>
      </c>
      <c r="C130" s="68"/>
      <c r="D130" s="69" t="str">
        <f t="shared" si="5"/>
        <v/>
      </c>
      <c r="E130" s="70" t="str">
        <f t="shared" si="8"/>
        <v/>
      </c>
      <c r="G130" s="105">
        <v>17.7</v>
      </c>
      <c r="H130" s="68"/>
      <c r="I130" s="69" t="str">
        <f t="shared" si="6"/>
        <v/>
      </c>
      <c r="J130" s="70" t="str">
        <f t="shared" si="7"/>
        <v/>
      </c>
    </row>
    <row r="131" spans="2:10" x14ac:dyDescent="0.2">
      <c r="B131" s="65" t="s">
        <v>564</v>
      </c>
      <c r="C131" s="65"/>
      <c r="D131" s="66" t="str">
        <f t="shared" si="5"/>
        <v/>
      </c>
      <c r="E131" s="71" t="str">
        <f t="shared" si="8"/>
        <v/>
      </c>
      <c r="G131" s="104">
        <v>17.8</v>
      </c>
      <c r="H131" s="65"/>
      <c r="I131" s="66" t="str">
        <f t="shared" si="6"/>
        <v/>
      </c>
      <c r="J131" s="71" t="str">
        <f t="shared" si="7"/>
        <v/>
      </c>
    </row>
    <row r="132" spans="2:10" x14ac:dyDescent="0.2">
      <c r="B132" s="73">
        <v>18.100000000000001</v>
      </c>
      <c r="C132" s="68"/>
      <c r="D132" s="69" t="str">
        <f t="shared" si="5"/>
        <v/>
      </c>
      <c r="E132" s="70" t="str">
        <f t="shared" si="8"/>
        <v/>
      </c>
      <c r="G132" s="105">
        <v>18.100000000000001</v>
      </c>
      <c r="H132" s="68"/>
      <c r="I132" s="69" t="str">
        <f t="shared" si="6"/>
        <v/>
      </c>
      <c r="J132" s="70" t="str">
        <f t="shared" si="7"/>
        <v/>
      </c>
    </row>
    <row r="133" spans="2:10" x14ac:dyDescent="0.2">
      <c r="B133" s="65">
        <v>18.11</v>
      </c>
      <c r="C133" s="65"/>
      <c r="D133" s="66" t="str">
        <f t="shared" si="5"/>
        <v/>
      </c>
      <c r="E133" s="71" t="str">
        <f t="shared" si="8"/>
        <v/>
      </c>
      <c r="G133" s="104">
        <v>18.2</v>
      </c>
      <c r="H133" s="65"/>
      <c r="I133" s="66" t="str">
        <f t="shared" si="6"/>
        <v/>
      </c>
      <c r="J133" s="71" t="str">
        <f t="shared" si="7"/>
        <v/>
      </c>
    </row>
    <row r="134" spans="2:10" ht="13.5" thickBot="1" x14ac:dyDescent="0.25">
      <c r="B134" s="68" t="s">
        <v>565</v>
      </c>
      <c r="C134" s="68"/>
      <c r="D134" s="69" t="str">
        <f t="shared" ref="D134:D146" si="9">LEFT($C134, 1)</f>
        <v/>
      </c>
      <c r="E134" s="70" t="str">
        <f t="shared" si="8"/>
        <v/>
      </c>
      <c r="G134" s="107">
        <v>18.3</v>
      </c>
      <c r="H134" s="75"/>
      <c r="I134" s="76" t="str">
        <f t="shared" ref="I134" si="10">LEFT($H134, 1)</f>
        <v/>
      </c>
      <c r="J134" s="77" t="str">
        <f t="shared" ref="J134" si="11">I134</f>
        <v/>
      </c>
    </row>
    <row r="135" spans="2:10" x14ac:dyDescent="0.2">
      <c r="B135" s="65" t="s">
        <v>566</v>
      </c>
      <c r="C135" s="65"/>
      <c r="D135" s="66" t="str">
        <f t="shared" si="9"/>
        <v/>
      </c>
      <c r="E135" s="71" t="str">
        <f t="shared" si="8"/>
        <v/>
      </c>
    </row>
    <row r="136" spans="2:10" x14ac:dyDescent="0.2">
      <c r="B136" s="68" t="s">
        <v>567</v>
      </c>
      <c r="C136" s="68"/>
      <c r="D136" s="69" t="str">
        <f t="shared" si="9"/>
        <v/>
      </c>
      <c r="E136" s="70" t="str">
        <f t="shared" si="8"/>
        <v/>
      </c>
    </row>
    <row r="137" spans="2:10" x14ac:dyDescent="0.2">
      <c r="B137" s="65" t="s">
        <v>568</v>
      </c>
      <c r="C137" s="65"/>
      <c r="D137" s="66" t="str">
        <f t="shared" si="9"/>
        <v/>
      </c>
      <c r="E137" s="71" t="str">
        <f t="shared" si="8"/>
        <v/>
      </c>
    </row>
    <row r="138" spans="2:10" x14ac:dyDescent="0.2">
      <c r="B138" s="68" t="s">
        <v>569</v>
      </c>
      <c r="C138" s="68"/>
      <c r="D138" s="69" t="str">
        <f t="shared" si="9"/>
        <v/>
      </c>
      <c r="E138" s="70" t="str">
        <f t="shared" si="8"/>
        <v/>
      </c>
    </row>
    <row r="139" spans="2:10" x14ac:dyDescent="0.2">
      <c r="B139" s="65" t="s">
        <v>570</v>
      </c>
      <c r="C139" s="65"/>
      <c r="D139" s="66" t="str">
        <f t="shared" si="9"/>
        <v/>
      </c>
      <c r="E139" s="71" t="str">
        <f t="shared" si="8"/>
        <v/>
      </c>
    </row>
    <row r="140" spans="2:10" x14ac:dyDescent="0.2">
      <c r="B140" s="68" t="s">
        <v>571</v>
      </c>
      <c r="C140" s="68"/>
      <c r="D140" s="69" t="str">
        <f t="shared" si="9"/>
        <v/>
      </c>
      <c r="E140" s="70" t="str">
        <f t="shared" si="8"/>
        <v/>
      </c>
    </row>
    <row r="141" spans="2:10" x14ac:dyDescent="0.2">
      <c r="B141" s="65" t="s">
        <v>572</v>
      </c>
      <c r="C141" s="65"/>
      <c r="D141" s="66" t="str">
        <f t="shared" si="9"/>
        <v/>
      </c>
      <c r="E141" s="71" t="str">
        <f t="shared" si="8"/>
        <v/>
      </c>
    </row>
    <row r="142" spans="2:10" x14ac:dyDescent="0.2">
      <c r="B142" s="68" t="s">
        <v>573</v>
      </c>
      <c r="C142" s="68"/>
      <c r="D142" s="69" t="str">
        <f t="shared" si="9"/>
        <v/>
      </c>
      <c r="E142" s="70" t="str">
        <f t="shared" si="8"/>
        <v/>
      </c>
    </row>
    <row r="143" spans="2:10" x14ac:dyDescent="0.2">
      <c r="B143" s="65" t="s">
        <v>574</v>
      </c>
      <c r="C143" s="65"/>
      <c r="D143" s="66" t="str">
        <f t="shared" si="9"/>
        <v/>
      </c>
      <c r="E143" s="71" t="str">
        <f t="shared" si="8"/>
        <v/>
      </c>
    </row>
    <row r="144" spans="2:10" x14ac:dyDescent="0.2">
      <c r="B144" s="68" t="s">
        <v>575</v>
      </c>
      <c r="C144" s="68"/>
      <c r="D144" s="69" t="str">
        <f t="shared" si="9"/>
        <v/>
      </c>
      <c r="E144" s="70" t="str">
        <f t="shared" si="8"/>
        <v/>
      </c>
    </row>
    <row r="145" spans="2:5" x14ac:dyDescent="0.2">
      <c r="B145" s="65" t="s">
        <v>576</v>
      </c>
      <c r="C145" s="65"/>
      <c r="D145" s="66" t="str">
        <f t="shared" si="9"/>
        <v/>
      </c>
      <c r="E145" s="71" t="str">
        <f t="shared" si="8"/>
        <v/>
      </c>
    </row>
    <row r="146" spans="2:5" ht="13.5" thickBot="1" x14ac:dyDescent="0.25">
      <c r="B146" s="75" t="s">
        <v>577</v>
      </c>
      <c r="C146" s="75"/>
      <c r="D146" s="76" t="str">
        <f t="shared" si="9"/>
        <v/>
      </c>
      <c r="E146" s="77" t="str">
        <f t="shared" si="8"/>
        <v/>
      </c>
    </row>
  </sheetData>
  <sheetProtection sheet="1" objects="1" scenarios="1"/>
  <mergeCells count="4">
    <mergeCell ref="B1:J1"/>
    <mergeCell ref="N1:O1"/>
    <mergeCell ref="B3:E3"/>
    <mergeCell ref="G3:J3"/>
  </mergeCells>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2C2F8-5635-44AB-BE27-0DAC9F6AA3C4}">
  <sheetPr>
    <tabColor rgb="FFA391F1"/>
  </sheetPr>
  <dimension ref="B1:AC155"/>
  <sheetViews>
    <sheetView showGridLines="0" workbookViewId="0">
      <selection activeCell="B1" sqref="B1:X1"/>
    </sheetView>
  </sheetViews>
  <sheetFormatPr defaultColWidth="9.140625" defaultRowHeight="12.75" x14ac:dyDescent="0.2"/>
  <cols>
    <col min="1" max="1" width="9.140625" style="52"/>
    <col min="2" max="2" width="19" style="55" customWidth="1"/>
    <col min="3" max="3" width="21.140625" style="52" bestFit="1" customWidth="1"/>
    <col min="4" max="4" width="28.140625" style="52" bestFit="1" customWidth="1"/>
    <col min="5" max="5" width="26.5703125" style="52" customWidth="1"/>
    <col min="6" max="6" width="24.85546875" style="52" bestFit="1" customWidth="1"/>
    <col min="7" max="7" width="18.140625" style="52" customWidth="1"/>
    <col min="8" max="8" width="20.42578125" style="52" bestFit="1" customWidth="1"/>
    <col min="9" max="9" width="18.28515625" style="52" bestFit="1" customWidth="1"/>
    <col min="10" max="10" width="16.42578125" style="52" bestFit="1" customWidth="1"/>
    <col min="11" max="11" width="22" style="52" bestFit="1" customWidth="1"/>
    <col min="12" max="12" width="22" style="52" customWidth="1"/>
    <col min="13" max="13" width="9.140625" style="52"/>
    <col min="14" max="14" width="25" style="56" customWidth="1"/>
    <col min="15" max="15" width="23.140625" style="52" bestFit="1" customWidth="1"/>
    <col min="16" max="16" width="29.7109375" style="52" bestFit="1" customWidth="1"/>
    <col min="17" max="17" width="27.42578125" style="52" bestFit="1" customWidth="1"/>
    <col min="18" max="18" width="25.7109375" style="52" bestFit="1" customWidth="1"/>
    <col min="19" max="19" width="14" style="52" bestFit="1" customWidth="1"/>
    <col min="20" max="20" width="20.42578125" style="52" bestFit="1" customWidth="1"/>
    <col min="21" max="21" width="18.28515625" style="52" bestFit="1" customWidth="1"/>
    <col min="22" max="22" width="16.42578125" style="52" bestFit="1" customWidth="1"/>
    <col min="23" max="24" width="16.85546875" style="52" bestFit="1" customWidth="1"/>
    <col min="25" max="25" width="9.140625" style="52"/>
    <col min="26" max="26" width="123.42578125" style="52" customWidth="1"/>
    <col min="27" max="27" width="9.140625" style="52"/>
    <col min="28" max="28" width="19.7109375" style="52" bestFit="1" customWidth="1"/>
    <col min="29" max="29" width="88.7109375" style="52" customWidth="1"/>
    <col min="30" max="16384" width="9.140625" style="52"/>
  </cols>
  <sheetData>
    <row r="1" spans="2:29" ht="67.5" customHeight="1" thickBot="1" x14ac:dyDescent="0.25">
      <c r="B1" s="350" t="s">
        <v>358</v>
      </c>
      <c r="C1" s="351"/>
      <c r="D1" s="351"/>
      <c r="E1" s="351"/>
      <c r="F1" s="351"/>
      <c r="G1" s="351"/>
      <c r="H1" s="351"/>
      <c r="I1" s="351"/>
      <c r="J1" s="351"/>
      <c r="K1" s="351"/>
      <c r="L1" s="351"/>
      <c r="M1" s="351"/>
      <c r="N1" s="351"/>
      <c r="O1" s="351"/>
      <c r="P1" s="351"/>
      <c r="Q1" s="351"/>
      <c r="R1" s="351"/>
      <c r="S1" s="351"/>
      <c r="T1" s="351"/>
      <c r="U1" s="351"/>
      <c r="V1" s="351"/>
      <c r="W1" s="351"/>
      <c r="X1" s="352"/>
      <c r="Z1" s="53" t="s">
        <v>359</v>
      </c>
      <c r="AB1" s="353" t="s">
        <v>360</v>
      </c>
      <c r="AC1" s="354"/>
    </row>
    <row r="2" spans="2:29" ht="13.5" thickBot="1" x14ac:dyDescent="0.25">
      <c r="Z2" s="58"/>
      <c r="AB2" s="59" t="s">
        <v>195</v>
      </c>
      <c r="AC2" s="59" t="s">
        <v>4</v>
      </c>
    </row>
    <row r="3" spans="2:29" ht="27" thickTop="1" thickBot="1" x14ac:dyDescent="0.25">
      <c r="B3" s="78" t="s">
        <v>361</v>
      </c>
      <c r="C3" s="79" t="s">
        <v>362</v>
      </c>
      <c r="D3" s="79" t="s">
        <v>363</v>
      </c>
      <c r="E3" s="79" t="s">
        <v>364</v>
      </c>
      <c r="F3" s="80" t="s">
        <v>365</v>
      </c>
      <c r="G3" s="81" t="s">
        <v>361</v>
      </c>
      <c r="Z3" s="248" t="s">
        <v>890</v>
      </c>
      <c r="AB3" s="59">
        <v>1</v>
      </c>
      <c r="AC3" s="64" t="s">
        <v>148</v>
      </c>
    </row>
    <row r="4" spans="2:29" ht="28.5" x14ac:dyDescent="0.2">
      <c r="B4" s="82">
        <v>1</v>
      </c>
      <c r="C4" s="83" t="s">
        <v>366</v>
      </c>
      <c r="D4" s="83" t="s">
        <v>367</v>
      </c>
      <c r="E4" s="83" t="s">
        <v>368</v>
      </c>
      <c r="F4" s="84" t="s">
        <v>369</v>
      </c>
      <c r="G4" s="85">
        <v>1</v>
      </c>
      <c r="Z4" s="250" t="s">
        <v>891</v>
      </c>
      <c r="AB4" s="59">
        <v>2</v>
      </c>
      <c r="AC4" s="64" t="s">
        <v>149</v>
      </c>
    </row>
    <row r="5" spans="2:29" ht="14.25" x14ac:dyDescent="0.2">
      <c r="B5" s="86">
        <v>2</v>
      </c>
      <c r="C5" s="87" t="s">
        <v>370</v>
      </c>
      <c r="D5" s="87" t="s">
        <v>371</v>
      </c>
      <c r="E5" s="87" t="s">
        <v>372</v>
      </c>
      <c r="F5" s="88" t="s">
        <v>373</v>
      </c>
      <c r="G5" s="89">
        <v>2</v>
      </c>
      <c r="Z5" s="250" t="s">
        <v>879</v>
      </c>
      <c r="AB5" s="59">
        <v>3</v>
      </c>
      <c r="AC5" s="64" t="s">
        <v>150</v>
      </c>
    </row>
    <row r="6" spans="2:29" ht="14.25" x14ac:dyDescent="0.2">
      <c r="B6" s="86">
        <v>3</v>
      </c>
      <c r="C6" s="87" t="s">
        <v>374</v>
      </c>
      <c r="D6" s="87" t="s">
        <v>375</v>
      </c>
      <c r="E6" s="87" t="s">
        <v>376</v>
      </c>
      <c r="F6" s="88" t="s">
        <v>377</v>
      </c>
      <c r="G6" s="89">
        <v>3</v>
      </c>
      <c r="Z6" s="250" t="s">
        <v>892</v>
      </c>
      <c r="AB6" s="59">
        <v>4</v>
      </c>
      <c r="AC6" s="64" t="s">
        <v>197</v>
      </c>
    </row>
    <row r="7" spans="2:29" ht="57" x14ac:dyDescent="0.2">
      <c r="B7" s="86">
        <v>4</v>
      </c>
      <c r="C7" s="87" t="s">
        <v>378</v>
      </c>
      <c r="D7" s="87" t="s">
        <v>379</v>
      </c>
      <c r="E7" s="87" t="s">
        <v>380</v>
      </c>
      <c r="F7" s="88" t="s">
        <v>381</v>
      </c>
      <c r="G7" s="89">
        <v>4</v>
      </c>
      <c r="Z7" s="250" t="s">
        <v>893</v>
      </c>
      <c r="AB7" s="59">
        <v>5</v>
      </c>
      <c r="AC7" s="64" t="s">
        <v>198</v>
      </c>
    </row>
    <row r="8" spans="2:29" ht="14.25" x14ac:dyDescent="0.2">
      <c r="B8" s="86">
        <v>5</v>
      </c>
      <c r="C8" s="87" t="s">
        <v>382</v>
      </c>
      <c r="D8" s="87" t="s">
        <v>383</v>
      </c>
      <c r="E8" s="87" t="s">
        <v>384</v>
      </c>
      <c r="F8" s="88" t="s">
        <v>385</v>
      </c>
      <c r="G8" s="89">
        <v>5</v>
      </c>
      <c r="Z8" s="251" t="s">
        <v>901</v>
      </c>
    </row>
    <row r="9" spans="2:29" ht="42.75" x14ac:dyDescent="0.2">
      <c r="B9" s="86" t="s">
        <v>386</v>
      </c>
      <c r="C9" s="87" t="s">
        <v>387</v>
      </c>
      <c r="D9" s="87" t="s">
        <v>387</v>
      </c>
      <c r="E9" s="87" t="s">
        <v>387</v>
      </c>
      <c r="F9" s="88" t="s">
        <v>387</v>
      </c>
      <c r="G9" s="89" t="s">
        <v>386</v>
      </c>
      <c r="Z9" s="251" t="s">
        <v>902</v>
      </c>
    </row>
    <row r="10" spans="2:29" ht="15" thickBot="1" x14ac:dyDescent="0.25">
      <c r="B10" s="90" t="s">
        <v>388</v>
      </c>
      <c r="C10" s="91" t="s">
        <v>389</v>
      </c>
      <c r="D10" s="91" t="s">
        <v>389</v>
      </c>
      <c r="E10" s="91" t="s">
        <v>389</v>
      </c>
      <c r="F10" s="92" t="s">
        <v>389</v>
      </c>
      <c r="G10" s="93" t="s">
        <v>388</v>
      </c>
      <c r="Z10" s="250" t="s">
        <v>894</v>
      </c>
    </row>
    <row r="11" spans="2:29" ht="15.75" thickTop="1" thickBot="1" x14ac:dyDescent="0.25">
      <c r="Z11" s="248" t="s">
        <v>895</v>
      </c>
    </row>
    <row r="12" spans="2:29" s="94" customFormat="1" ht="39" customHeight="1" thickBot="1" x14ac:dyDescent="0.3">
      <c r="B12" s="246" t="s">
        <v>390</v>
      </c>
      <c r="C12" s="355" t="s">
        <v>391</v>
      </c>
      <c r="D12" s="348"/>
      <c r="E12" s="348"/>
      <c r="F12" s="349"/>
      <c r="G12" s="347" t="s">
        <v>392</v>
      </c>
      <c r="H12" s="348"/>
      <c r="I12" s="348"/>
      <c r="J12" s="348"/>
      <c r="K12" s="356" t="s">
        <v>393</v>
      </c>
      <c r="L12" s="356" t="s">
        <v>357</v>
      </c>
      <c r="N12" s="158" t="s">
        <v>394</v>
      </c>
      <c r="O12" s="355" t="s">
        <v>391</v>
      </c>
      <c r="P12" s="348"/>
      <c r="Q12" s="348"/>
      <c r="R12" s="349"/>
      <c r="S12" s="347" t="s">
        <v>392</v>
      </c>
      <c r="T12" s="348"/>
      <c r="U12" s="348"/>
      <c r="V12" s="358"/>
      <c r="W12" s="359" t="s">
        <v>393</v>
      </c>
      <c r="X12" s="361" t="s">
        <v>357</v>
      </c>
      <c r="Z12" s="250" t="s">
        <v>896</v>
      </c>
    </row>
    <row r="13" spans="2:29" s="63" customFormat="1" ht="27" thickTop="1" thickBot="1" x14ac:dyDescent="0.3">
      <c r="B13" s="256" t="s">
        <v>912</v>
      </c>
      <c r="C13" s="257" t="s">
        <v>362</v>
      </c>
      <c r="D13" s="258" t="s">
        <v>363</v>
      </c>
      <c r="E13" s="258" t="s">
        <v>364</v>
      </c>
      <c r="F13" s="258" t="s">
        <v>365</v>
      </c>
      <c r="G13" s="258" t="s">
        <v>362</v>
      </c>
      <c r="H13" s="258" t="s">
        <v>363</v>
      </c>
      <c r="I13" s="258" t="s">
        <v>364</v>
      </c>
      <c r="J13" s="256" t="s">
        <v>365</v>
      </c>
      <c r="K13" s="357"/>
      <c r="L13" s="357"/>
      <c r="N13" s="159" t="s">
        <v>913</v>
      </c>
      <c r="O13" s="95" t="s">
        <v>362</v>
      </c>
      <c r="P13" s="60" t="s">
        <v>363</v>
      </c>
      <c r="Q13" s="60" t="s">
        <v>364</v>
      </c>
      <c r="R13" s="60" t="s">
        <v>365</v>
      </c>
      <c r="S13" s="60" t="s">
        <v>362</v>
      </c>
      <c r="T13" s="60" t="s">
        <v>363</v>
      </c>
      <c r="U13" s="60" t="s">
        <v>364</v>
      </c>
      <c r="V13" s="96" t="s">
        <v>365</v>
      </c>
      <c r="W13" s="360"/>
      <c r="X13" s="362"/>
      <c r="Z13" s="250" t="s">
        <v>897</v>
      </c>
    </row>
    <row r="14" spans="2:29" ht="29.25" thickTop="1" x14ac:dyDescent="0.2">
      <c r="B14" s="253">
        <v>1.1000000000000001</v>
      </c>
      <c r="C14" s="253"/>
      <c r="D14" s="253"/>
      <c r="E14" s="253"/>
      <c r="F14" s="253"/>
      <c r="G14" s="254" t="e">
        <f>VLOOKUP(C14,$C$4:$G$10,5,FALSE)</f>
        <v>#N/A</v>
      </c>
      <c r="H14" s="254" t="e">
        <f>VLOOKUP(D14,$D$4:$G$10,4,FALSE)</f>
        <v>#N/A</v>
      </c>
      <c r="I14" s="254" t="e">
        <f>VLOOKUP(E14,$E$4:$G$10,3,FALSE)</f>
        <v>#N/A</v>
      </c>
      <c r="J14" s="254" t="e">
        <f>VLOOKUP(F14,$F$4:$G$10,2,FALSE)</f>
        <v>#N/A</v>
      </c>
      <c r="K14" s="254" t="e">
        <f>ROUND(AVERAGE(G14:J14),0)</f>
        <v>#N/A</v>
      </c>
      <c r="L14" s="255" t="e">
        <f>K14</f>
        <v>#N/A</v>
      </c>
      <c r="N14" s="104">
        <v>1.1000000000000001</v>
      </c>
      <c r="O14" s="97"/>
      <c r="P14" s="97"/>
      <c r="Q14" s="97"/>
      <c r="R14" s="97"/>
      <c r="S14" s="98" t="e">
        <f>VLOOKUP(O14,$C$4:$G$10,5,FALSE)</f>
        <v>#N/A</v>
      </c>
      <c r="T14" s="98" t="e">
        <f>VLOOKUP(P14,$D$4:$G$10,4,FALSE)</f>
        <v>#N/A</v>
      </c>
      <c r="U14" s="98" t="e">
        <f>VLOOKUP(Q14,$E$4:$G$10,3,FALSE)</f>
        <v>#N/A</v>
      </c>
      <c r="V14" s="98" t="e">
        <f>VLOOKUP(R14,$F$4:$G$10,2,FALSE)</f>
        <v>#N/A</v>
      </c>
      <c r="W14" s="98" t="e">
        <f>ROUND(AVERAGE(S14:V14),0)</f>
        <v>#N/A</v>
      </c>
      <c r="X14" s="67" t="e">
        <f>W14</f>
        <v>#N/A</v>
      </c>
      <c r="Z14" s="250" t="s">
        <v>898</v>
      </c>
    </row>
    <row r="15" spans="2:29" ht="14.25" x14ac:dyDescent="0.2">
      <c r="B15" s="68">
        <v>1.3</v>
      </c>
      <c r="C15" s="68"/>
      <c r="D15" s="68"/>
      <c r="E15" s="68"/>
      <c r="F15" s="68"/>
      <c r="G15" s="69" t="e">
        <f t="shared" ref="G15:G78" si="0">VLOOKUP(C15,$C$4:$G$10,5,FALSE)</f>
        <v>#N/A</v>
      </c>
      <c r="H15" s="69" t="e">
        <f t="shared" ref="H15:H78" si="1">VLOOKUP(D15,$D$4:$G$10,4,FALSE)</f>
        <v>#N/A</v>
      </c>
      <c r="I15" s="69" t="e">
        <f t="shared" ref="I15:I78" si="2">VLOOKUP(E15,$E$4:$G$10,3,FALSE)</f>
        <v>#N/A</v>
      </c>
      <c r="J15" s="69" t="e">
        <f t="shared" ref="J15:J78" si="3">VLOOKUP(F15,$F$4:$G$10,2,FALSE)</f>
        <v>#N/A</v>
      </c>
      <c r="K15" s="69" t="e">
        <f t="shared" ref="K15:K78" si="4">ROUND(AVERAGE(G15:J15),0)</f>
        <v>#N/A</v>
      </c>
      <c r="L15" s="70" t="e">
        <f t="shared" ref="L15:L78" si="5">K15</f>
        <v>#N/A</v>
      </c>
      <c r="N15" s="105">
        <v>1.2</v>
      </c>
      <c r="O15" s="68"/>
      <c r="P15" s="68"/>
      <c r="Q15" s="68"/>
      <c r="R15" s="68"/>
      <c r="S15" s="69" t="e">
        <f t="shared" ref="S15:S78" si="6">VLOOKUP(O15,$C$4:$G$10,5,FALSE)</f>
        <v>#N/A</v>
      </c>
      <c r="T15" s="69" t="e">
        <f t="shared" ref="T15:T78" si="7">VLOOKUP(P15,$D$4:$G$10,4,FALSE)</f>
        <v>#N/A</v>
      </c>
      <c r="U15" s="69" t="e">
        <f t="shared" ref="U15:U78" si="8">VLOOKUP(Q15,$E$4:$G$10,3,FALSE)</f>
        <v>#N/A</v>
      </c>
      <c r="V15" s="69" t="e">
        <f t="shared" ref="V15:V78" si="9">VLOOKUP(R15,$F$4:$G$10,2,FALSE)</f>
        <v>#N/A</v>
      </c>
      <c r="W15" s="69" t="e">
        <f t="shared" ref="W15:W78" si="10">ROUND(AVERAGE(S15:V15),0)</f>
        <v>#N/A</v>
      </c>
      <c r="X15" s="70" t="e">
        <f t="shared" ref="X15:X78" si="11">W15</f>
        <v>#N/A</v>
      </c>
      <c r="Z15" s="250" t="s">
        <v>899</v>
      </c>
    </row>
    <row r="16" spans="2:29" ht="42.75" x14ac:dyDescent="0.2">
      <c r="B16" s="65">
        <v>1.4</v>
      </c>
      <c r="C16" s="65"/>
      <c r="D16" s="65"/>
      <c r="E16" s="65"/>
      <c r="F16" s="65"/>
      <c r="G16" s="66" t="e">
        <f t="shared" si="0"/>
        <v>#N/A</v>
      </c>
      <c r="H16" s="66" t="e">
        <f t="shared" si="1"/>
        <v>#N/A</v>
      </c>
      <c r="I16" s="66" t="e">
        <f t="shared" si="2"/>
        <v>#N/A</v>
      </c>
      <c r="J16" s="66" t="e">
        <f t="shared" si="3"/>
        <v>#N/A</v>
      </c>
      <c r="K16" s="66" t="e">
        <f>ROUND(AVERAGE(G16:J16),0)</f>
        <v>#N/A</v>
      </c>
      <c r="L16" s="71" t="e">
        <f>K16</f>
        <v>#N/A</v>
      </c>
      <c r="N16" s="104">
        <v>1.3</v>
      </c>
      <c r="O16" s="65"/>
      <c r="P16" s="65"/>
      <c r="Q16" s="65"/>
      <c r="R16" s="65"/>
      <c r="S16" s="66" t="e">
        <f t="shared" si="6"/>
        <v>#N/A</v>
      </c>
      <c r="T16" s="66" t="e">
        <f t="shared" si="7"/>
        <v>#N/A</v>
      </c>
      <c r="U16" s="66" t="e">
        <f t="shared" si="8"/>
        <v>#N/A</v>
      </c>
      <c r="V16" s="66" t="e">
        <f t="shared" si="9"/>
        <v>#N/A</v>
      </c>
      <c r="W16" s="66" t="e">
        <f t="shared" si="10"/>
        <v>#N/A</v>
      </c>
      <c r="X16" s="71" t="e">
        <f t="shared" si="11"/>
        <v>#N/A</v>
      </c>
      <c r="Z16" s="250" t="s">
        <v>900</v>
      </c>
    </row>
    <row r="17" spans="2:26" ht="14.25" x14ac:dyDescent="0.2">
      <c r="B17" s="68">
        <v>1.5</v>
      </c>
      <c r="C17" s="68"/>
      <c r="D17" s="68"/>
      <c r="E17" s="68"/>
      <c r="F17" s="68"/>
      <c r="G17" s="69" t="e">
        <f t="shared" si="0"/>
        <v>#N/A</v>
      </c>
      <c r="H17" s="69" t="e">
        <f t="shared" si="1"/>
        <v>#N/A</v>
      </c>
      <c r="I17" s="69" t="e">
        <f t="shared" si="2"/>
        <v>#N/A</v>
      </c>
      <c r="J17" s="69" t="e">
        <f t="shared" si="3"/>
        <v>#N/A</v>
      </c>
      <c r="K17" s="69" t="e">
        <f t="shared" si="4"/>
        <v>#N/A</v>
      </c>
      <c r="L17" s="70" t="e">
        <f t="shared" si="5"/>
        <v>#N/A</v>
      </c>
      <c r="N17" s="105">
        <v>1.4</v>
      </c>
      <c r="O17" s="68"/>
      <c r="P17" s="68"/>
      <c r="Q17" s="68"/>
      <c r="R17" s="68"/>
      <c r="S17" s="69" t="e">
        <f t="shared" si="6"/>
        <v>#N/A</v>
      </c>
      <c r="T17" s="69" t="e">
        <f t="shared" si="7"/>
        <v>#N/A</v>
      </c>
      <c r="U17" s="69" t="e">
        <f t="shared" si="8"/>
        <v>#N/A</v>
      </c>
      <c r="V17" s="69" t="e">
        <f t="shared" si="9"/>
        <v>#N/A</v>
      </c>
      <c r="W17" s="69" t="e">
        <f t="shared" si="10"/>
        <v>#N/A</v>
      </c>
      <c r="X17" s="70" t="e">
        <f t="shared" si="11"/>
        <v>#N/A</v>
      </c>
      <c r="Z17" s="248" t="s">
        <v>887</v>
      </c>
    </row>
    <row r="18" spans="2:26" ht="28.5" x14ac:dyDescent="0.2">
      <c r="B18" s="65">
        <v>1.6</v>
      </c>
      <c r="C18" s="65"/>
      <c r="D18" s="65"/>
      <c r="E18" s="65"/>
      <c r="F18" s="65"/>
      <c r="G18" s="66" t="e">
        <f t="shared" si="0"/>
        <v>#N/A</v>
      </c>
      <c r="H18" s="66" t="e">
        <f t="shared" si="1"/>
        <v>#N/A</v>
      </c>
      <c r="I18" s="66" t="e">
        <f t="shared" si="2"/>
        <v>#N/A</v>
      </c>
      <c r="J18" s="66" t="e">
        <f t="shared" si="3"/>
        <v>#N/A</v>
      </c>
      <c r="K18" s="66" t="e">
        <f t="shared" si="4"/>
        <v>#N/A</v>
      </c>
      <c r="L18" s="71" t="e">
        <f t="shared" si="5"/>
        <v>#N/A</v>
      </c>
      <c r="N18" s="104">
        <v>2.1</v>
      </c>
      <c r="O18" s="65"/>
      <c r="P18" s="65"/>
      <c r="Q18" s="65"/>
      <c r="R18" s="65"/>
      <c r="S18" s="66" t="e">
        <f t="shared" si="6"/>
        <v>#N/A</v>
      </c>
      <c r="T18" s="66" t="e">
        <f t="shared" si="7"/>
        <v>#N/A</v>
      </c>
      <c r="U18" s="66" t="e">
        <f t="shared" si="8"/>
        <v>#N/A</v>
      </c>
      <c r="V18" s="66" t="e">
        <f t="shared" si="9"/>
        <v>#N/A</v>
      </c>
      <c r="W18" s="66" t="e">
        <f t="shared" si="10"/>
        <v>#N/A</v>
      </c>
      <c r="X18" s="71" t="e">
        <f t="shared" si="11"/>
        <v>#N/A</v>
      </c>
      <c r="Z18" s="248" t="s">
        <v>888</v>
      </c>
    </row>
    <row r="19" spans="2:26" ht="28.5" x14ac:dyDescent="0.2">
      <c r="B19" s="68">
        <v>1.7</v>
      </c>
      <c r="C19" s="68"/>
      <c r="D19" s="68"/>
      <c r="E19" s="68"/>
      <c r="F19" s="68"/>
      <c r="G19" s="69" t="e">
        <f t="shared" si="0"/>
        <v>#N/A</v>
      </c>
      <c r="H19" s="69" t="e">
        <f t="shared" si="1"/>
        <v>#N/A</v>
      </c>
      <c r="I19" s="69" t="e">
        <f t="shared" si="2"/>
        <v>#N/A</v>
      </c>
      <c r="J19" s="69" t="e">
        <f t="shared" si="3"/>
        <v>#N/A</v>
      </c>
      <c r="K19" s="69" t="e">
        <f t="shared" si="4"/>
        <v>#N/A</v>
      </c>
      <c r="L19" s="70" t="e">
        <f t="shared" si="5"/>
        <v>#N/A</v>
      </c>
      <c r="N19" s="105">
        <v>2.2000000000000002</v>
      </c>
      <c r="O19" s="68"/>
      <c r="P19" s="68"/>
      <c r="Q19" s="68"/>
      <c r="R19" s="68"/>
      <c r="S19" s="69" t="e">
        <f t="shared" si="6"/>
        <v>#N/A</v>
      </c>
      <c r="T19" s="69" t="e">
        <f t="shared" si="7"/>
        <v>#N/A</v>
      </c>
      <c r="U19" s="69" t="e">
        <f t="shared" si="8"/>
        <v>#N/A</v>
      </c>
      <c r="V19" s="69" t="e">
        <f t="shared" si="9"/>
        <v>#N/A</v>
      </c>
      <c r="W19" s="69" t="e">
        <f t="shared" si="10"/>
        <v>#N/A</v>
      </c>
      <c r="X19" s="70" t="e">
        <f t="shared" si="11"/>
        <v>#N/A</v>
      </c>
      <c r="Z19" s="250" t="s">
        <v>915</v>
      </c>
    </row>
    <row r="20" spans="2:26" ht="42.75" x14ac:dyDescent="0.2">
      <c r="B20" s="65">
        <v>2.1</v>
      </c>
      <c r="C20" s="65"/>
      <c r="D20" s="65"/>
      <c r="E20" s="65"/>
      <c r="F20" s="65"/>
      <c r="G20" s="66" t="e">
        <f t="shared" si="0"/>
        <v>#N/A</v>
      </c>
      <c r="H20" s="66" t="e">
        <f t="shared" si="1"/>
        <v>#N/A</v>
      </c>
      <c r="I20" s="66" t="e">
        <f t="shared" si="2"/>
        <v>#N/A</v>
      </c>
      <c r="J20" s="66" t="e">
        <f t="shared" si="3"/>
        <v>#N/A</v>
      </c>
      <c r="K20" s="66" t="e">
        <f t="shared" si="4"/>
        <v>#N/A</v>
      </c>
      <c r="L20" s="71" t="e">
        <f t="shared" si="5"/>
        <v>#N/A</v>
      </c>
      <c r="N20" s="104">
        <v>2.2999999999999998</v>
      </c>
      <c r="O20" s="65"/>
      <c r="P20" s="65"/>
      <c r="Q20" s="65"/>
      <c r="R20" s="65"/>
      <c r="S20" s="66" t="e">
        <f t="shared" si="6"/>
        <v>#N/A</v>
      </c>
      <c r="T20" s="66" t="e">
        <f t="shared" si="7"/>
        <v>#N/A</v>
      </c>
      <c r="U20" s="66" t="e">
        <f t="shared" si="8"/>
        <v>#N/A</v>
      </c>
      <c r="V20" s="66" t="e">
        <f t="shared" si="9"/>
        <v>#N/A</v>
      </c>
      <c r="W20" s="66" t="e">
        <f t="shared" si="10"/>
        <v>#N/A</v>
      </c>
      <c r="X20" s="71" t="e">
        <f t="shared" si="11"/>
        <v>#N/A</v>
      </c>
      <c r="Z20" s="248" t="s">
        <v>889</v>
      </c>
    </row>
    <row r="21" spans="2:26" ht="14.25" x14ac:dyDescent="0.2">
      <c r="B21" s="68">
        <v>2.2000000000000002</v>
      </c>
      <c r="C21" s="68"/>
      <c r="D21" s="68"/>
      <c r="E21" s="68"/>
      <c r="F21" s="68"/>
      <c r="G21" s="69" t="e">
        <f t="shared" si="0"/>
        <v>#N/A</v>
      </c>
      <c r="H21" s="69" t="e">
        <f t="shared" si="1"/>
        <v>#N/A</v>
      </c>
      <c r="I21" s="69" t="e">
        <f t="shared" si="2"/>
        <v>#N/A</v>
      </c>
      <c r="J21" s="69" t="e">
        <f t="shared" si="3"/>
        <v>#N/A</v>
      </c>
      <c r="K21" s="69" t="e">
        <f t="shared" si="4"/>
        <v>#N/A</v>
      </c>
      <c r="L21" s="70" t="e">
        <f t="shared" si="5"/>
        <v>#N/A</v>
      </c>
      <c r="N21" s="105">
        <v>2.4</v>
      </c>
      <c r="O21" s="68"/>
      <c r="P21" s="68"/>
      <c r="Q21" s="68"/>
      <c r="R21" s="68"/>
      <c r="S21" s="69" t="e">
        <f t="shared" si="6"/>
        <v>#N/A</v>
      </c>
      <c r="T21" s="69" t="e">
        <f t="shared" si="7"/>
        <v>#N/A</v>
      </c>
      <c r="U21" s="69" t="e">
        <f t="shared" si="8"/>
        <v>#N/A</v>
      </c>
      <c r="V21" s="69" t="e">
        <f t="shared" si="9"/>
        <v>#N/A</v>
      </c>
      <c r="W21" s="69" t="e">
        <f t="shared" si="10"/>
        <v>#N/A</v>
      </c>
      <c r="X21" s="70" t="e">
        <f t="shared" si="11"/>
        <v>#N/A</v>
      </c>
      <c r="Z21" s="250" t="s">
        <v>917</v>
      </c>
    </row>
    <row r="22" spans="2:26" ht="42.75" x14ac:dyDescent="0.2">
      <c r="B22" s="65">
        <v>2.2999999999999998</v>
      </c>
      <c r="C22" s="65"/>
      <c r="D22" s="65"/>
      <c r="E22" s="65"/>
      <c r="F22" s="65"/>
      <c r="G22" s="66" t="e">
        <f t="shared" si="0"/>
        <v>#N/A</v>
      </c>
      <c r="H22" s="66" t="e">
        <f t="shared" si="1"/>
        <v>#N/A</v>
      </c>
      <c r="I22" s="66" t="e">
        <f t="shared" si="2"/>
        <v>#N/A</v>
      </c>
      <c r="J22" s="66" t="e">
        <f t="shared" si="3"/>
        <v>#N/A</v>
      </c>
      <c r="K22" s="66" t="e">
        <f t="shared" si="4"/>
        <v>#N/A</v>
      </c>
      <c r="L22" s="71" t="e">
        <f t="shared" si="5"/>
        <v>#N/A</v>
      </c>
      <c r="N22" s="104">
        <v>2.5</v>
      </c>
      <c r="O22" s="65"/>
      <c r="P22" s="65"/>
      <c r="Q22" s="65"/>
      <c r="R22" s="65"/>
      <c r="S22" s="66" t="e">
        <f t="shared" si="6"/>
        <v>#N/A</v>
      </c>
      <c r="T22" s="66" t="e">
        <f t="shared" si="7"/>
        <v>#N/A</v>
      </c>
      <c r="U22" s="66" t="e">
        <f t="shared" si="8"/>
        <v>#N/A</v>
      </c>
      <c r="V22" s="66" t="e">
        <f t="shared" si="9"/>
        <v>#N/A</v>
      </c>
      <c r="W22" s="66" t="e">
        <f t="shared" si="10"/>
        <v>#N/A</v>
      </c>
      <c r="X22" s="71" t="e">
        <f t="shared" si="11"/>
        <v>#N/A</v>
      </c>
      <c r="Z22" s="250" t="s">
        <v>918</v>
      </c>
    </row>
    <row r="23" spans="2:26" ht="15" thickBot="1" x14ac:dyDescent="0.25">
      <c r="B23" s="68">
        <v>2.4</v>
      </c>
      <c r="C23" s="68"/>
      <c r="D23" s="68"/>
      <c r="E23" s="68"/>
      <c r="F23" s="68"/>
      <c r="G23" s="69" t="e">
        <f t="shared" si="0"/>
        <v>#N/A</v>
      </c>
      <c r="H23" s="69" t="e">
        <f t="shared" si="1"/>
        <v>#N/A</v>
      </c>
      <c r="I23" s="69" t="e">
        <f t="shared" si="2"/>
        <v>#N/A</v>
      </c>
      <c r="J23" s="69" t="e">
        <f t="shared" si="3"/>
        <v>#N/A</v>
      </c>
      <c r="K23" s="69" t="e">
        <f t="shared" si="4"/>
        <v>#N/A</v>
      </c>
      <c r="L23" s="70" t="e">
        <f t="shared" si="5"/>
        <v>#N/A</v>
      </c>
      <c r="N23" s="105">
        <v>2.6</v>
      </c>
      <c r="O23" s="68"/>
      <c r="P23" s="68"/>
      <c r="Q23" s="68"/>
      <c r="R23" s="68"/>
      <c r="S23" s="69" t="e">
        <f t="shared" si="6"/>
        <v>#N/A</v>
      </c>
      <c r="T23" s="69" t="e">
        <f t="shared" si="7"/>
        <v>#N/A</v>
      </c>
      <c r="U23" s="69" t="e">
        <f t="shared" si="8"/>
        <v>#N/A</v>
      </c>
      <c r="V23" s="69" t="e">
        <f t="shared" si="9"/>
        <v>#N/A</v>
      </c>
      <c r="W23" s="69" t="e">
        <f t="shared" si="10"/>
        <v>#N/A</v>
      </c>
      <c r="X23" s="70" t="e">
        <f t="shared" si="11"/>
        <v>#N/A</v>
      </c>
      <c r="Z23" s="252" t="s">
        <v>919</v>
      </c>
    </row>
    <row r="24" spans="2:26" x14ac:dyDescent="0.2">
      <c r="B24" s="65">
        <v>2.6</v>
      </c>
      <c r="C24" s="65"/>
      <c r="D24" s="65"/>
      <c r="E24" s="65"/>
      <c r="F24" s="65"/>
      <c r="G24" s="66" t="e">
        <f t="shared" si="0"/>
        <v>#N/A</v>
      </c>
      <c r="H24" s="66" t="e">
        <f t="shared" si="1"/>
        <v>#N/A</v>
      </c>
      <c r="I24" s="66" t="e">
        <f t="shared" si="2"/>
        <v>#N/A</v>
      </c>
      <c r="J24" s="66" t="e">
        <f t="shared" si="3"/>
        <v>#N/A</v>
      </c>
      <c r="K24" s="66" t="e">
        <f t="shared" si="4"/>
        <v>#N/A</v>
      </c>
      <c r="L24" s="71" t="e">
        <f t="shared" si="5"/>
        <v>#N/A</v>
      </c>
      <c r="N24" s="104">
        <v>3.1</v>
      </c>
      <c r="O24" s="65"/>
      <c r="P24" s="65"/>
      <c r="Q24" s="65"/>
      <c r="R24" s="65"/>
      <c r="S24" s="66" t="e">
        <f t="shared" si="6"/>
        <v>#N/A</v>
      </c>
      <c r="T24" s="66" t="e">
        <f t="shared" si="7"/>
        <v>#N/A</v>
      </c>
      <c r="U24" s="66" t="e">
        <f t="shared" si="8"/>
        <v>#N/A</v>
      </c>
      <c r="V24" s="66" t="e">
        <f t="shared" si="9"/>
        <v>#N/A</v>
      </c>
      <c r="W24" s="66" t="e">
        <f t="shared" si="10"/>
        <v>#N/A</v>
      </c>
      <c r="X24" s="71" t="e">
        <f t="shared" si="11"/>
        <v>#N/A</v>
      </c>
    </row>
    <row r="25" spans="2:26" x14ac:dyDescent="0.2">
      <c r="B25" s="68">
        <v>3.1</v>
      </c>
      <c r="C25" s="68"/>
      <c r="D25" s="68"/>
      <c r="E25" s="68"/>
      <c r="F25" s="68"/>
      <c r="G25" s="69" t="e">
        <f t="shared" si="0"/>
        <v>#N/A</v>
      </c>
      <c r="H25" s="69" t="e">
        <f t="shared" si="1"/>
        <v>#N/A</v>
      </c>
      <c r="I25" s="69" t="e">
        <f t="shared" si="2"/>
        <v>#N/A</v>
      </c>
      <c r="J25" s="69" t="e">
        <f t="shared" si="3"/>
        <v>#N/A</v>
      </c>
      <c r="K25" s="69" t="e">
        <f t="shared" si="4"/>
        <v>#N/A</v>
      </c>
      <c r="L25" s="70" t="e">
        <f t="shared" si="5"/>
        <v>#N/A</v>
      </c>
      <c r="N25" s="105">
        <v>3.2</v>
      </c>
      <c r="O25" s="68"/>
      <c r="P25" s="68"/>
      <c r="Q25" s="68"/>
      <c r="R25" s="68"/>
      <c r="S25" s="69" t="e">
        <f t="shared" si="6"/>
        <v>#N/A</v>
      </c>
      <c r="T25" s="69" t="e">
        <f t="shared" si="7"/>
        <v>#N/A</v>
      </c>
      <c r="U25" s="69" t="e">
        <f t="shared" si="8"/>
        <v>#N/A</v>
      </c>
      <c r="V25" s="69" t="e">
        <f t="shared" si="9"/>
        <v>#N/A</v>
      </c>
      <c r="W25" s="69" t="e">
        <f t="shared" si="10"/>
        <v>#N/A</v>
      </c>
      <c r="X25" s="70" t="e">
        <f t="shared" si="11"/>
        <v>#N/A</v>
      </c>
    </row>
    <row r="26" spans="2:26" x14ac:dyDescent="0.2">
      <c r="B26" s="65">
        <v>3.2</v>
      </c>
      <c r="C26" s="65"/>
      <c r="D26" s="65"/>
      <c r="E26" s="65"/>
      <c r="F26" s="65"/>
      <c r="G26" s="66" t="e">
        <f t="shared" si="0"/>
        <v>#N/A</v>
      </c>
      <c r="H26" s="66" t="e">
        <f t="shared" si="1"/>
        <v>#N/A</v>
      </c>
      <c r="I26" s="66" t="e">
        <f t="shared" si="2"/>
        <v>#N/A</v>
      </c>
      <c r="J26" s="66" t="e">
        <f t="shared" si="3"/>
        <v>#N/A</v>
      </c>
      <c r="K26" s="66" t="e">
        <f t="shared" si="4"/>
        <v>#N/A</v>
      </c>
      <c r="L26" s="71" t="e">
        <f t="shared" si="5"/>
        <v>#N/A</v>
      </c>
      <c r="N26" s="104">
        <v>3.3</v>
      </c>
      <c r="O26" s="65"/>
      <c r="P26" s="65"/>
      <c r="Q26" s="65"/>
      <c r="R26" s="65"/>
      <c r="S26" s="66" t="e">
        <f t="shared" si="6"/>
        <v>#N/A</v>
      </c>
      <c r="T26" s="66" t="e">
        <f t="shared" si="7"/>
        <v>#N/A</v>
      </c>
      <c r="U26" s="66" t="e">
        <f t="shared" si="8"/>
        <v>#N/A</v>
      </c>
      <c r="V26" s="66" t="e">
        <f t="shared" si="9"/>
        <v>#N/A</v>
      </c>
      <c r="W26" s="66" t="e">
        <f t="shared" si="10"/>
        <v>#N/A</v>
      </c>
      <c r="X26" s="71" t="e">
        <f t="shared" si="11"/>
        <v>#N/A</v>
      </c>
    </row>
    <row r="27" spans="2:26" x14ac:dyDescent="0.2">
      <c r="B27" s="68">
        <v>3.3</v>
      </c>
      <c r="C27" s="68"/>
      <c r="D27" s="68"/>
      <c r="E27" s="68"/>
      <c r="F27" s="68"/>
      <c r="G27" s="69" t="e">
        <f t="shared" si="0"/>
        <v>#N/A</v>
      </c>
      <c r="H27" s="69" t="e">
        <f t="shared" si="1"/>
        <v>#N/A</v>
      </c>
      <c r="I27" s="69" t="e">
        <f t="shared" si="2"/>
        <v>#N/A</v>
      </c>
      <c r="J27" s="69" t="e">
        <f t="shared" si="3"/>
        <v>#N/A</v>
      </c>
      <c r="K27" s="69" t="e">
        <f t="shared" si="4"/>
        <v>#N/A</v>
      </c>
      <c r="L27" s="70" t="e">
        <f t="shared" si="5"/>
        <v>#N/A</v>
      </c>
      <c r="N27" s="105">
        <v>3.4</v>
      </c>
      <c r="O27" s="68"/>
      <c r="P27" s="68"/>
      <c r="Q27" s="68"/>
      <c r="R27" s="68"/>
      <c r="S27" s="69" t="e">
        <f t="shared" si="6"/>
        <v>#N/A</v>
      </c>
      <c r="T27" s="69" t="e">
        <f t="shared" si="7"/>
        <v>#N/A</v>
      </c>
      <c r="U27" s="69" t="e">
        <f t="shared" si="8"/>
        <v>#N/A</v>
      </c>
      <c r="V27" s="69" t="e">
        <f t="shared" si="9"/>
        <v>#N/A</v>
      </c>
      <c r="W27" s="69" t="e">
        <f t="shared" si="10"/>
        <v>#N/A</v>
      </c>
      <c r="X27" s="70" t="e">
        <f t="shared" si="11"/>
        <v>#N/A</v>
      </c>
    </row>
    <row r="28" spans="2:26" x14ac:dyDescent="0.2">
      <c r="B28" s="65">
        <v>3.4</v>
      </c>
      <c r="C28" s="65"/>
      <c r="D28" s="65"/>
      <c r="E28" s="65"/>
      <c r="F28" s="65"/>
      <c r="G28" s="66" t="e">
        <f t="shared" si="0"/>
        <v>#N/A</v>
      </c>
      <c r="H28" s="66" t="e">
        <f t="shared" si="1"/>
        <v>#N/A</v>
      </c>
      <c r="I28" s="66" t="e">
        <f t="shared" si="2"/>
        <v>#N/A</v>
      </c>
      <c r="J28" s="66" t="e">
        <f t="shared" si="3"/>
        <v>#N/A</v>
      </c>
      <c r="K28" s="66" t="e">
        <f t="shared" si="4"/>
        <v>#N/A</v>
      </c>
      <c r="L28" s="71" t="e">
        <f t="shared" si="5"/>
        <v>#N/A</v>
      </c>
      <c r="N28" s="104">
        <v>3.5</v>
      </c>
      <c r="O28" s="65"/>
      <c r="P28" s="65"/>
      <c r="Q28" s="65"/>
      <c r="R28" s="65"/>
      <c r="S28" s="66" t="e">
        <f t="shared" si="6"/>
        <v>#N/A</v>
      </c>
      <c r="T28" s="66" t="e">
        <f t="shared" si="7"/>
        <v>#N/A</v>
      </c>
      <c r="U28" s="66" t="e">
        <f t="shared" si="8"/>
        <v>#N/A</v>
      </c>
      <c r="V28" s="66" t="e">
        <f t="shared" si="9"/>
        <v>#N/A</v>
      </c>
      <c r="W28" s="66" t="e">
        <f t="shared" si="10"/>
        <v>#N/A</v>
      </c>
      <c r="X28" s="71" t="e">
        <f t="shared" si="11"/>
        <v>#N/A</v>
      </c>
    </row>
    <row r="29" spans="2:26" x14ac:dyDescent="0.2">
      <c r="B29" s="68">
        <v>3.5</v>
      </c>
      <c r="C29" s="68"/>
      <c r="D29" s="68"/>
      <c r="E29" s="68"/>
      <c r="F29" s="68"/>
      <c r="G29" s="69" t="e">
        <f t="shared" si="0"/>
        <v>#N/A</v>
      </c>
      <c r="H29" s="69" t="e">
        <f t="shared" si="1"/>
        <v>#N/A</v>
      </c>
      <c r="I29" s="69" t="e">
        <f t="shared" si="2"/>
        <v>#N/A</v>
      </c>
      <c r="J29" s="69" t="e">
        <f t="shared" si="3"/>
        <v>#N/A</v>
      </c>
      <c r="K29" s="69" t="e">
        <f t="shared" si="4"/>
        <v>#N/A</v>
      </c>
      <c r="L29" s="70" t="e">
        <f t="shared" si="5"/>
        <v>#N/A</v>
      </c>
      <c r="N29" s="105">
        <v>3.6</v>
      </c>
      <c r="O29" s="68"/>
      <c r="P29" s="68"/>
      <c r="Q29" s="68"/>
      <c r="R29" s="68"/>
      <c r="S29" s="69" t="e">
        <f t="shared" si="6"/>
        <v>#N/A</v>
      </c>
      <c r="T29" s="69" t="e">
        <f t="shared" si="7"/>
        <v>#N/A</v>
      </c>
      <c r="U29" s="69" t="e">
        <f t="shared" si="8"/>
        <v>#N/A</v>
      </c>
      <c r="V29" s="69" t="e">
        <f t="shared" si="9"/>
        <v>#N/A</v>
      </c>
      <c r="W29" s="69" t="e">
        <f t="shared" si="10"/>
        <v>#N/A</v>
      </c>
      <c r="X29" s="70" t="e">
        <f t="shared" si="11"/>
        <v>#N/A</v>
      </c>
    </row>
    <row r="30" spans="2:26" x14ac:dyDescent="0.2">
      <c r="B30" s="65">
        <v>3.6</v>
      </c>
      <c r="C30" s="65"/>
      <c r="D30" s="65"/>
      <c r="E30" s="65"/>
      <c r="F30" s="65"/>
      <c r="G30" s="66" t="e">
        <f t="shared" si="0"/>
        <v>#N/A</v>
      </c>
      <c r="H30" s="66" t="e">
        <f t="shared" si="1"/>
        <v>#N/A</v>
      </c>
      <c r="I30" s="66" t="e">
        <f t="shared" si="2"/>
        <v>#N/A</v>
      </c>
      <c r="J30" s="66" t="e">
        <f t="shared" si="3"/>
        <v>#N/A</v>
      </c>
      <c r="K30" s="66" t="e">
        <f t="shared" si="4"/>
        <v>#N/A</v>
      </c>
      <c r="L30" s="71" t="e">
        <f t="shared" si="5"/>
        <v>#N/A</v>
      </c>
      <c r="N30" s="104">
        <v>3.7</v>
      </c>
      <c r="O30" s="65"/>
      <c r="P30" s="65"/>
      <c r="Q30" s="65"/>
      <c r="R30" s="65"/>
      <c r="S30" s="66" t="e">
        <f t="shared" si="6"/>
        <v>#N/A</v>
      </c>
      <c r="T30" s="66" t="e">
        <f t="shared" si="7"/>
        <v>#N/A</v>
      </c>
      <c r="U30" s="66" t="e">
        <f t="shared" si="8"/>
        <v>#N/A</v>
      </c>
      <c r="V30" s="66" t="e">
        <f t="shared" si="9"/>
        <v>#N/A</v>
      </c>
      <c r="W30" s="66" t="e">
        <f t="shared" si="10"/>
        <v>#N/A</v>
      </c>
      <c r="X30" s="71" t="e">
        <f t="shared" si="11"/>
        <v>#N/A</v>
      </c>
    </row>
    <row r="31" spans="2:26" x14ac:dyDescent="0.2">
      <c r="B31" s="68">
        <v>3.7</v>
      </c>
      <c r="C31" s="68"/>
      <c r="D31" s="68"/>
      <c r="E31" s="68"/>
      <c r="F31" s="68"/>
      <c r="G31" s="69" t="e">
        <f t="shared" si="0"/>
        <v>#N/A</v>
      </c>
      <c r="H31" s="69" t="e">
        <f t="shared" si="1"/>
        <v>#N/A</v>
      </c>
      <c r="I31" s="69" t="e">
        <f t="shared" si="2"/>
        <v>#N/A</v>
      </c>
      <c r="J31" s="69" t="e">
        <f t="shared" si="3"/>
        <v>#N/A</v>
      </c>
      <c r="K31" s="69" t="e">
        <f t="shared" si="4"/>
        <v>#N/A</v>
      </c>
      <c r="L31" s="70" t="e">
        <f t="shared" si="5"/>
        <v>#N/A</v>
      </c>
      <c r="N31" s="105">
        <v>3.8</v>
      </c>
      <c r="O31" s="68"/>
      <c r="P31" s="68"/>
      <c r="Q31" s="68"/>
      <c r="R31" s="68"/>
      <c r="S31" s="69" t="e">
        <f t="shared" si="6"/>
        <v>#N/A</v>
      </c>
      <c r="T31" s="69" t="e">
        <f t="shared" si="7"/>
        <v>#N/A</v>
      </c>
      <c r="U31" s="69" t="e">
        <f t="shared" si="8"/>
        <v>#N/A</v>
      </c>
      <c r="V31" s="69" t="e">
        <f t="shared" si="9"/>
        <v>#N/A</v>
      </c>
      <c r="W31" s="69" t="e">
        <f t="shared" si="10"/>
        <v>#N/A</v>
      </c>
      <c r="X31" s="70" t="e">
        <f t="shared" si="11"/>
        <v>#N/A</v>
      </c>
    </row>
    <row r="32" spans="2:26" x14ac:dyDescent="0.2">
      <c r="B32" s="65">
        <v>4.0999999999999996</v>
      </c>
      <c r="C32" s="65"/>
      <c r="D32" s="65"/>
      <c r="E32" s="65"/>
      <c r="F32" s="65"/>
      <c r="G32" s="66" t="e">
        <f t="shared" si="0"/>
        <v>#N/A</v>
      </c>
      <c r="H32" s="66" t="e">
        <f t="shared" si="1"/>
        <v>#N/A</v>
      </c>
      <c r="I32" s="66" t="e">
        <f t="shared" si="2"/>
        <v>#N/A</v>
      </c>
      <c r="J32" s="66" t="e">
        <f t="shared" si="3"/>
        <v>#N/A</v>
      </c>
      <c r="K32" s="66" t="e">
        <f t="shared" si="4"/>
        <v>#N/A</v>
      </c>
      <c r="L32" s="71" t="e">
        <f t="shared" si="5"/>
        <v>#N/A</v>
      </c>
      <c r="N32" s="104">
        <v>3.9</v>
      </c>
      <c r="O32" s="65"/>
      <c r="P32" s="65"/>
      <c r="Q32" s="65"/>
      <c r="R32" s="65"/>
      <c r="S32" s="66" t="e">
        <f t="shared" si="6"/>
        <v>#N/A</v>
      </c>
      <c r="T32" s="66" t="e">
        <f t="shared" si="7"/>
        <v>#N/A</v>
      </c>
      <c r="U32" s="66" t="e">
        <f t="shared" si="8"/>
        <v>#N/A</v>
      </c>
      <c r="V32" s="66" t="e">
        <f t="shared" si="9"/>
        <v>#N/A</v>
      </c>
      <c r="W32" s="66" t="e">
        <f t="shared" si="10"/>
        <v>#N/A</v>
      </c>
      <c r="X32" s="71" t="e">
        <f t="shared" si="11"/>
        <v>#N/A</v>
      </c>
    </row>
    <row r="33" spans="2:24" x14ac:dyDescent="0.2">
      <c r="B33" s="68">
        <v>4.2</v>
      </c>
      <c r="C33" s="68"/>
      <c r="D33" s="68"/>
      <c r="E33" s="68"/>
      <c r="F33" s="68"/>
      <c r="G33" s="69" t="e">
        <f t="shared" si="0"/>
        <v>#N/A</v>
      </c>
      <c r="H33" s="69" t="e">
        <f t="shared" si="1"/>
        <v>#N/A</v>
      </c>
      <c r="I33" s="69" t="e">
        <f t="shared" si="2"/>
        <v>#N/A</v>
      </c>
      <c r="J33" s="69" t="e">
        <f t="shared" si="3"/>
        <v>#N/A</v>
      </c>
      <c r="K33" s="69" t="e">
        <f t="shared" si="4"/>
        <v>#N/A</v>
      </c>
      <c r="L33" s="70" t="e">
        <f t="shared" si="5"/>
        <v>#N/A</v>
      </c>
      <c r="N33" s="106">
        <v>3.1</v>
      </c>
      <c r="O33" s="68"/>
      <c r="P33" s="68"/>
      <c r="Q33" s="68"/>
      <c r="R33" s="68"/>
      <c r="S33" s="69" t="e">
        <f t="shared" si="6"/>
        <v>#N/A</v>
      </c>
      <c r="T33" s="69" t="e">
        <f t="shared" si="7"/>
        <v>#N/A</v>
      </c>
      <c r="U33" s="69" t="e">
        <f t="shared" si="8"/>
        <v>#N/A</v>
      </c>
      <c r="V33" s="69" t="e">
        <f t="shared" si="9"/>
        <v>#N/A</v>
      </c>
      <c r="W33" s="69" t="e">
        <f t="shared" si="10"/>
        <v>#N/A</v>
      </c>
      <c r="X33" s="70" t="e">
        <f t="shared" si="11"/>
        <v>#N/A</v>
      </c>
    </row>
    <row r="34" spans="2:24" x14ac:dyDescent="0.2">
      <c r="B34" s="65">
        <v>4.3</v>
      </c>
      <c r="C34" s="65"/>
      <c r="D34" s="65"/>
      <c r="E34" s="65"/>
      <c r="F34" s="65"/>
      <c r="G34" s="66" t="e">
        <f t="shared" si="0"/>
        <v>#N/A</v>
      </c>
      <c r="H34" s="66" t="e">
        <f t="shared" si="1"/>
        <v>#N/A</v>
      </c>
      <c r="I34" s="66" t="e">
        <f t="shared" si="2"/>
        <v>#N/A</v>
      </c>
      <c r="J34" s="66" t="e">
        <f t="shared" si="3"/>
        <v>#N/A</v>
      </c>
      <c r="K34" s="66" t="e">
        <f t="shared" si="4"/>
        <v>#N/A</v>
      </c>
      <c r="L34" s="71" t="e">
        <f t="shared" si="5"/>
        <v>#N/A</v>
      </c>
      <c r="N34" s="104">
        <v>3.11</v>
      </c>
      <c r="O34" s="65"/>
      <c r="P34" s="65"/>
      <c r="Q34" s="65"/>
      <c r="R34" s="65"/>
      <c r="S34" s="66" t="e">
        <f t="shared" si="6"/>
        <v>#N/A</v>
      </c>
      <c r="T34" s="66" t="e">
        <f t="shared" si="7"/>
        <v>#N/A</v>
      </c>
      <c r="U34" s="66" t="e">
        <f t="shared" si="8"/>
        <v>#N/A</v>
      </c>
      <c r="V34" s="66" t="e">
        <f t="shared" si="9"/>
        <v>#N/A</v>
      </c>
      <c r="W34" s="66" t="e">
        <f t="shared" si="10"/>
        <v>#N/A</v>
      </c>
      <c r="X34" s="71" t="e">
        <f t="shared" si="11"/>
        <v>#N/A</v>
      </c>
    </row>
    <row r="35" spans="2:24" x14ac:dyDescent="0.2">
      <c r="B35" s="68">
        <v>4.4000000000000004</v>
      </c>
      <c r="C35" s="68"/>
      <c r="D35" s="68"/>
      <c r="E35" s="68"/>
      <c r="F35" s="68"/>
      <c r="G35" s="69" t="e">
        <f t="shared" si="0"/>
        <v>#N/A</v>
      </c>
      <c r="H35" s="69" t="e">
        <f t="shared" si="1"/>
        <v>#N/A</v>
      </c>
      <c r="I35" s="69" t="e">
        <f t="shared" si="2"/>
        <v>#N/A</v>
      </c>
      <c r="J35" s="69" t="e">
        <f t="shared" si="3"/>
        <v>#N/A</v>
      </c>
      <c r="K35" s="69" t="e">
        <f t="shared" si="4"/>
        <v>#N/A</v>
      </c>
      <c r="L35" s="70" t="e">
        <f t="shared" si="5"/>
        <v>#N/A</v>
      </c>
      <c r="N35" s="105">
        <v>3.12</v>
      </c>
      <c r="O35" s="68"/>
      <c r="P35" s="68"/>
      <c r="Q35" s="68"/>
      <c r="R35" s="68"/>
      <c r="S35" s="69" t="e">
        <f t="shared" si="6"/>
        <v>#N/A</v>
      </c>
      <c r="T35" s="69" t="e">
        <f t="shared" si="7"/>
        <v>#N/A</v>
      </c>
      <c r="U35" s="69" t="e">
        <f t="shared" si="8"/>
        <v>#N/A</v>
      </c>
      <c r="V35" s="69" t="e">
        <f t="shared" si="9"/>
        <v>#N/A</v>
      </c>
      <c r="W35" s="69" t="e">
        <f t="shared" si="10"/>
        <v>#N/A</v>
      </c>
      <c r="X35" s="70" t="e">
        <f t="shared" si="11"/>
        <v>#N/A</v>
      </c>
    </row>
    <row r="36" spans="2:24" x14ac:dyDescent="0.2">
      <c r="B36" s="65">
        <v>4.5</v>
      </c>
      <c r="C36" s="65"/>
      <c r="D36" s="65"/>
      <c r="E36" s="65"/>
      <c r="F36" s="65"/>
      <c r="G36" s="66" t="e">
        <f t="shared" si="0"/>
        <v>#N/A</v>
      </c>
      <c r="H36" s="66" t="e">
        <f t="shared" si="1"/>
        <v>#N/A</v>
      </c>
      <c r="I36" s="66" t="e">
        <f t="shared" si="2"/>
        <v>#N/A</v>
      </c>
      <c r="J36" s="66" t="e">
        <f t="shared" si="3"/>
        <v>#N/A</v>
      </c>
      <c r="K36" s="66" t="e">
        <f t="shared" si="4"/>
        <v>#N/A</v>
      </c>
      <c r="L36" s="71" t="e">
        <f t="shared" si="5"/>
        <v>#N/A</v>
      </c>
      <c r="N36" s="104">
        <v>4.0999999999999996</v>
      </c>
      <c r="O36" s="65"/>
      <c r="P36" s="65"/>
      <c r="Q36" s="65"/>
      <c r="R36" s="65"/>
      <c r="S36" s="66" t="e">
        <f t="shared" si="6"/>
        <v>#N/A</v>
      </c>
      <c r="T36" s="66" t="e">
        <f t="shared" si="7"/>
        <v>#N/A</v>
      </c>
      <c r="U36" s="66" t="e">
        <f t="shared" si="8"/>
        <v>#N/A</v>
      </c>
      <c r="V36" s="66" t="e">
        <f t="shared" si="9"/>
        <v>#N/A</v>
      </c>
      <c r="W36" s="66" t="e">
        <f t="shared" si="10"/>
        <v>#N/A</v>
      </c>
      <c r="X36" s="71" t="e">
        <f t="shared" si="11"/>
        <v>#N/A</v>
      </c>
    </row>
    <row r="37" spans="2:24" x14ac:dyDescent="0.2">
      <c r="B37" s="68">
        <v>4.5999999999999996</v>
      </c>
      <c r="C37" s="68"/>
      <c r="D37" s="68"/>
      <c r="E37" s="68"/>
      <c r="F37" s="68"/>
      <c r="G37" s="69" t="e">
        <f t="shared" si="0"/>
        <v>#N/A</v>
      </c>
      <c r="H37" s="69" t="e">
        <f t="shared" si="1"/>
        <v>#N/A</v>
      </c>
      <c r="I37" s="69" t="e">
        <f t="shared" si="2"/>
        <v>#N/A</v>
      </c>
      <c r="J37" s="69" t="e">
        <f t="shared" si="3"/>
        <v>#N/A</v>
      </c>
      <c r="K37" s="69" t="e">
        <f t="shared" si="4"/>
        <v>#N/A</v>
      </c>
      <c r="L37" s="70" t="e">
        <f t="shared" si="5"/>
        <v>#N/A</v>
      </c>
      <c r="N37" s="105">
        <v>4.2</v>
      </c>
      <c r="O37" s="68"/>
      <c r="P37" s="68"/>
      <c r="Q37" s="68"/>
      <c r="R37" s="68"/>
      <c r="S37" s="69" t="e">
        <f t="shared" si="6"/>
        <v>#N/A</v>
      </c>
      <c r="T37" s="69" t="e">
        <f t="shared" si="7"/>
        <v>#N/A</v>
      </c>
      <c r="U37" s="69" t="e">
        <f t="shared" si="8"/>
        <v>#N/A</v>
      </c>
      <c r="V37" s="69" t="e">
        <f t="shared" si="9"/>
        <v>#N/A</v>
      </c>
      <c r="W37" s="69" t="e">
        <f t="shared" si="10"/>
        <v>#N/A</v>
      </c>
      <c r="X37" s="70" t="e">
        <f t="shared" si="11"/>
        <v>#N/A</v>
      </c>
    </row>
    <row r="38" spans="2:24" x14ac:dyDescent="0.2">
      <c r="B38" s="65">
        <v>4.7</v>
      </c>
      <c r="C38" s="65"/>
      <c r="D38" s="65"/>
      <c r="E38" s="65"/>
      <c r="F38" s="65"/>
      <c r="G38" s="66" t="e">
        <f t="shared" si="0"/>
        <v>#N/A</v>
      </c>
      <c r="H38" s="66" t="e">
        <f t="shared" si="1"/>
        <v>#N/A</v>
      </c>
      <c r="I38" s="66" t="e">
        <f t="shared" si="2"/>
        <v>#N/A</v>
      </c>
      <c r="J38" s="66" t="e">
        <f t="shared" si="3"/>
        <v>#N/A</v>
      </c>
      <c r="K38" s="66" t="e">
        <f t="shared" si="4"/>
        <v>#N/A</v>
      </c>
      <c r="L38" s="71" t="e">
        <f t="shared" si="5"/>
        <v>#N/A</v>
      </c>
      <c r="N38" s="104">
        <v>4.3</v>
      </c>
      <c r="O38" s="65"/>
      <c r="P38" s="65"/>
      <c r="Q38" s="65"/>
      <c r="R38" s="65"/>
      <c r="S38" s="66" t="e">
        <f t="shared" si="6"/>
        <v>#N/A</v>
      </c>
      <c r="T38" s="66" t="e">
        <f t="shared" si="7"/>
        <v>#N/A</v>
      </c>
      <c r="U38" s="66" t="e">
        <f t="shared" si="8"/>
        <v>#N/A</v>
      </c>
      <c r="V38" s="66" t="e">
        <f t="shared" si="9"/>
        <v>#N/A</v>
      </c>
      <c r="W38" s="66" t="e">
        <f t="shared" si="10"/>
        <v>#N/A</v>
      </c>
      <c r="X38" s="71" t="e">
        <f t="shared" si="11"/>
        <v>#N/A</v>
      </c>
    </row>
    <row r="39" spans="2:24" x14ac:dyDescent="0.2">
      <c r="B39" s="68">
        <v>4.8</v>
      </c>
      <c r="C39" s="68"/>
      <c r="D39" s="68"/>
      <c r="E39" s="68"/>
      <c r="F39" s="68"/>
      <c r="G39" s="69" t="e">
        <f t="shared" si="0"/>
        <v>#N/A</v>
      </c>
      <c r="H39" s="69" t="e">
        <f t="shared" si="1"/>
        <v>#N/A</v>
      </c>
      <c r="I39" s="69" t="e">
        <f t="shared" si="2"/>
        <v>#N/A</v>
      </c>
      <c r="J39" s="69" t="e">
        <f t="shared" si="3"/>
        <v>#N/A</v>
      </c>
      <c r="K39" s="69" t="e">
        <f t="shared" si="4"/>
        <v>#N/A</v>
      </c>
      <c r="L39" s="70" t="e">
        <f t="shared" si="5"/>
        <v>#N/A</v>
      </c>
      <c r="N39" s="105">
        <v>4.4000000000000004</v>
      </c>
      <c r="O39" s="68"/>
      <c r="P39" s="68"/>
      <c r="Q39" s="68"/>
      <c r="R39" s="68"/>
      <c r="S39" s="69" t="e">
        <f t="shared" si="6"/>
        <v>#N/A</v>
      </c>
      <c r="T39" s="69" t="e">
        <f t="shared" si="7"/>
        <v>#N/A</v>
      </c>
      <c r="U39" s="69" t="e">
        <f t="shared" si="8"/>
        <v>#N/A</v>
      </c>
      <c r="V39" s="69" t="e">
        <f t="shared" si="9"/>
        <v>#N/A</v>
      </c>
      <c r="W39" s="69" t="e">
        <f t="shared" si="10"/>
        <v>#N/A</v>
      </c>
      <c r="X39" s="70" t="e">
        <f t="shared" si="11"/>
        <v>#N/A</v>
      </c>
    </row>
    <row r="40" spans="2:24" x14ac:dyDescent="0.2">
      <c r="B40" s="65">
        <v>4.9000000000000004</v>
      </c>
      <c r="C40" s="65"/>
      <c r="D40" s="65"/>
      <c r="E40" s="65"/>
      <c r="F40" s="65"/>
      <c r="G40" s="66" t="e">
        <f t="shared" si="0"/>
        <v>#N/A</v>
      </c>
      <c r="H40" s="66" t="e">
        <f t="shared" si="1"/>
        <v>#N/A</v>
      </c>
      <c r="I40" s="66" t="e">
        <f t="shared" si="2"/>
        <v>#N/A</v>
      </c>
      <c r="J40" s="66" t="e">
        <f t="shared" si="3"/>
        <v>#N/A</v>
      </c>
      <c r="K40" s="66" t="e">
        <f t="shared" si="4"/>
        <v>#N/A</v>
      </c>
      <c r="L40" s="71" t="e">
        <f t="shared" si="5"/>
        <v>#N/A</v>
      </c>
      <c r="N40" s="104">
        <v>4.5</v>
      </c>
      <c r="O40" s="65"/>
      <c r="P40" s="65"/>
      <c r="Q40" s="65"/>
      <c r="R40" s="65"/>
      <c r="S40" s="66" t="e">
        <f t="shared" si="6"/>
        <v>#N/A</v>
      </c>
      <c r="T40" s="66" t="e">
        <f t="shared" si="7"/>
        <v>#N/A</v>
      </c>
      <c r="U40" s="66" t="e">
        <f t="shared" si="8"/>
        <v>#N/A</v>
      </c>
      <c r="V40" s="66" t="e">
        <f t="shared" si="9"/>
        <v>#N/A</v>
      </c>
      <c r="W40" s="66" t="e">
        <f t="shared" si="10"/>
        <v>#N/A</v>
      </c>
      <c r="X40" s="71" t="e">
        <f t="shared" si="11"/>
        <v>#N/A</v>
      </c>
    </row>
    <row r="41" spans="2:24" x14ac:dyDescent="0.2">
      <c r="B41" s="68">
        <v>5.0999999999999996</v>
      </c>
      <c r="C41" s="68"/>
      <c r="D41" s="68"/>
      <c r="E41" s="68"/>
      <c r="F41" s="68"/>
      <c r="G41" s="69" t="e">
        <f t="shared" si="0"/>
        <v>#N/A</v>
      </c>
      <c r="H41" s="69" t="e">
        <f t="shared" si="1"/>
        <v>#N/A</v>
      </c>
      <c r="I41" s="69" t="e">
        <f t="shared" si="2"/>
        <v>#N/A</v>
      </c>
      <c r="J41" s="69" t="e">
        <f t="shared" si="3"/>
        <v>#N/A</v>
      </c>
      <c r="K41" s="69" t="e">
        <f t="shared" si="4"/>
        <v>#N/A</v>
      </c>
      <c r="L41" s="70" t="e">
        <f t="shared" si="5"/>
        <v>#N/A</v>
      </c>
      <c r="N41" s="105">
        <v>4.5999999999999996</v>
      </c>
      <c r="O41" s="68"/>
      <c r="P41" s="68"/>
      <c r="Q41" s="68"/>
      <c r="R41" s="68"/>
      <c r="S41" s="69" t="e">
        <f t="shared" si="6"/>
        <v>#N/A</v>
      </c>
      <c r="T41" s="69" t="e">
        <f t="shared" si="7"/>
        <v>#N/A</v>
      </c>
      <c r="U41" s="69" t="e">
        <f t="shared" si="8"/>
        <v>#N/A</v>
      </c>
      <c r="V41" s="69" t="e">
        <f t="shared" si="9"/>
        <v>#N/A</v>
      </c>
      <c r="W41" s="69" t="e">
        <f t="shared" si="10"/>
        <v>#N/A</v>
      </c>
      <c r="X41" s="70" t="e">
        <f t="shared" si="11"/>
        <v>#N/A</v>
      </c>
    </row>
    <row r="42" spans="2:24" x14ac:dyDescent="0.2">
      <c r="B42" s="65">
        <v>5.2</v>
      </c>
      <c r="C42" s="65"/>
      <c r="D42" s="65"/>
      <c r="E42" s="65"/>
      <c r="F42" s="65"/>
      <c r="G42" s="66" t="e">
        <f t="shared" si="0"/>
        <v>#N/A</v>
      </c>
      <c r="H42" s="66" t="e">
        <f t="shared" si="1"/>
        <v>#N/A</v>
      </c>
      <c r="I42" s="66" t="e">
        <f t="shared" si="2"/>
        <v>#N/A</v>
      </c>
      <c r="J42" s="66" t="e">
        <f t="shared" si="3"/>
        <v>#N/A</v>
      </c>
      <c r="K42" s="66" t="e">
        <f t="shared" si="4"/>
        <v>#N/A</v>
      </c>
      <c r="L42" s="71" t="e">
        <f t="shared" si="5"/>
        <v>#N/A</v>
      </c>
      <c r="N42" s="104">
        <v>4.7</v>
      </c>
      <c r="O42" s="65"/>
      <c r="P42" s="65"/>
      <c r="Q42" s="65"/>
      <c r="R42" s="65"/>
      <c r="S42" s="66" t="e">
        <f t="shared" si="6"/>
        <v>#N/A</v>
      </c>
      <c r="T42" s="66" t="e">
        <f t="shared" si="7"/>
        <v>#N/A</v>
      </c>
      <c r="U42" s="66" t="e">
        <f t="shared" si="8"/>
        <v>#N/A</v>
      </c>
      <c r="V42" s="66" t="e">
        <f t="shared" si="9"/>
        <v>#N/A</v>
      </c>
      <c r="W42" s="66" t="e">
        <f t="shared" si="10"/>
        <v>#N/A</v>
      </c>
      <c r="X42" s="71" t="e">
        <f t="shared" si="11"/>
        <v>#N/A</v>
      </c>
    </row>
    <row r="43" spans="2:24" x14ac:dyDescent="0.2">
      <c r="B43" s="68">
        <v>5.3</v>
      </c>
      <c r="C43" s="68"/>
      <c r="D43" s="68"/>
      <c r="E43" s="68"/>
      <c r="F43" s="68"/>
      <c r="G43" s="69" t="e">
        <f t="shared" si="0"/>
        <v>#N/A</v>
      </c>
      <c r="H43" s="69" t="e">
        <f t="shared" si="1"/>
        <v>#N/A</v>
      </c>
      <c r="I43" s="69" t="e">
        <f t="shared" si="2"/>
        <v>#N/A</v>
      </c>
      <c r="J43" s="69" t="e">
        <f t="shared" si="3"/>
        <v>#N/A</v>
      </c>
      <c r="K43" s="69" t="e">
        <f t="shared" si="4"/>
        <v>#N/A</v>
      </c>
      <c r="L43" s="70" t="e">
        <f t="shared" si="5"/>
        <v>#N/A</v>
      </c>
      <c r="N43" s="105">
        <v>4.8</v>
      </c>
      <c r="O43" s="68"/>
      <c r="P43" s="68"/>
      <c r="Q43" s="68"/>
      <c r="R43" s="68"/>
      <c r="S43" s="69" t="e">
        <f t="shared" si="6"/>
        <v>#N/A</v>
      </c>
      <c r="T43" s="69" t="e">
        <f t="shared" si="7"/>
        <v>#N/A</v>
      </c>
      <c r="U43" s="69" t="e">
        <f t="shared" si="8"/>
        <v>#N/A</v>
      </c>
      <c r="V43" s="69" t="e">
        <f t="shared" si="9"/>
        <v>#N/A</v>
      </c>
      <c r="W43" s="69" t="e">
        <f t="shared" si="10"/>
        <v>#N/A</v>
      </c>
      <c r="X43" s="70" t="e">
        <f t="shared" si="11"/>
        <v>#N/A</v>
      </c>
    </row>
    <row r="44" spans="2:24" x14ac:dyDescent="0.2">
      <c r="B44" s="65">
        <v>5.4</v>
      </c>
      <c r="C44" s="65"/>
      <c r="D44" s="65"/>
      <c r="E44" s="65"/>
      <c r="F44" s="65"/>
      <c r="G44" s="66" t="e">
        <f t="shared" si="0"/>
        <v>#N/A</v>
      </c>
      <c r="H44" s="66" t="e">
        <f t="shared" si="1"/>
        <v>#N/A</v>
      </c>
      <c r="I44" s="66" t="e">
        <f t="shared" si="2"/>
        <v>#N/A</v>
      </c>
      <c r="J44" s="66" t="e">
        <f t="shared" si="3"/>
        <v>#N/A</v>
      </c>
      <c r="K44" s="66" t="e">
        <f t="shared" si="4"/>
        <v>#N/A</v>
      </c>
      <c r="L44" s="71" t="e">
        <f t="shared" si="5"/>
        <v>#N/A</v>
      </c>
      <c r="N44" s="104">
        <v>4.9000000000000004</v>
      </c>
      <c r="O44" s="65"/>
      <c r="P44" s="65"/>
      <c r="Q44" s="65"/>
      <c r="R44" s="65"/>
      <c r="S44" s="66" t="e">
        <f t="shared" si="6"/>
        <v>#N/A</v>
      </c>
      <c r="T44" s="66" t="e">
        <f t="shared" si="7"/>
        <v>#N/A</v>
      </c>
      <c r="U44" s="66" t="e">
        <f t="shared" si="8"/>
        <v>#N/A</v>
      </c>
      <c r="V44" s="66" t="e">
        <f t="shared" si="9"/>
        <v>#N/A</v>
      </c>
      <c r="W44" s="66" t="e">
        <f t="shared" si="10"/>
        <v>#N/A</v>
      </c>
      <c r="X44" s="71" t="e">
        <f t="shared" si="11"/>
        <v>#N/A</v>
      </c>
    </row>
    <row r="45" spans="2:24" x14ac:dyDescent="0.2">
      <c r="B45" s="68">
        <v>5.5</v>
      </c>
      <c r="C45" s="68"/>
      <c r="D45" s="68"/>
      <c r="E45" s="68"/>
      <c r="F45" s="68"/>
      <c r="G45" s="69" t="e">
        <f t="shared" si="0"/>
        <v>#N/A</v>
      </c>
      <c r="H45" s="69" t="e">
        <f t="shared" si="1"/>
        <v>#N/A</v>
      </c>
      <c r="I45" s="69" t="e">
        <f t="shared" si="2"/>
        <v>#N/A</v>
      </c>
      <c r="J45" s="69" t="e">
        <f t="shared" si="3"/>
        <v>#N/A</v>
      </c>
      <c r="K45" s="69" t="e">
        <f t="shared" si="4"/>
        <v>#N/A</v>
      </c>
      <c r="L45" s="70" t="e">
        <f t="shared" si="5"/>
        <v>#N/A</v>
      </c>
      <c r="N45" s="106">
        <v>4.0999999999999996</v>
      </c>
      <c r="O45" s="68"/>
      <c r="P45" s="68"/>
      <c r="Q45" s="68"/>
      <c r="R45" s="68"/>
      <c r="S45" s="69" t="e">
        <f t="shared" si="6"/>
        <v>#N/A</v>
      </c>
      <c r="T45" s="69" t="e">
        <f t="shared" si="7"/>
        <v>#N/A</v>
      </c>
      <c r="U45" s="69" t="e">
        <f t="shared" si="8"/>
        <v>#N/A</v>
      </c>
      <c r="V45" s="69" t="e">
        <f t="shared" si="9"/>
        <v>#N/A</v>
      </c>
      <c r="W45" s="69" t="e">
        <f t="shared" si="10"/>
        <v>#N/A</v>
      </c>
      <c r="X45" s="70" t="e">
        <f t="shared" si="11"/>
        <v>#N/A</v>
      </c>
    </row>
    <row r="46" spans="2:24" x14ac:dyDescent="0.2">
      <c r="B46" s="65">
        <v>6.1</v>
      </c>
      <c r="C46" s="65"/>
      <c r="D46" s="65"/>
      <c r="E46" s="65"/>
      <c r="F46" s="65"/>
      <c r="G46" s="66" t="e">
        <f t="shared" si="0"/>
        <v>#N/A</v>
      </c>
      <c r="H46" s="66" t="e">
        <f t="shared" si="1"/>
        <v>#N/A</v>
      </c>
      <c r="I46" s="66" t="e">
        <f t="shared" si="2"/>
        <v>#N/A</v>
      </c>
      <c r="J46" s="66" t="e">
        <f t="shared" si="3"/>
        <v>#N/A</v>
      </c>
      <c r="K46" s="66" t="e">
        <f t="shared" si="4"/>
        <v>#N/A</v>
      </c>
      <c r="L46" s="71" t="e">
        <f t="shared" si="5"/>
        <v>#N/A</v>
      </c>
      <c r="N46" s="104">
        <v>4.1100000000000003</v>
      </c>
      <c r="O46" s="65"/>
      <c r="P46" s="65"/>
      <c r="Q46" s="65"/>
      <c r="R46" s="65"/>
      <c r="S46" s="66" t="e">
        <f t="shared" si="6"/>
        <v>#N/A</v>
      </c>
      <c r="T46" s="66" t="e">
        <f t="shared" si="7"/>
        <v>#N/A</v>
      </c>
      <c r="U46" s="66" t="e">
        <f t="shared" si="8"/>
        <v>#N/A</v>
      </c>
      <c r="V46" s="66" t="e">
        <f t="shared" si="9"/>
        <v>#N/A</v>
      </c>
      <c r="W46" s="66" t="e">
        <f t="shared" si="10"/>
        <v>#N/A</v>
      </c>
      <c r="X46" s="71" t="e">
        <f t="shared" si="11"/>
        <v>#N/A</v>
      </c>
    </row>
    <row r="47" spans="2:24" x14ac:dyDescent="0.2">
      <c r="B47" s="68">
        <v>6.2</v>
      </c>
      <c r="C47" s="68"/>
      <c r="D47" s="68"/>
      <c r="E47" s="68"/>
      <c r="F47" s="68"/>
      <c r="G47" s="69" t="e">
        <f t="shared" si="0"/>
        <v>#N/A</v>
      </c>
      <c r="H47" s="69" t="e">
        <f t="shared" si="1"/>
        <v>#N/A</v>
      </c>
      <c r="I47" s="69" t="e">
        <f t="shared" si="2"/>
        <v>#N/A</v>
      </c>
      <c r="J47" s="69" t="e">
        <f t="shared" si="3"/>
        <v>#N/A</v>
      </c>
      <c r="K47" s="69" t="e">
        <f t="shared" si="4"/>
        <v>#N/A</v>
      </c>
      <c r="L47" s="70" t="e">
        <f t="shared" si="5"/>
        <v>#N/A</v>
      </c>
      <c r="N47" s="105">
        <v>5.0999999999999996</v>
      </c>
      <c r="O47" s="68"/>
      <c r="P47" s="68"/>
      <c r="Q47" s="68"/>
      <c r="R47" s="68"/>
      <c r="S47" s="69" t="e">
        <f t="shared" si="6"/>
        <v>#N/A</v>
      </c>
      <c r="T47" s="69" t="e">
        <f t="shared" si="7"/>
        <v>#N/A</v>
      </c>
      <c r="U47" s="69" t="e">
        <f t="shared" si="8"/>
        <v>#N/A</v>
      </c>
      <c r="V47" s="69" t="e">
        <f t="shared" si="9"/>
        <v>#N/A</v>
      </c>
      <c r="W47" s="69" t="e">
        <f t="shared" si="10"/>
        <v>#N/A</v>
      </c>
      <c r="X47" s="70" t="e">
        <f t="shared" si="11"/>
        <v>#N/A</v>
      </c>
    </row>
    <row r="48" spans="2:24" x14ac:dyDescent="0.2">
      <c r="B48" s="65">
        <v>6.3</v>
      </c>
      <c r="C48" s="65"/>
      <c r="D48" s="65"/>
      <c r="E48" s="65"/>
      <c r="F48" s="65"/>
      <c r="G48" s="66" t="e">
        <f t="shared" si="0"/>
        <v>#N/A</v>
      </c>
      <c r="H48" s="66" t="e">
        <f t="shared" si="1"/>
        <v>#N/A</v>
      </c>
      <c r="I48" s="66" t="e">
        <f t="shared" si="2"/>
        <v>#N/A</v>
      </c>
      <c r="J48" s="66" t="e">
        <f t="shared" si="3"/>
        <v>#N/A</v>
      </c>
      <c r="K48" s="66" t="e">
        <f t="shared" si="4"/>
        <v>#N/A</v>
      </c>
      <c r="L48" s="71" t="e">
        <f t="shared" si="5"/>
        <v>#N/A</v>
      </c>
      <c r="N48" s="104">
        <v>5.2</v>
      </c>
      <c r="O48" s="65"/>
      <c r="P48" s="65"/>
      <c r="Q48" s="65"/>
      <c r="R48" s="65"/>
      <c r="S48" s="66" t="e">
        <f t="shared" si="6"/>
        <v>#N/A</v>
      </c>
      <c r="T48" s="66" t="e">
        <f t="shared" si="7"/>
        <v>#N/A</v>
      </c>
      <c r="U48" s="66" t="e">
        <f t="shared" si="8"/>
        <v>#N/A</v>
      </c>
      <c r="V48" s="66" t="e">
        <f t="shared" si="9"/>
        <v>#N/A</v>
      </c>
      <c r="W48" s="66" t="e">
        <f t="shared" si="10"/>
        <v>#N/A</v>
      </c>
      <c r="X48" s="71" t="e">
        <f t="shared" si="11"/>
        <v>#N/A</v>
      </c>
    </row>
    <row r="49" spans="2:24" x14ac:dyDescent="0.2">
      <c r="B49" s="68">
        <v>6.4</v>
      </c>
      <c r="C49" s="68"/>
      <c r="D49" s="68"/>
      <c r="E49" s="68"/>
      <c r="F49" s="68"/>
      <c r="G49" s="69" t="e">
        <f t="shared" si="0"/>
        <v>#N/A</v>
      </c>
      <c r="H49" s="69" t="e">
        <f t="shared" si="1"/>
        <v>#N/A</v>
      </c>
      <c r="I49" s="69" t="e">
        <f t="shared" si="2"/>
        <v>#N/A</v>
      </c>
      <c r="J49" s="69" t="e">
        <f t="shared" si="3"/>
        <v>#N/A</v>
      </c>
      <c r="K49" s="69" t="e">
        <f t="shared" si="4"/>
        <v>#N/A</v>
      </c>
      <c r="L49" s="70" t="e">
        <f t="shared" si="5"/>
        <v>#N/A</v>
      </c>
      <c r="N49" s="105">
        <v>5.3</v>
      </c>
      <c r="O49" s="68"/>
      <c r="P49" s="68"/>
      <c r="Q49" s="68"/>
      <c r="R49" s="68"/>
      <c r="S49" s="69" t="e">
        <f t="shared" si="6"/>
        <v>#N/A</v>
      </c>
      <c r="T49" s="69" t="e">
        <f t="shared" si="7"/>
        <v>#N/A</v>
      </c>
      <c r="U49" s="69" t="e">
        <f t="shared" si="8"/>
        <v>#N/A</v>
      </c>
      <c r="V49" s="69" t="e">
        <f t="shared" si="9"/>
        <v>#N/A</v>
      </c>
      <c r="W49" s="69" t="e">
        <f t="shared" si="10"/>
        <v>#N/A</v>
      </c>
      <c r="X49" s="70" t="e">
        <f t="shared" si="11"/>
        <v>#N/A</v>
      </c>
    </row>
    <row r="50" spans="2:24" x14ac:dyDescent="0.2">
      <c r="B50" s="65">
        <v>6.5</v>
      </c>
      <c r="C50" s="65"/>
      <c r="D50" s="65"/>
      <c r="E50" s="65"/>
      <c r="F50" s="65"/>
      <c r="G50" s="66" t="e">
        <f t="shared" si="0"/>
        <v>#N/A</v>
      </c>
      <c r="H50" s="66" t="e">
        <f t="shared" si="1"/>
        <v>#N/A</v>
      </c>
      <c r="I50" s="66" t="e">
        <f t="shared" si="2"/>
        <v>#N/A</v>
      </c>
      <c r="J50" s="66" t="e">
        <f t="shared" si="3"/>
        <v>#N/A</v>
      </c>
      <c r="K50" s="66" t="e">
        <f t="shared" si="4"/>
        <v>#N/A</v>
      </c>
      <c r="L50" s="71" t="e">
        <f t="shared" si="5"/>
        <v>#N/A</v>
      </c>
      <c r="N50" s="104">
        <v>5.4</v>
      </c>
      <c r="O50" s="65"/>
      <c r="P50" s="65"/>
      <c r="Q50" s="65"/>
      <c r="R50" s="65"/>
      <c r="S50" s="66" t="e">
        <f t="shared" si="6"/>
        <v>#N/A</v>
      </c>
      <c r="T50" s="66" t="e">
        <f t="shared" si="7"/>
        <v>#N/A</v>
      </c>
      <c r="U50" s="66" t="e">
        <f t="shared" si="8"/>
        <v>#N/A</v>
      </c>
      <c r="V50" s="66" t="e">
        <f t="shared" si="9"/>
        <v>#N/A</v>
      </c>
      <c r="W50" s="66" t="e">
        <f t="shared" si="10"/>
        <v>#N/A</v>
      </c>
      <c r="X50" s="71" t="e">
        <f t="shared" si="11"/>
        <v>#N/A</v>
      </c>
    </row>
    <row r="51" spans="2:24" x14ac:dyDescent="0.2">
      <c r="B51" s="68">
        <v>6.6</v>
      </c>
      <c r="C51" s="68"/>
      <c r="D51" s="68"/>
      <c r="E51" s="68"/>
      <c r="F51" s="68"/>
      <c r="G51" s="69" t="e">
        <f t="shared" si="0"/>
        <v>#N/A</v>
      </c>
      <c r="H51" s="69" t="e">
        <f t="shared" si="1"/>
        <v>#N/A</v>
      </c>
      <c r="I51" s="69" t="e">
        <f t="shared" si="2"/>
        <v>#N/A</v>
      </c>
      <c r="J51" s="69" t="e">
        <f t="shared" si="3"/>
        <v>#N/A</v>
      </c>
      <c r="K51" s="69" t="e">
        <f t="shared" si="4"/>
        <v>#N/A</v>
      </c>
      <c r="L51" s="70" t="e">
        <f t="shared" si="5"/>
        <v>#N/A</v>
      </c>
      <c r="N51" s="105">
        <v>5.5</v>
      </c>
      <c r="O51" s="68"/>
      <c r="P51" s="68"/>
      <c r="Q51" s="68"/>
      <c r="R51" s="68"/>
      <c r="S51" s="69" t="e">
        <f t="shared" si="6"/>
        <v>#N/A</v>
      </c>
      <c r="T51" s="69" t="e">
        <f t="shared" si="7"/>
        <v>#N/A</v>
      </c>
      <c r="U51" s="69" t="e">
        <f t="shared" si="8"/>
        <v>#N/A</v>
      </c>
      <c r="V51" s="69" t="e">
        <f t="shared" si="9"/>
        <v>#N/A</v>
      </c>
      <c r="W51" s="69" t="e">
        <f t="shared" si="10"/>
        <v>#N/A</v>
      </c>
      <c r="X51" s="70" t="e">
        <f t="shared" si="11"/>
        <v>#N/A</v>
      </c>
    </row>
    <row r="52" spans="2:24" x14ac:dyDescent="0.2">
      <c r="B52" s="65">
        <v>6.7</v>
      </c>
      <c r="C52" s="65"/>
      <c r="D52" s="65"/>
      <c r="E52" s="65"/>
      <c r="F52" s="65"/>
      <c r="G52" s="66" t="e">
        <f t="shared" si="0"/>
        <v>#N/A</v>
      </c>
      <c r="H52" s="66" t="e">
        <f t="shared" si="1"/>
        <v>#N/A</v>
      </c>
      <c r="I52" s="66" t="e">
        <f t="shared" si="2"/>
        <v>#N/A</v>
      </c>
      <c r="J52" s="66" t="e">
        <f t="shared" si="3"/>
        <v>#N/A</v>
      </c>
      <c r="K52" s="66" t="e">
        <f t="shared" si="4"/>
        <v>#N/A</v>
      </c>
      <c r="L52" s="71" t="e">
        <f t="shared" si="5"/>
        <v>#N/A</v>
      </c>
      <c r="N52" s="104">
        <v>5.6</v>
      </c>
      <c r="O52" s="65"/>
      <c r="P52" s="65"/>
      <c r="Q52" s="65"/>
      <c r="R52" s="65"/>
      <c r="S52" s="66" t="e">
        <f t="shared" si="6"/>
        <v>#N/A</v>
      </c>
      <c r="T52" s="66" t="e">
        <f t="shared" si="7"/>
        <v>#N/A</v>
      </c>
      <c r="U52" s="66" t="e">
        <f t="shared" si="8"/>
        <v>#N/A</v>
      </c>
      <c r="V52" s="66" t="e">
        <f t="shared" si="9"/>
        <v>#N/A</v>
      </c>
      <c r="W52" s="66" t="e">
        <f t="shared" si="10"/>
        <v>#N/A</v>
      </c>
      <c r="X52" s="71" t="e">
        <f t="shared" si="11"/>
        <v>#N/A</v>
      </c>
    </row>
    <row r="53" spans="2:24" x14ac:dyDescent="0.2">
      <c r="B53" s="68">
        <v>7.1</v>
      </c>
      <c r="C53" s="68"/>
      <c r="D53" s="68"/>
      <c r="E53" s="68"/>
      <c r="F53" s="68"/>
      <c r="G53" s="69" t="e">
        <f t="shared" si="0"/>
        <v>#N/A</v>
      </c>
      <c r="H53" s="69" t="e">
        <f t="shared" si="1"/>
        <v>#N/A</v>
      </c>
      <c r="I53" s="69" t="e">
        <f t="shared" si="2"/>
        <v>#N/A</v>
      </c>
      <c r="J53" s="69" t="e">
        <f t="shared" si="3"/>
        <v>#N/A</v>
      </c>
      <c r="K53" s="69" t="e">
        <f t="shared" si="4"/>
        <v>#N/A</v>
      </c>
      <c r="L53" s="70" t="e">
        <f t="shared" si="5"/>
        <v>#N/A</v>
      </c>
      <c r="N53" s="105">
        <v>6.1</v>
      </c>
      <c r="O53" s="68"/>
      <c r="P53" s="68"/>
      <c r="Q53" s="68"/>
      <c r="R53" s="68"/>
      <c r="S53" s="69" t="e">
        <f t="shared" si="6"/>
        <v>#N/A</v>
      </c>
      <c r="T53" s="69" t="e">
        <f t="shared" si="7"/>
        <v>#N/A</v>
      </c>
      <c r="U53" s="69" t="e">
        <f t="shared" si="8"/>
        <v>#N/A</v>
      </c>
      <c r="V53" s="69" t="e">
        <f t="shared" si="9"/>
        <v>#N/A</v>
      </c>
      <c r="W53" s="69" t="e">
        <f t="shared" si="10"/>
        <v>#N/A</v>
      </c>
      <c r="X53" s="70" t="e">
        <f t="shared" si="11"/>
        <v>#N/A</v>
      </c>
    </row>
    <row r="54" spans="2:24" x14ac:dyDescent="0.2">
      <c r="B54" s="65">
        <v>7.2</v>
      </c>
      <c r="C54" s="65"/>
      <c r="D54" s="65"/>
      <c r="E54" s="65"/>
      <c r="F54" s="65"/>
      <c r="G54" s="66" t="e">
        <f t="shared" si="0"/>
        <v>#N/A</v>
      </c>
      <c r="H54" s="66" t="e">
        <f t="shared" si="1"/>
        <v>#N/A</v>
      </c>
      <c r="I54" s="66" t="e">
        <f t="shared" si="2"/>
        <v>#N/A</v>
      </c>
      <c r="J54" s="66" t="e">
        <f t="shared" si="3"/>
        <v>#N/A</v>
      </c>
      <c r="K54" s="66" t="e">
        <f t="shared" si="4"/>
        <v>#N/A</v>
      </c>
      <c r="L54" s="71" t="e">
        <f t="shared" si="5"/>
        <v>#N/A</v>
      </c>
      <c r="N54" s="104">
        <v>6.2</v>
      </c>
      <c r="O54" s="65"/>
      <c r="P54" s="65"/>
      <c r="Q54" s="65"/>
      <c r="R54" s="65"/>
      <c r="S54" s="66" t="e">
        <f t="shared" si="6"/>
        <v>#N/A</v>
      </c>
      <c r="T54" s="66" t="e">
        <f t="shared" si="7"/>
        <v>#N/A</v>
      </c>
      <c r="U54" s="66" t="e">
        <f t="shared" si="8"/>
        <v>#N/A</v>
      </c>
      <c r="V54" s="66" t="e">
        <f t="shared" si="9"/>
        <v>#N/A</v>
      </c>
      <c r="W54" s="66" t="e">
        <f t="shared" si="10"/>
        <v>#N/A</v>
      </c>
      <c r="X54" s="71" t="e">
        <f t="shared" si="11"/>
        <v>#N/A</v>
      </c>
    </row>
    <row r="55" spans="2:24" x14ac:dyDescent="0.2">
      <c r="B55" s="68">
        <v>7.3</v>
      </c>
      <c r="C55" s="68"/>
      <c r="D55" s="68"/>
      <c r="E55" s="68"/>
      <c r="F55" s="68"/>
      <c r="G55" s="69" t="e">
        <f t="shared" si="0"/>
        <v>#N/A</v>
      </c>
      <c r="H55" s="69" t="e">
        <f t="shared" si="1"/>
        <v>#N/A</v>
      </c>
      <c r="I55" s="69" t="e">
        <f t="shared" si="2"/>
        <v>#N/A</v>
      </c>
      <c r="J55" s="69" t="e">
        <f t="shared" si="3"/>
        <v>#N/A</v>
      </c>
      <c r="K55" s="69" t="e">
        <f t="shared" si="4"/>
        <v>#N/A</v>
      </c>
      <c r="L55" s="70" t="e">
        <f t="shared" si="5"/>
        <v>#N/A</v>
      </c>
      <c r="N55" s="105">
        <v>6.3</v>
      </c>
      <c r="O55" s="68"/>
      <c r="P55" s="68"/>
      <c r="Q55" s="68"/>
      <c r="R55" s="68"/>
      <c r="S55" s="69" t="e">
        <f t="shared" si="6"/>
        <v>#N/A</v>
      </c>
      <c r="T55" s="69" t="e">
        <f t="shared" si="7"/>
        <v>#N/A</v>
      </c>
      <c r="U55" s="69" t="e">
        <f t="shared" si="8"/>
        <v>#N/A</v>
      </c>
      <c r="V55" s="69" t="e">
        <f t="shared" si="9"/>
        <v>#N/A</v>
      </c>
      <c r="W55" s="69" t="e">
        <f t="shared" si="10"/>
        <v>#N/A</v>
      </c>
      <c r="X55" s="70" t="e">
        <f t="shared" si="11"/>
        <v>#N/A</v>
      </c>
    </row>
    <row r="56" spans="2:24" x14ac:dyDescent="0.2">
      <c r="B56" s="65">
        <v>7.4</v>
      </c>
      <c r="C56" s="65"/>
      <c r="D56" s="65"/>
      <c r="E56" s="65"/>
      <c r="F56" s="65"/>
      <c r="G56" s="66" t="e">
        <f t="shared" si="0"/>
        <v>#N/A</v>
      </c>
      <c r="H56" s="66" t="e">
        <f t="shared" si="1"/>
        <v>#N/A</v>
      </c>
      <c r="I56" s="66" t="e">
        <f t="shared" si="2"/>
        <v>#N/A</v>
      </c>
      <c r="J56" s="66" t="e">
        <f t="shared" si="3"/>
        <v>#N/A</v>
      </c>
      <c r="K56" s="66" t="e">
        <f t="shared" si="4"/>
        <v>#N/A</v>
      </c>
      <c r="L56" s="71" t="e">
        <f t="shared" si="5"/>
        <v>#N/A</v>
      </c>
      <c r="N56" s="104">
        <v>6.4</v>
      </c>
      <c r="O56" s="65"/>
      <c r="P56" s="65"/>
      <c r="Q56" s="65"/>
      <c r="R56" s="65"/>
      <c r="S56" s="66" t="e">
        <f t="shared" si="6"/>
        <v>#N/A</v>
      </c>
      <c r="T56" s="66" t="e">
        <f t="shared" si="7"/>
        <v>#N/A</v>
      </c>
      <c r="U56" s="66" t="e">
        <f t="shared" si="8"/>
        <v>#N/A</v>
      </c>
      <c r="V56" s="66" t="e">
        <f t="shared" si="9"/>
        <v>#N/A</v>
      </c>
      <c r="W56" s="66" t="e">
        <f t="shared" si="10"/>
        <v>#N/A</v>
      </c>
      <c r="X56" s="71" t="e">
        <f t="shared" si="11"/>
        <v>#N/A</v>
      </c>
    </row>
    <row r="57" spans="2:24" x14ac:dyDescent="0.2">
      <c r="B57" s="68">
        <v>7.5</v>
      </c>
      <c r="C57" s="68"/>
      <c r="D57" s="68"/>
      <c r="E57" s="68"/>
      <c r="F57" s="68"/>
      <c r="G57" s="69" t="e">
        <f t="shared" si="0"/>
        <v>#N/A</v>
      </c>
      <c r="H57" s="69" t="e">
        <f t="shared" si="1"/>
        <v>#N/A</v>
      </c>
      <c r="I57" s="69" t="e">
        <f t="shared" si="2"/>
        <v>#N/A</v>
      </c>
      <c r="J57" s="69" t="e">
        <f t="shared" si="3"/>
        <v>#N/A</v>
      </c>
      <c r="K57" s="69" t="e">
        <f t="shared" si="4"/>
        <v>#N/A</v>
      </c>
      <c r="L57" s="70" t="e">
        <f t="shared" si="5"/>
        <v>#N/A</v>
      </c>
      <c r="N57" s="105">
        <v>6.5</v>
      </c>
      <c r="O57" s="68"/>
      <c r="P57" s="68"/>
      <c r="Q57" s="68"/>
      <c r="R57" s="68"/>
      <c r="S57" s="69" t="e">
        <f t="shared" si="6"/>
        <v>#N/A</v>
      </c>
      <c r="T57" s="69" t="e">
        <f t="shared" si="7"/>
        <v>#N/A</v>
      </c>
      <c r="U57" s="69" t="e">
        <f t="shared" si="8"/>
        <v>#N/A</v>
      </c>
      <c r="V57" s="69" t="e">
        <f t="shared" si="9"/>
        <v>#N/A</v>
      </c>
      <c r="W57" s="69" t="e">
        <f t="shared" si="10"/>
        <v>#N/A</v>
      </c>
      <c r="X57" s="70" t="e">
        <f t="shared" si="11"/>
        <v>#N/A</v>
      </c>
    </row>
    <row r="58" spans="2:24" x14ac:dyDescent="0.2">
      <c r="B58" s="65">
        <v>7.6</v>
      </c>
      <c r="C58" s="65"/>
      <c r="D58" s="65"/>
      <c r="E58" s="65"/>
      <c r="F58" s="65"/>
      <c r="G58" s="66" t="e">
        <f t="shared" si="0"/>
        <v>#N/A</v>
      </c>
      <c r="H58" s="66" t="e">
        <f t="shared" si="1"/>
        <v>#N/A</v>
      </c>
      <c r="I58" s="66" t="e">
        <f t="shared" si="2"/>
        <v>#N/A</v>
      </c>
      <c r="J58" s="66" t="e">
        <f t="shared" si="3"/>
        <v>#N/A</v>
      </c>
      <c r="K58" s="66" t="e">
        <f t="shared" si="4"/>
        <v>#N/A</v>
      </c>
      <c r="L58" s="71" t="e">
        <f t="shared" si="5"/>
        <v>#N/A</v>
      </c>
      <c r="N58" s="104">
        <v>6.6</v>
      </c>
      <c r="O58" s="65"/>
      <c r="P58" s="65"/>
      <c r="Q58" s="65"/>
      <c r="R58" s="65"/>
      <c r="S58" s="66" t="e">
        <f t="shared" si="6"/>
        <v>#N/A</v>
      </c>
      <c r="T58" s="66" t="e">
        <f t="shared" si="7"/>
        <v>#N/A</v>
      </c>
      <c r="U58" s="66" t="e">
        <f t="shared" si="8"/>
        <v>#N/A</v>
      </c>
      <c r="V58" s="66" t="e">
        <f t="shared" si="9"/>
        <v>#N/A</v>
      </c>
      <c r="W58" s="66" t="e">
        <f t="shared" si="10"/>
        <v>#N/A</v>
      </c>
      <c r="X58" s="71" t="e">
        <f t="shared" si="11"/>
        <v>#N/A</v>
      </c>
    </row>
    <row r="59" spans="2:24" x14ac:dyDescent="0.2">
      <c r="B59" s="68">
        <v>7.7</v>
      </c>
      <c r="C59" s="68"/>
      <c r="D59" s="68"/>
      <c r="E59" s="68"/>
      <c r="F59" s="68"/>
      <c r="G59" s="69" t="e">
        <f t="shared" si="0"/>
        <v>#N/A</v>
      </c>
      <c r="H59" s="69" t="e">
        <f t="shared" si="1"/>
        <v>#N/A</v>
      </c>
      <c r="I59" s="69" t="e">
        <f t="shared" si="2"/>
        <v>#N/A</v>
      </c>
      <c r="J59" s="69" t="e">
        <f t="shared" si="3"/>
        <v>#N/A</v>
      </c>
      <c r="K59" s="69" t="e">
        <f t="shared" si="4"/>
        <v>#N/A</v>
      </c>
      <c r="L59" s="70" t="e">
        <f t="shared" si="5"/>
        <v>#N/A</v>
      </c>
      <c r="N59" s="105">
        <v>6.7</v>
      </c>
      <c r="O59" s="68"/>
      <c r="P59" s="68"/>
      <c r="Q59" s="68"/>
      <c r="R59" s="68"/>
      <c r="S59" s="69" t="e">
        <f t="shared" si="6"/>
        <v>#N/A</v>
      </c>
      <c r="T59" s="69" t="e">
        <f t="shared" si="7"/>
        <v>#N/A</v>
      </c>
      <c r="U59" s="69" t="e">
        <f t="shared" si="8"/>
        <v>#N/A</v>
      </c>
      <c r="V59" s="69" t="e">
        <f t="shared" si="9"/>
        <v>#N/A</v>
      </c>
      <c r="W59" s="69" t="e">
        <f t="shared" si="10"/>
        <v>#N/A</v>
      </c>
      <c r="X59" s="70" t="e">
        <f t="shared" si="11"/>
        <v>#N/A</v>
      </c>
    </row>
    <row r="60" spans="2:24" x14ac:dyDescent="0.2">
      <c r="B60" s="65">
        <v>7.8</v>
      </c>
      <c r="C60" s="65"/>
      <c r="D60" s="65"/>
      <c r="E60" s="65"/>
      <c r="F60" s="65"/>
      <c r="G60" s="66" t="e">
        <f t="shared" si="0"/>
        <v>#N/A</v>
      </c>
      <c r="H60" s="66" t="e">
        <f t="shared" si="1"/>
        <v>#N/A</v>
      </c>
      <c r="I60" s="66" t="e">
        <f t="shared" si="2"/>
        <v>#N/A</v>
      </c>
      <c r="J60" s="66" t="e">
        <f t="shared" si="3"/>
        <v>#N/A</v>
      </c>
      <c r="K60" s="66" t="e">
        <f t="shared" si="4"/>
        <v>#N/A</v>
      </c>
      <c r="L60" s="71" t="e">
        <f t="shared" si="5"/>
        <v>#N/A</v>
      </c>
      <c r="N60" s="104">
        <v>7.1</v>
      </c>
      <c r="O60" s="65"/>
      <c r="P60" s="65"/>
      <c r="Q60" s="65"/>
      <c r="R60" s="65"/>
      <c r="S60" s="66" t="e">
        <f t="shared" si="6"/>
        <v>#N/A</v>
      </c>
      <c r="T60" s="66" t="e">
        <f t="shared" si="7"/>
        <v>#N/A</v>
      </c>
      <c r="U60" s="66" t="e">
        <f t="shared" si="8"/>
        <v>#N/A</v>
      </c>
      <c r="V60" s="66" t="e">
        <f t="shared" si="9"/>
        <v>#N/A</v>
      </c>
      <c r="W60" s="66" t="e">
        <f t="shared" si="10"/>
        <v>#N/A</v>
      </c>
      <c r="X60" s="71" t="e">
        <f t="shared" si="11"/>
        <v>#N/A</v>
      </c>
    </row>
    <row r="61" spans="2:24" x14ac:dyDescent="0.2">
      <c r="B61" s="68">
        <v>7.9</v>
      </c>
      <c r="C61" s="68"/>
      <c r="D61" s="68"/>
      <c r="E61" s="68"/>
      <c r="F61" s="68"/>
      <c r="G61" s="69" t="e">
        <f t="shared" si="0"/>
        <v>#N/A</v>
      </c>
      <c r="H61" s="69" t="e">
        <f t="shared" si="1"/>
        <v>#N/A</v>
      </c>
      <c r="I61" s="69" t="e">
        <f t="shared" si="2"/>
        <v>#N/A</v>
      </c>
      <c r="J61" s="69" t="e">
        <f t="shared" si="3"/>
        <v>#N/A</v>
      </c>
      <c r="K61" s="69" t="e">
        <f t="shared" si="4"/>
        <v>#N/A</v>
      </c>
      <c r="L61" s="70" t="e">
        <f t="shared" si="5"/>
        <v>#N/A</v>
      </c>
      <c r="N61" s="105">
        <v>7.2</v>
      </c>
      <c r="O61" s="68"/>
      <c r="P61" s="68"/>
      <c r="Q61" s="68"/>
      <c r="R61" s="68"/>
      <c r="S61" s="69" t="e">
        <f t="shared" si="6"/>
        <v>#N/A</v>
      </c>
      <c r="T61" s="69" t="e">
        <f t="shared" si="7"/>
        <v>#N/A</v>
      </c>
      <c r="U61" s="69" t="e">
        <f t="shared" si="8"/>
        <v>#N/A</v>
      </c>
      <c r="V61" s="69" t="e">
        <f t="shared" si="9"/>
        <v>#N/A</v>
      </c>
      <c r="W61" s="69" t="e">
        <f t="shared" si="10"/>
        <v>#N/A</v>
      </c>
      <c r="X61" s="70" t="e">
        <f t="shared" si="11"/>
        <v>#N/A</v>
      </c>
    </row>
    <row r="62" spans="2:24" x14ac:dyDescent="0.2">
      <c r="B62" s="65">
        <v>8.1</v>
      </c>
      <c r="C62" s="65"/>
      <c r="D62" s="65"/>
      <c r="E62" s="65"/>
      <c r="F62" s="65"/>
      <c r="G62" s="66" t="e">
        <f t="shared" si="0"/>
        <v>#N/A</v>
      </c>
      <c r="H62" s="66" t="e">
        <f t="shared" si="1"/>
        <v>#N/A</v>
      </c>
      <c r="I62" s="66" t="e">
        <f t="shared" si="2"/>
        <v>#N/A</v>
      </c>
      <c r="J62" s="66" t="e">
        <f t="shared" si="3"/>
        <v>#N/A</v>
      </c>
      <c r="K62" s="66" t="e">
        <f t="shared" si="4"/>
        <v>#N/A</v>
      </c>
      <c r="L62" s="71" t="e">
        <f t="shared" si="5"/>
        <v>#N/A</v>
      </c>
      <c r="N62" s="104">
        <v>7.3</v>
      </c>
      <c r="O62" s="65"/>
      <c r="P62" s="65"/>
      <c r="Q62" s="65"/>
      <c r="R62" s="65"/>
      <c r="S62" s="66" t="e">
        <f t="shared" si="6"/>
        <v>#N/A</v>
      </c>
      <c r="T62" s="66" t="e">
        <f t="shared" si="7"/>
        <v>#N/A</v>
      </c>
      <c r="U62" s="66" t="e">
        <f t="shared" si="8"/>
        <v>#N/A</v>
      </c>
      <c r="V62" s="66" t="e">
        <f t="shared" si="9"/>
        <v>#N/A</v>
      </c>
      <c r="W62" s="66" t="e">
        <f t="shared" si="10"/>
        <v>#N/A</v>
      </c>
      <c r="X62" s="71" t="e">
        <f t="shared" si="11"/>
        <v>#N/A</v>
      </c>
    </row>
    <row r="63" spans="2:24" x14ac:dyDescent="0.2">
      <c r="B63" s="68">
        <v>8.1999999999999993</v>
      </c>
      <c r="C63" s="68"/>
      <c r="D63" s="68"/>
      <c r="E63" s="68"/>
      <c r="F63" s="68"/>
      <c r="G63" s="69" t="e">
        <f t="shared" si="0"/>
        <v>#N/A</v>
      </c>
      <c r="H63" s="69" t="e">
        <f t="shared" si="1"/>
        <v>#N/A</v>
      </c>
      <c r="I63" s="69" t="e">
        <f t="shared" si="2"/>
        <v>#N/A</v>
      </c>
      <c r="J63" s="69" t="e">
        <f t="shared" si="3"/>
        <v>#N/A</v>
      </c>
      <c r="K63" s="69" t="e">
        <f t="shared" si="4"/>
        <v>#N/A</v>
      </c>
      <c r="L63" s="70" t="e">
        <f t="shared" si="5"/>
        <v>#N/A</v>
      </c>
      <c r="N63" s="105">
        <v>7.4</v>
      </c>
      <c r="O63" s="68"/>
      <c r="P63" s="68"/>
      <c r="Q63" s="68"/>
      <c r="R63" s="68"/>
      <c r="S63" s="69" t="e">
        <f t="shared" si="6"/>
        <v>#N/A</v>
      </c>
      <c r="T63" s="69" t="e">
        <f t="shared" si="7"/>
        <v>#N/A</v>
      </c>
      <c r="U63" s="69" t="e">
        <f t="shared" si="8"/>
        <v>#N/A</v>
      </c>
      <c r="V63" s="69" t="e">
        <f t="shared" si="9"/>
        <v>#N/A</v>
      </c>
      <c r="W63" s="69" t="e">
        <f t="shared" si="10"/>
        <v>#N/A</v>
      </c>
      <c r="X63" s="70" t="e">
        <f t="shared" si="11"/>
        <v>#N/A</v>
      </c>
    </row>
    <row r="64" spans="2:24" x14ac:dyDescent="0.2">
      <c r="B64" s="65">
        <v>8.3000000000000007</v>
      </c>
      <c r="C64" s="65"/>
      <c r="D64" s="65"/>
      <c r="E64" s="65"/>
      <c r="F64" s="65"/>
      <c r="G64" s="66" t="e">
        <f t="shared" si="0"/>
        <v>#N/A</v>
      </c>
      <c r="H64" s="66" t="e">
        <f t="shared" si="1"/>
        <v>#N/A</v>
      </c>
      <c r="I64" s="66" t="e">
        <f t="shared" si="2"/>
        <v>#N/A</v>
      </c>
      <c r="J64" s="66" t="e">
        <f t="shared" si="3"/>
        <v>#N/A</v>
      </c>
      <c r="K64" s="66" t="e">
        <f t="shared" si="4"/>
        <v>#N/A</v>
      </c>
      <c r="L64" s="71" t="e">
        <f t="shared" si="5"/>
        <v>#N/A</v>
      </c>
      <c r="N64" s="104">
        <v>7.5</v>
      </c>
      <c r="O64" s="65"/>
      <c r="P64" s="65"/>
      <c r="Q64" s="65"/>
      <c r="R64" s="65"/>
      <c r="S64" s="66" t="e">
        <f t="shared" si="6"/>
        <v>#N/A</v>
      </c>
      <c r="T64" s="66" t="e">
        <f t="shared" si="7"/>
        <v>#N/A</v>
      </c>
      <c r="U64" s="66" t="e">
        <f t="shared" si="8"/>
        <v>#N/A</v>
      </c>
      <c r="V64" s="66" t="e">
        <f t="shared" si="9"/>
        <v>#N/A</v>
      </c>
      <c r="W64" s="66" t="e">
        <f t="shared" si="10"/>
        <v>#N/A</v>
      </c>
      <c r="X64" s="71" t="e">
        <f t="shared" si="11"/>
        <v>#N/A</v>
      </c>
    </row>
    <row r="65" spans="2:24" x14ac:dyDescent="0.2">
      <c r="B65" s="68">
        <v>8.4</v>
      </c>
      <c r="C65" s="68"/>
      <c r="D65" s="68"/>
      <c r="E65" s="68"/>
      <c r="F65" s="68"/>
      <c r="G65" s="69" t="e">
        <f t="shared" si="0"/>
        <v>#N/A</v>
      </c>
      <c r="H65" s="69" t="e">
        <f t="shared" si="1"/>
        <v>#N/A</v>
      </c>
      <c r="I65" s="69" t="e">
        <f t="shared" si="2"/>
        <v>#N/A</v>
      </c>
      <c r="J65" s="69" t="e">
        <f t="shared" si="3"/>
        <v>#N/A</v>
      </c>
      <c r="K65" s="69" t="e">
        <f t="shared" si="4"/>
        <v>#N/A</v>
      </c>
      <c r="L65" s="70" t="e">
        <f t="shared" si="5"/>
        <v>#N/A</v>
      </c>
      <c r="N65" s="105">
        <v>7.6</v>
      </c>
      <c r="O65" s="68"/>
      <c r="P65" s="68"/>
      <c r="Q65" s="68"/>
      <c r="R65" s="68"/>
      <c r="S65" s="69" t="e">
        <f t="shared" si="6"/>
        <v>#N/A</v>
      </c>
      <c r="T65" s="69" t="e">
        <f t="shared" si="7"/>
        <v>#N/A</v>
      </c>
      <c r="U65" s="69" t="e">
        <f t="shared" si="8"/>
        <v>#N/A</v>
      </c>
      <c r="V65" s="69" t="e">
        <f t="shared" si="9"/>
        <v>#N/A</v>
      </c>
      <c r="W65" s="69" t="e">
        <f t="shared" si="10"/>
        <v>#N/A</v>
      </c>
      <c r="X65" s="70" t="e">
        <f t="shared" si="11"/>
        <v>#N/A</v>
      </c>
    </row>
    <row r="66" spans="2:24" x14ac:dyDescent="0.2">
      <c r="B66" s="65">
        <v>8.5</v>
      </c>
      <c r="C66" s="65"/>
      <c r="D66" s="65"/>
      <c r="E66" s="65"/>
      <c r="F66" s="65"/>
      <c r="G66" s="66" t="e">
        <f t="shared" si="0"/>
        <v>#N/A</v>
      </c>
      <c r="H66" s="66" t="e">
        <f t="shared" si="1"/>
        <v>#N/A</v>
      </c>
      <c r="I66" s="66" t="e">
        <f t="shared" si="2"/>
        <v>#N/A</v>
      </c>
      <c r="J66" s="66" t="e">
        <f t="shared" si="3"/>
        <v>#N/A</v>
      </c>
      <c r="K66" s="66" t="e">
        <f t="shared" si="4"/>
        <v>#N/A</v>
      </c>
      <c r="L66" s="71" t="e">
        <f t="shared" si="5"/>
        <v>#N/A</v>
      </c>
      <c r="N66" s="104">
        <v>7.7</v>
      </c>
      <c r="O66" s="65"/>
      <c r="P66" s="65"/>
      <c r="Q66" s="65"/>
      <c r="R66" s="65"/>
      <c r="S66" s="66" t="e">
        <f t="shared" si="6"/>
        <v>#N/A</v>
      </c>
      <c r="T66" s="66" t="e">
        <f t="shared" si="7"/>
        <v>#N/A</v>
      </c>
      <c r="U66" s="66" t="e">
        <f t="shared" si="8"/>
        <v>#N/A</v>
      </c>
      <c r="V66" s="66" t="e">
        <f t="shared" si="9"/>
        <v>#N/A</v>
      </c>
      <c r="W66" s="66" t="e">
        <f t="shared" si="10"/>
        <v>#N/A</v>
      </c>
      <c r="X66" s="71" t="e">
        <f t="shared" si="11"/>
        <v>#N/A</v>
      </c>
    </row>
    <row r="67" spans="2:24" x14ac:dyDescent="0.2">
      <c r="B67" s="68">
        <v>8.6</v>
      </c>
      <c r="C67" s="68"/>
      <c r="D67" s="68"/>
      <c r="E67" s="68"/>
      <c r="F67" s="68"/>
      <c r="G67" s="69" t="e">
        <f t="shared" si="0"/>
        <v>#N/A</v>
      </c>
      <c r="H67" s="69" t="e">
        <f t="shared" si="1"/>
        <v>#N/A</v>
      </c>
      <c r="I67" s="69" t="e">
        <f t="shared" si="2"/>
        <v>#N/A</v>
      </c>
      <c r="J67" s="69" t="e">
        <f t="shared" si="3"/>
        <v>#N/A</v>
      </c>
      <c r="K67" s="69" t="e">
        <f t="shared" si="4"/>
        <v>#N/A</v>
      </c>
      <c r="L67" s="70" t="e">
        <f t="shared" si="5"/>
        <v>#N/A</v>
      </c>
      <c r="N67" s="105">
        <v>8.1</v>
      </c>
      <c r="O67" s="68"/>
      <c r="P67" s="68"/>
      <c r="Q67" s="68"/>
      <c r="R67" s="68"/>
      <c r="S67" s="69" t="e">
        <f t="shared" si="6"/>
        <v>#N/A</v>
      </c>
      <c r="T67" s="69" t="e">
        <f t="shared" si="7"/>
        <v>#N/A</v>
      </c>
      <c r="U67" s="69" t="e">
        <f t="shared" si="8"/>
        <v>#N/A</v>
      </c>
      <c r="V67" s="69" t="e">
        <f t="shared" si="9"/>
        <v>#N/A</v>
      </c>
      <c r="W67" s="69" t="e">
        <f t="shared" si="10"/>
        <v>#N/A</v>
      </c>
      <c r="X67" s="70" t="e">
        <f t="shared" si="11"/>
        <v>#N/A</v>
      </c>
    </row>
    <row r="68" spans="2:24" x14ac:dyDescent="0.2">
      <c r="B68" s="65">
        <v>8.6999999999999993</v>
      </c>
      <c r="C68" s="65"/>
      <c r="D68" s="65"/>
      <c r="E68" s="65"/>
      <c r="F68" s="65"/>
      <c r="G68" s="66" t="e">
        <f t="shared" si="0"/>
        <v>#N/A</v>
      </c>
      <c r="H68" s="66" t="e">
        <f t="shared" si="1"/>
        <v>#N/A</v>
      </c>
      <c r="I68" s="66" t="e">
        <f t="shared" si="2"/>
        <v>#N/A</v>
      </c>
      <c r="J68" s="66" t="e">
        <f t="shared" si="3"/>
        <v>#N/A</v>
      </c>
      <c r="K68" s="66" t="e">
        <f t="shared" si="4"/>
        <v>#N/A</v>
      </c>
      <c r="L68" s="71" t="e">
        <f t="shared" si="5"/>
        <v>#N/A</v>
      </c>
      <c r="N68" s="104">
        <v>8.1999999999999993</v>
      </c>
      <c r="O68" s="65"/>
      <c r="P68" s="65"/>
      <c r="Q68" s="65"/>
      <c r="R68" s="65"/>
      <c r="S68" s="66" t="e">
        <f t="shared" si="6"/>
        <v>#N/A</v>
      </c>
      <c r="T68" s="66" t="e">
        <f t="shared" si="7"/>
        <v>#N/A</v>
      </c>
      <c r="U68" s="66" t="e">
        <f t="shared" si="8"/>
        <v>#N/A</v>
      </c>
      <c r="V68" s="66" t="e">
        <f t="shared" si="9"/>
        <v>#N/A</v>
      </c>
      <c r="W68" s="66" t="e">
        <f t="shared" si="10"/>
        <v>#N/A</v>
      </c>
      <c r="X68" s="71" t="e">
        <f t="shared" si="11"/>
        <v>#N/A</v>
      </c>
    </row>
    <row r="69" spans="2:24" x14ac:dyDescent="0.2">
      <c r="B69" s="68">
        <v>8.8000000000000007</v>
      </c>
      <c r="C69" s="68"/>
      <c r="D69" s="68"/>
      <c r="E69" s="68"/>
      <c r="F69" s="68"/>
      <c r="G69" s="69" t="e">
        <f t="shared" si="0"/>
        <v>#N/A</v>
      </c>
      <c r="H69" s="69" t="e">
        <f t="shared" si="1"/>
        <v>#N/A</v>
      </c>
      <c r="I69" s="69" t="e">
        <f t="shared" si="2"/>
        <v>#N/A</v>
      </c>
      <c r="J69" s="69" t="e">
        <f t="shared" si="3"/>
        <v>#N/A</v>
      </c>
      <c r="K69" s="69" t="e">
        <f t="shared" si="4"/>
        <v>#N/A</v>
      </c>
      <c r="L69" s="70" t="e">
        <f t="shared" si="5"/>
        <v>#N/A</v>
      </c>
      <c r="N69" s="105">
        <v>8.3000000000000007</v>
      </c>
      <c r="O69" s="68"/>
      <c r="P69" s="68"/>
      <c r="Q69" s="68"/>
      <c r="R69" s="68"/>
      <c r="S69" s="69" t="e">
        <f t="shared" si="6"/>
        <v>#N/A</v>
      </c>
      <c r="T69" s="69" t="e">
        <f t="shared" si="7"/>
        <v>#N/A</v>
      </c>
      <c r="U69" s="69" t="e">
        <f t="shared" si="8"/>
        <v>#N/A</v>
      </c>
      <c r="V69" s="69" t="e">
        <f t="shared" si="9"/>
        <v>#N/A</v>
      </c>
      <c r="W69" s="69" t="e">
        <f t="shared" si="10"/>
        <v>#N/A</v>
      </c>
      <c r="X69" s="71" t="e">
        <f t="shared" si="11"/>
        <v>#N/A</v>
      </c>
    </row>
    <row r="70" spans="2:24" x14ac:dyDescent="0.2">
      <c r="B70" s="65">
        <v>9.1</v>
      </c>
      <c r="C70" s="65"/>
      <c r="D70" s="65"/>
      <c r="E70" s="65"/>
      <c r="F70" s="65"/>
      <c r="G70" s="66" t="e">
        <f t="shared" si="0"/>
        <v>#N/A</v>
      </c>
      <c r="H70" s="66" t="e">
        <f t="shared" si="1"/>
        <v>#N/A</v>
      </c>
      <c r="I70" s="66" t="e">
        <f t="shared" si="2"/>
        <v>#N/A</v>
      </c>
      <c r="J70" s="66" t="e">
        <f t="shared" si="3"/>
        <v>#N/A</v>
      </c>
      <c r="K70" s="66" t="e">
        <f t="shared" si="4"/>
        <v>#N/A</v>
      </c>
      <c r="L70" s="71" t="e">
        <f t="shared" si="5"/>
        <v>#N/A</v>
      </c>
      <c r="N70" s="104">
        <v>8.4</v>
      </c>
      <c r="O70" s="65"/>
      <c r="P70" s="65"/>
      <c r="Q70" s="65"/>
      <c r="R70" s="65"/>
      <c r="S70" s="66" t="e">
        <f t="shared" si="6"/>
        <v>#N/A</v>
      </c>
      <c r="T70" s="66" t="e">
        <f t="shared" si="7"/>
        <v>#N/A</v>
      </c>
      <c r="U70" s="66" t="e">
        <f t="shared" si="8"/>
        <v>#N/A</v>
      </c>
      <c r="V70" s="66" t="e">
        <f t="shared" si="9"/>
        <v>#N/A</v>
      </c>
      <c r="W70" s="66" t="e">
        <f t="shared" si="10"/>
        <v>#N/A</v>
      </c>
      <c r="X70" s="70" t="e">
        <f t="shared" si="11"/>
        <v>#N/A</v>
      </c>
    </row>
    <row r="71" spans="2:24" x14ac:dyDescent="0.2">
      <c r="B71" s="68">
        <v>9.1999999999999993</v>
      </c>
      <c r="C71" s="68"/>
      <c r="D71" s="68"/>
      <c r="E71" s="68"/>
      <c r="F71" s="68"/>
      <c r="G71" s="69" t="e">
        <f t="shared" si="0"/>
        <v>#N/A</v>
      </c>
      <c r="H71" s="69" t="e">
        <f t="shared" si="1"/>
        <v>#N/A</v>
      </c>
      <c r="I71" s="69" t="e">
        <f t="shared" si="2"/>
        <v>#N/A</v>
      </c>
      <c r="J71" s="69" t="e">
        <f t="shared" si="3"/>
        <v>#N/A</v>
      </c>
      <c r="K71" s="69" t="e">
        <f t="shared" si="4"/>
        <v>#N/A</v>
      </c>
      <c r="L71" s="70" t="e">
        <f t="shared" si="5"/>
        <v>#N/A</v>
      </c>
      <c r="N71" s="105">
        <v>8.5</v>
      </c>
      <c r="O71" s="68"/>
      <c r="P71" s="68"/>
      <c r="Q71" s="68"/>
      <c r="R71" s="68"/>
      <c r="S71" s="69" t="e">
        <f t="shared" si="6"/>
        <v>#N/A</v>
      </c>
      <c r="T71" s="69" t="e">
        <f t="shared" si="7"/>
        <v>#N/A</v>
      </c>
      <c r="U71" s="69" t="e">
        <f t="shared" si="8"/>
        <v>#N/A</v>
      </c>
      <c r="V71" s="69" t="e">
        <f t="shared" si="9"/>
        <v>#N/A</v>
      </c>
      <c r="W71" s="69" t="e">
        <f t="shared" si="10"/>
        <v>#N/A</v>
      </c>
      <c r="X71" s="71" t="e">
        <f t="shared" si="11"/>
        <v>#N/A</v>
      </c>
    </row>
    <row r="72" spans="2:24" x14ac:dyDescent="0.2">
      <c r="B72" s="65">
        <v>9.3000000000000007</v>
      </c>
      <c r="C72" s="65"/>
      <c r="D72" s="65"/>
      <c r="E72" s="65"/>
      <c r="F72" s="65"/>
      <c r="G72" s="66" t="e">
        <f t="shared" si="0"/>
        <v>#N/A</v>
      </c>
      <c r="H72" s="66" t="e">
        <f t="shared" si="1"/>
        <v>#N/A</v>
      </c>
      <c r="I72" s="66" t="e">
        <f t="shared" si="2"/>
        <v>#N/A</v>
      </c>
      <c r="J72" s="66" t="e">
        <f t="shared" si="3"/>
        <v>#N/A</v>
      </c>
      <c r="K72" s="66" t="e">
        <f t="shared" si="4"/>
        <v>#N/A</v>
      </c>
      <c r="L72" s="71" t="e">
        <f t="shared" si="5"/>
        <v>#N/A</v>
      </c>
      <c r="N72" s="104">
        <v>8.6</v>
      </c>
      <c r="O72" s="65"/>
      <c r="P72" s="65"/>
      <c r="Q72" s="65"/>
      <c r="R72" s="65"/>
      <c r="S72" s="66" t="e">
        <f t="shared" si="6"/>
        <v>#N/A</v>
      </c>
      <c r="T72" s="66" t="e">
        <f t="shared" si="7"/>
        <v>#N/A</v>
      </c>
      <c r="U72" s="66" t="e">
        <f t="shared" si="8"/>
        <v>#N/A</v>
      </c>
      <c r="V72" s="66" t="e">
        <f t="shared" si="9"/>
        <v>#N/A</v>
      </c>
      <c r="W72" s="66" t="e">
        <f t="shared" si="10"/>
        <v>#N/A</v>
      </c>
      <c r="X72" s="70" t="e">
        <f t="shared" si="11"/>
        <v>#N/A</v>
      </c>
    </row>
    <row r="73" spans="2:24" x14ac:dyDescent="0.2">
      <c r="B73" s="68">
        <v>9.4</v>
      </c>
      <c r="C73" s="68"/>
      <c r="D73" s="68"/>
      <c r="E73" s="68"/>
      <c r="F73" s="68"/>
      <c r="G73" s="69" t="e">
        <f t="shared" si="0"/>
        <v>#N/A</v>
      </c>
      <c r="H73" s="69" t="e">
        <f t="shared" si="1"/>
        <v>#N/A</v>
      </c>
      <c r="I73" s="69" t="e">
        <f t="shared" si="2"/>
        <v>#N/A</v>
      </c>
      <c r="J73" s="69" t="e">
        <f t="shared" si="3"/>
        <v>#N/A</v>
      </c>
      <c r="K73" s="69" t="e">
        <f t="shared" si="4"/>
        <v>#N/A</v>
      </c>
      <c r="L73" s="70" t="e">
        <f t="shared" si="5"/>
        <v>#N/A</v>
      </c>
      <c r="N73" s="105">
        <v>8.6999999999999993</v>
      </c>
      <c r="O73" s="68"/>
      <c r="P73" s="68"/>
      <c r="Q73" s="68"/>
      <c r="R73" s="68"/>
      <c r="S73" s="69" t="e">
        <f t="shared" si="6"/>
        <v>#N/A</v>
      </c>
      <c r="T73" s="69" t="e">
        <f t="shared" si="7"/>
        <v>#N/A</v>
      </c>
      <c r="U73" s="69" t="e">
        <f t="shared" si="8"/>
        <v>#N/A</v>
      </c>
      <c r="V73" s="69" t="e">
        <f t="shared" si="9"/>
        <v>#N/A</v>
      </c>
      <c r="W73" s="69" t="e">
        <f t="shared" si="10"/>
        <v>#N/A</v>
      </c>
      <c r="X73" s="71" t="e">
        <f t="shared" si="11"/>
        <v>#N/A</v>
      </c>
    </row>
    <row r="74" spans="2:24" x14ac:dyDescent="0.2">
      <c r="B74" s="65">
        <v>10.1</v>
      </c>
      <c r="C74" s="65"/>
      <c r="D74" s="65"/>
      <c r="E74" s="65"/>
      <c r="F74" s="65"/>
      <c r="G74" s="66" t="e">
        <f t="shared" si="0"/>
        <v>#N/A</v>
      </c>
      <c r="H74" s="66" t="e">
        <f t="shared" si="1"/>
        <v>#N/A</v>
      </c>
      <c r="I74" s="66" t="e">
        <f t="shared" si="2"/>
        <v>#N/A</v>
      </c>
      <c r="J74" s="66" t="e">
        <f t="shared" si="3"/>
        <v>#N/A</v>
      </c>
      <c r="K74" s="66" t="e">
        <f t="shared" si="4"/>
        <v>#N/A</v>
      </c>
      <c r="L74" s="71" t="e">
        <f t="shared" si="5"/>
        <v>#N/A</v>
      </c>
      <c r="N74" s="104">
        <v>8.8000000000000007</v>
      </c>
      <c r="O74" s="65"/>
      <c r="P74" s="65"/>
      <c r="Q74" s="65"/>
      <c r="R74" s="65"/>
      <c r="S74" s="66" t="e">
        <f t="shared" si="6"/>
        <v>#N/A</v>
      </c>
      <c r="T74" s="66" t="e">
        <f t="shared" si="7"/>
        <v>#N/A</v>
      </c>
      <c r="U74" s="66" t="e">
        <f t="shared" si="8"/>
        <v>#N/A</v>
      </c>
      <c r="V74" s="66" t="e">
        <f t="shared" si="9"/>
        <v>#N/A</v>
      </c>
      <c r="W74" s="66" t="e">
        <f t="shared" si="10"/>
        <v>#N/A</v>
      </c>
      <c r="X74" s="70" t="e">
        <f t="shared" si="11"/>
        <v>#N/A</v>
      </c>
    </row>
    <row r="75" spans="2:24" x14ac:dyDescent="0.2">
      <c r="B75" s="68">
        <v>10.199999999999999</v>
      </c>
      <c r="C75" s="68"/>
      <c r="D75" s="68"/>
      <c r="E75" s="68"/>
      <c r="F75" s="68"/>
      <c r="G75" s="69" t="e">
        <f t="shared" si="0"/>
        <v>#N/A</v>
      </c>
      <c r="H75" s="69" t="e">
        <f t="shared" si="1"/>
        <v>#N/A</v>
      </c>
      <c r="I75" s="69" t="e">
        <f t="shared" si="2"/>
        <v>#N/A</v>
      </c>
      <c r="J75" s="69" t="e">
        <f t="shared" si="3"/>
        <v>#N/A</v>
      </c>
      <c r="K75" s="69" t="e">
        <f t="shared" si="4"/>
        <v>#N/A</v>
      </c>
      <c r="L75" s="70" t="e">
        <f t="shared" si="5"/>
        <v>#N/A</v>
      </c>
      <c r="N75" s="105">
        <v>8.9</v>
      </c>
      <c r="O75" s="68"/>
      <c r="P75" s="68"/>
      <c r="Q75" s="68"/>
      <c r="R75" s="68"/>
      <c r="S75" s="69" t="e">
        <f t="shared" si="6"/>
        <v>#N/A</v>
      </c>
      <c r="T75" s="69" t="e">
        <f t="shared" si="7"/>
        <v>#N/A</v>
      </c>
      <c r="U75" s="69" t="e">
        <f t="shared" si="8"/>
        <v>#N/A</v>
      </c>
      <c r="V75" s="69" t="e">
        <f t="shared" si="9"/>
        <v>#N/A</v>
      </c>
      <c r="W75" s="69" t="e">
        <f t="shared" si="10"/>
        <v>#N/A</v>
      </c>
      <c r="X75" s="71" t="e">
        <f t="shared" si="11"/>
        <v>#N/A</v>
      </c>
    </row>
    <row r="76" spans="2:24" x14ac:dyDescent="0.2">
      <c r="B76" s="65">
        <v>10.3</v>
      </c>
      <c r="C76" s="65"/>
      <c r="D76" s="65"/>
      <c r="E76" s="65"/>
      <c r="F76" s="65"/>
      <c r="G76" s="66" t="e">
        <f t="shared" si="0"/>
        <v>#N/A</v>
      </c>
      <c r="H76" s="66" t="e">
        <f t="shared" si="1"/>
        <v>#N/A</v>
      </c>
      <c r="I76" s="66" t="e">
        <f t="shared" si="2"/>
        <v>#N/A</v>
      </c>
      <c r="J76" s="66" t="e">
        <f t="shared" si="3"/>
        <v>#N/A</v>
      </c>
      <c r="K76" s="66" t="e">
        <f t="shared" si="4"/>
        <v>#N/A</v>
      </c>
      <c r="L76" s="71" t="e">
        <f t="shared" si="5"/>
        <v>#N/A</v>
      </c>
      <c r="N76" s="127">
        <v>8.1</v>
      </c>
      <c r="O76" s="65"/>
      <c r="P76" s="65"/>
      <c r="Q76" s="65"/>
      <c r="R76" s="65"/>
      <c r="S76" s="66" t="e">
        <f t="shared" si="6"/>
        <v>#N/A</v>
      </c>
      <c r="T76" s="66" t="e">
        <f t="shared" si="7"/>
        <v>#N/A</v>
      </c>
      <c r="U76" s="66" t="e">
        <f t="shared" si="8"/>
        <v>#N/A</v>
      </c>
      <c r="V76" s="66" t="e">
        <f t="shared" si="9"/>
        <v>#N/A</v>
      </c>
      <c r="W76" s="66" t="e">
        <f t="shared" si="10"/>
        <v>#N/A</v>
      </c>
      <c r="X76" s="70" t="e">
        <f t="shared" si="11"/>
        <v>#N/A</v>
      </c>
    </row>
    <row r="77" spans="2:24" x14ac:dyDescent="0.2">
      <c r="B77" s="68">
        <v>10.4</v>
      </c>
      <c r="C77" s="68"/>
      <c r="D77" s="68"/>
      <c r="E77" s="68"/>
      <c r="F77" s="68"/>
      <c r="G77" s="69" t="e">
        <f t="shared" si="0"/>
        <v>#N/A</v>
      </c>
      <c r="H77" s="69" t="e">
        <f t="shared" si="1"/>
        <v>#N/A</v>
      </c>
      <c r="I77" s="69" t="e">
        <f t="shared" si="2"/>
        <v>#N/A</v>
      </c>
      <c r="J77" s="69" t="e">
        <f t="shared" si="3"/>
        <v>#N/A</v>
      </c>
      <c r="K77" s="69" t="e">
        <f t="shared" si="4"/>
        <v>#N/A</v>
      </c>
      <c r="L77" s="70" t="e">
        <f t="shared" si="5"/>
        <v>#N/A</v>
      </c>
      <c r="N77" s="105">
        <v>8.11</v>
      </c>
      <c r="O77" s="68"/>
      <c r="P77" s="68"/>
      <c r="Q77" s="68"/>
      <c r="R77" s="68"/>
      <c r="S77" s="69" t="e">
        <f t="shared" si="6"/>
        <v>#N/A</v>
      </c>
      <c r="T77" s="69" t="e">
        <f t="shared" si="7"/>
        <v>#N/A</v>
      </c>
      <c r="U77" s="69" t="e">
        <f t="shared" si="8"/>
        <v>#N/A</v>
      </c>
      <c r="V77" s="69" t="e">
        <f t="shared" si="9"/>
        <v>#N/A</v>
      </c>
      <c r="W77" s="69" t="e">
        <f t="shared" si="10"/>
        <v>#N/A</v>
      </c>
      <c r="X77" s="71" t="e">
        <f t="shared" si="11"/>
        <v>#N/A</v>
      </c>
    </row>
    <row r="78" spans="2:24" x14ac:dyDescent="0.2">
      <c r="B78" s="65">
        <v>10.5</v>
      </c>
      <c r="C78" s="65"/>
      <c r="D78" s="65"/>
      <c r="E78" s="65"/>
      <c r="F78" s="65"/>
      <c r="G78" s="66" t="e">
        <f t="shared" si="0"/>
        <v>#N/A</v>
      </c>
      <c r="H78" s="66" t="e">
        <f t="shared" si="1"/>
        <v>#N/A</v>
      </c>
      <c r="I78" s="66" t="e">
        <f t="shared" si="2"/>
        <v>#N/A</v>
      </c>
      <c r="J78" s="66" t="e">
        <f t="shared" si="3"/>
        <v>#N/A</v>
      </c>
      <c r="K78" s="66" t="e">
        <f t="shared" si="4"/>
        <v>#N/A</v>
      </c>
      <c r="L78" s="71" t="e">
        <f t="shared" si="5"/>
        <v>#N/A</v>
      </c>
      <c r="N78" s="104">
        <v>9.1</v>
      </c>
      <c r="O78" s="65"/>
      <c r="P78" s="65"/>
      <c r="Q78" s="65"/>
      <c r="R78" s="65"/>
      <c r="S78" s="66" t="e">
        <f t="shared" si="6"/>
        <v>#N/A</v>
      </c>
      <c r="T78" s="66" t="e">
        <f t="shared" si="7"/>
        <v>#N/A</v>
      </c>
      <c r="U78" s="66" t="e">
        <f t="shared" si="8"/>
        <v>#N/A</v>
      </c>
      <c r="V78" s="66" t="e">
        <f t="shared" si="9"/>
        <v>#N/A</v>
      </c>
      <c r="W78" s="66" t="e">
        <f t="shared" si="10"/>
        <v>#N/A</v>
      </c>
      <c r="X78" s="70" t="e">
        <f t="shared" si="11"/>
        <v>#N/A</v>
      </c>
    </row>
    <row r="79" spans="2:24" x14ac:dyDescent="0.2">
      <c r="B79" s="68">
        <v>11.1</v>
      </c>
      <c r="C79" s="68"/>
      <c r="D79" s="68"/>
      <c r="E79" s="68"/>
      <c r="F79" s="68"/>
      <c r="G79" s="69" t="e">
        <f t="shared" ref="G79:G142" si="12">VLOOKUP(C79,$C$4:$G$10,5,FALSE)</f>
        <v>#N/A</v>
      </c>
      <c r="H79" s="69" t="e">
        <f t="shared" ref="H79:H142" si="13">VLOOKUP(D79,$D$4:$G$10,4,FALSE)</f>
        <v>#N/A</v>
      </c>
      <c r="I79" s="69" t="e">
        <f t="shared" ref="I79:I142" si="14">VLOOKUP(E79,$E$4:$G$10,3,FALSE)</f>
        <v>#N/A</v>
      </c>
      <c r="J79" s="69" t="e">
        <f t="shared" ref="J79:J142" si="15">VLOOKUP(F79,$F$4:$G$10,2,FALSE)</f>
        <v>#N/A</v>
      </c>
      <c r="K79" s="69" t="e">
        <f t="shared" ref="K79:K142" si="16">ROUND(AVERAGE(G79:J79),0)</f>
        <v>#N/A</v>
      </c>
      <c r="L79" s="70" t="e">
        <f t="shared" ref="L79:L142" si="17">K79</f>
        <v>#N/A</v>
      </c>
      <c r="N79" s="105">
        <v>9.1999999999999993</v>
      </c>
      <c r="O79" s="68"/>
      <c r="P79" s="68"/>
      <c r="Q79" s="68"/>
      <c r="R79" s="68"/>
      <c r="S79" s="69" t="e">
        <f t="shared" ref="S79:S142" si="18">VLOOKUP(O79,$C$4:$G$10,5,FALSE)</f>
        <v>#N/A</v>
      </c>
      <c r="T79" s="69" t="e">
        <f t="shared" ref="T79:T142" si="19">VLOOKUP(P79,$D$4:$G$10,4,FALSE)</f>
        <v>#N/A</v>
      </c>
      <c r="U79" s="69" t="e">
        <f t="shared" ref="U79:U142" si="20">VLOOKUP(Q79,$E$4:$G$10,3,FALSE)</f>
        <v>#N/A</v>
      </c>
      <c r="V79" s="69" t="e">
        <f t="shared" ref="V79:V142" si="21">VLOOKUP(R79,$F$4:$G$10,2,FALSE)</f>
        <v>#N/A</v>
      </c>
      <c r="W79" s="69" t="e">
        <f t="shared" ref="W79:W142" si="22">ROUND(AVERAGE(S79:V79),0)</f>
        <v>#N/A</v>
      </c>
      <c r="X79" s="71" t="e">
        <f t="shared" ref="X79:X142" si="23">W79</f>
        <v>#N/A</v>
      </c>
    </row>
    <row r="80" spans="2:24" x14ac:dyDescent="0.2">
      <c r="B80" s="65">
        <v>11.2</v>
      </c>
      <c r="C80" s="65"/>
      <c r="D80" s="65"/>
      <c r="E80" s="65"/>
      <c r="F80" s="65"/>
      <c r="G80" s="66" t="e">
        <f t="shared" si="12"/>
        <v>#N/A</v>
      </c>
      <c r="H80" s="66" t="e">
        <f t="shared" si="13"/>
        <v>#N/A</v>
      </c>
      <c r="I80" s="66" t="e">
        <f t="shared" si="14"/>
        <v>#N/A</v>
      </c>
      <c r="J80" s="66" t="e">
        <f t="shared" si="15"/>
        <v>#N/A</v>
      </c>
      <c r="K80" s="66" t="e">
        <f t="shared" si="16"/>
        <v>#N/A</v>
      </c>
      <c r="L80" s="71" t="e">
        <f t="shared" si="17"/>
        <v>#N/A</v>
      </c>
      <c r="N80" s="104">
        <v>9.3000000000000007</v>
      </c>
      <c r="O80" s="65"/>
      <c r="P80" s="65"/>
      <c r="Q80" s="65"/>
      <c r="R80" s="65"/>
      <c r="S80" s="66" t="e">
        <f t="shared" si="18"/>
        <v>#N/A</v>
      </c>
      <c r="T80" s="66" t="e">
        <f t="shared" si="19"/>
        <v>#N/A</v>
      </c>
      <c r="U80" s="66" t="e">
        <f t="shared" si="20"/>
        <v>#N/A</v>
      </c>
      <c r="V80" s="66" t="e">
        <f t="shared" si="21"/>
        <v>#N/A</v>
      </c>
      <c r="W80" s="66" t="e">
        <f t="shared" si="22"/>
        <v>#N/A</v>
      </c>
      <c r="X80" s="70" t="e">
        <f t="shared" si="23"/>
        <v>#N/A</v>
      </c>
    </row>
    <row r="81" spans="2:24" x14ac:dyDescent="0.2">
      <c r="B81" s="68">
        <v>11.3</v>
      </c>
      <c r="C81" s="68"/>
      <c r="D81" s="68"/>
      <c r="E81" s="68"/>
      <c r="F81" s="68"/>
      <c r="G81" s="69" t="e">
        <f t="shared" si="12"/>
        <v>#N/A</v>
      </c>
      <c r="H81" s="69" t="e">
        <f t="shared" si="13"/>
        <v>#N/A</v>
      </c>
      <c r="I81" s="69" t="e">
        <f t="shared" si="14"/>
        <v>#N/A</v>
      </c>
      <c r="J81" s="69" t="e">
        <f t="shared" si="15"/>
        <v>#N/A</v>
      </c>
      <c r="K81" s="69" t="e">
        <f t="shared" si="16"/>
        <v>#N/A</v>
      </c>
      <c r="L81" s="70" t="e">
        <f t="shared" si="17"/>
        <v>#N/A</v>
      </c>
      <c r="N81" s="105">
        <v>9.4</v>
      </c>
      <c r="O81" s="68"/>
      <c r="P81" s="68"/>
      <c r="Q81" s="68"/>
      <c r="R81" s="68"/>
      <c r="S81" s="69" t="e">
        <f t="shared" si="18"/>
        <v>#N/A</v>
      </c>
      <c r="T81" s="69" t="e">
        <f t="shared" si="19"/>
        <v>#N/A</v>
      </c>
      <c r="U81" s="69" t="e">
        <f t="shared" si="20"/>
        <v>#N/A</v>
      </c>
      <c r="V81" s="69" t="e">
        <f t="shared" si="21"/>
        <v>#N/A</v>
      </c>
      <c r="W81" s="69" t="e">
        <f t="shared" si="22"/>
        <v>#N/A</v>
      </c>
      <c r="X81" s="71" t="e">
        <f t="shared" si="23"/>
        <v>#N/A</v>
      </c>
    </row>
    <row r="82" spans="2:24" x14ac:dyDescent="0.2">
      <c r="B82" s="65">
        <v>11.4</v>
      </c>
      <c r="C82" s="65"/>
      <c r="D82" s="65"/>
      <c r="E82" s="65"/>
      <c r="F82" s="65"/>
      <c r="G82" s="66" t="e">
        <f t="shared" si="12"/>
        <v>#N/A</v>
      </c>
      <c r="H82" s="66" t="e">
        <f t="shared" si="13"/>
        <v>#N/A</v>
      </c>
      <c r="I82" s="66" t="e">
        <f t="shared" si="14"/>
        <v>#N/A</v>
      </c>
      <c r="J82" s="66" t="e">
        <f t="shared" si="15"/>
        <v>#N/A</v>
      </c>
      <c r="K82" s="66" t="e">
        <f t="shared" si="16"/>
        <v>#N/A</v>
      </c>
      <c r="L82" s="71" t="e">
        <f t="shared" si="17"/>
        <v>#N/A</v>
      </c>
      <c r="N82" s="104">
        <v>9.5</v>
      </c>
      <c r="O82" s="65"/>
      <c r="P82" s="65"/>
      <c r="Q82" s="65"/>
      <c r="R82" s="65"/>
      <c r="S82" s="66" t="e">
        <f t="shared" si="18"/>
        <v>#N/A</v>
      </c>
      <c r="T82" s="66" t="e">
        <f t="shared" si="19"/>
        <v>#N/A</v>
      </c>
      <c r="U82" s="66" t="e">
        <f t="shared" si="20"/>
        <v>#N/A</v>
      </c>
      <c r="V82" s="66" t="e">
        <f t="shared" si="21"/>
        <v>#N/A</v>
      </c>
      <c r="W82" s="66" t="e">
        <f t="shared" si="22"/>
        <v>#N/A</v>
      </c>
      <c r="X82" s="70" t="e">
        <f t="shared" si="23"/>
        <v>#N/A</v>
      </c>
    </row>
    <row r="83" spans="2:24" x14ac:dyDescent="0.2">
      <c r="B83" s="68">
        <v>11.5</v>
      </c>
      <c r="C83" s="68"/>
      <c r="D83" s="68"/>
      <c r="E83" s="68"/>
      <c r="F83" s="68"/>
      <c r="G83" s="69" t="e">
        <f t="shared" si="12"/>
        <v>#N/A</v>
      </c>
      <c r="H83" s="69" t="e">
        <f t="shared" si="13"/>
        <v>#N/A</v>
      </c>
      <c r="I83" s="69" t="e">
        <f t="shared" si="14"/>
        <v>#N/A</v>
      </c>
      <c r="J83" s="69" t="e">
        <f t="shared" si="15"/>
        <v>#N/A</v>
      </c>
      <c r="K83" s="69" t="e">
        <f t="shared" si="16"/>
        <v>#N/A</v>
      </c>
      <c r="L83" s="70" t="e">
        <f t="shared" si="17"/>
        <v>#N/A</v>
      </c>
      <c r="N83" s="105">
        <v>9.6</v>
      </c>
      <c r="O83" s="68"/>
      <c r="P83" s="68"/>
      <c r="Q83" s="68"/>
      <c r="R83" s="68"/>
      <c r="S83" s="69" t="e">
        <f t="shared" si="18"/>
        <v>#N/A</v>
      </c>
      <c r="T83" s="69" t="e">
        <f t="shared" si="19"/>
        <v>#N/A</v>
      </c>
      <c r="U83" s="69" t="e">
        <f t="shared" si="20"/>
        <v>#N/A</v>
      </c>
      <c r="V83" s="69" t="e">
        <f t="shared" si="21"/>
        <v>#N/A</v>
      </c>
      <c r="W83" s="69" t="e">
        <f t="shared" si="22"/>
        <v>#N/A</v>
      </c>
      <c r="X83" s="71" t="e">
        <f t="shared" si="23"/>
        <v>#N/A</v>
      </c>
    </row>
    <row r="84" spans="2:24" x14ac:dyDescent="0.2">
      <c r="B84" s="65">
        <v>11.6</v>
      </c>
      <c r="C84" s="65"/>
      <c r="D84" s="65"/>
      <c r="E84" s="65"/>
      <c r="F84" s="65"/>
      <c r="G84" s="66" t="e">
        <f t="shared" si="12"/>
        <v>#N/A</v>
      </c>
      <c r="H84" s="66" t="e">
        <f t="shared" si="13"/>
        <v>#N/A</v>
      </c>
      <c r="I84" s="66" t="e">
        <f t="shared" si="14"/>
        <v>#N/A</v>
      </c>
      <c r="J84" s="66" t="e">
        <f t="shared" si="15"/>
        <v>#N/A</v>
      </c>
      <c r="K84" s="66" t="e">
        <f t="shared" si="16"/>
        <v>#N/A</v>
      </c>
      <c r="L84" s="71" t="e">
        <f t="shared" si="17"/>
        <v>#N/A</v>
      </c>
      <c r="N84" s="104">
        <v>10.1</v>
      </c>
      <c r="O84" s="65"/>
      <c r="P84" s="65"/>
      <c r="Q84" s="65"/>
      <c r="R84" s="65"/>
      <c r="S84" s="66" t="e">
        <f t="shared" si="18"/>
        <v>#N/A</v>
      </c>
      <c r="T84" s="66" t="e">
        <f t="shared" si="19"/>
        <v>#N/A</v>
      </c>
      <c r="U84" s="66" t="e">
        <f t="shared" si="20"/>
        <v>#N/A</v>
      </c>
      <c r="V84" s="66" t="e">
        <f t="shared" si="21"/>
        <v>#N/A</v>
      </c>
      <c r="W84" s="66" t="e">
        <f t="shared" si="22"/>
        <v>#N/A</v>
      </c>
      <c r="X84" s="70" t="e">
        <f t="shared" si="23"/>
        <v>#N/A</v>
      </c>
    </row>
    <row r="85" spans="2:24" x14ac:dyDescent="0.2">
      <c r="B85" s="68">
        <v>11.7</v>
      </c>
      <c r="C85" s="68"/>
      <c r="D85" s="68"/>
      <c r="E85" s="68"/>
      <c r="F85" s="68"/>
      <c r="G85" s="69" t="e">
        <f t="shared" si="12"/>
        <v>#N/A</v>
      </c>
      <c r="H85" s="69" t="e">
        <f t="shared" si="13"/>
        <v>#N/A</v>
      </c>
      <c r="I85" s="69" t="e">
        <f t="shared" si="14"/>
        <v>#N/A</v>
      </c>
      <c r="J85" s="69" t="e">
        <f t="shared" si="15"/>
        <v>#N/A</v>
      </c>
      <c r="K85" s="69" t="e">
        <f t="shared" si="16"/>
        <v>#N/A</v>
      </c>
      <c r="L85" s="70" t="e">
        <f t="shared" si="17"/>
        <v>#N/A</v>
      </c>
      <c r="N85" s="105">
        <v>10.199999999999999</v>
      </c>
      <c r="O85" s="68"/>
      <c r="P85" s="68"/>
      <c r="Q85" s="68"/>
      <c r="R85" s="68"/>
      <c r="S85" s="69" t="e">
        <f t="shared" si="18"/>
        <v>#N/A</v>
      </c>
      <c r="T85" s="69" t="e">
        <f t="shared" si="19"/>
        <v>#N/A</v>
      </c>
      <c r="U85" s="69" t="e">
        <f t="shared" si="20"/>
        <v>#N/A</v>
      </c>
      <c r="V85" s="69" t="e">
        <f t="shared" si="21"/>
        <v>#N/A</v>
      </c>
      <c r="W85" s="69" t="e">
        <f t="shared" si="22"/>
        <v>#N/A</v>
      </c>
      <c r="X85" s="71" t="e">
        <f t="shared" si="23"/>
        <v>#N/A</v>
      </c>
    </row>
    <row r="86" spans="2:24" x14ac:dyDescent="0.2">
      <c r="B86" s="65">
        <v>12.1</v>
      </c>
      <c r="C86" s="65"/>
      <c r="D86" s="65"/>
      <c r="E86" s="65"/>
      <c r="F86" s="65"/>
      <c r="G86" s="66" t="e">
        <f t="shared" si="12"/>
        <v>#N/A</v>
      </c>
      <c r="H86" s="66" t="e">
        <f t="shared" si="13"/>
        <v>#N/A</v>
      </c>
      <c r="I86" s="66" t="e">
        <f t="shared" si="14"/>
        <v>#N/A</v>
      </c>
      <c r="J86" s="66" t="e">
        <f t="shared" si="15"/>
        <v>#N/A</v>
      </c>
      <c r="K86" s="66" t="e">
        <f t="shared" si="16"/>
        <v>#N/A</v>
      </c>
      <c r="L86" s="71" t="e">
        <f t="shared" si="17"/>
        <v>#N/A</v>
      </c>
      <c r="N86" s="104">
        <v>10.3</v>
      </c>
      <c r="O86" s="65"/>
      <c r="P86" s="65"/>
      <c r="Q86" s="65"/>
      <c r="R86" s="65"/>
      <c r="S86" s="66" t="e">
        <f t="shared" si="18"/>
        <v>#N/A</v>
      </c>
      <c r="T86" s="66" t="e">
        <f t="shared" si="19"/>
        <v>#N/A</v>
      </c>
      <c r="U86" s="66" t="e">
        <f t="shared" si="20"/>
        <v>#N/A</v>
      </c>
      <c r="V86" s="66" t="e">
        <f t="shared" si="21"/>
        <v>#N/A</v>
      </c>
      <c r="W86" s="66" t="e">
        <f t="shared" si="22"/>
        <v>#N/A</v>
      </c>
      <c r="X86" s="70" t="e">
        <f t="shared" si="23"/>
        <v>#N/A</v>
      </c>
    </row>
    <row r="87" spans="2:24" x14ac:dyDescent="0.2">
      <c r="B87" s="68">
        <v>12.2</v>
      </c>
      <c r="C87" s="68"/>
      <c r="D87" s="68"/>
      <c r="E87" s="68"/>
      <c r="F87" s="68"/>
      <c r="G87" s="69" t="e">
        <f t="shared" si="12"/>
        <v>#N/A</v>
      </c>
      <c r="H87" s="69" t="e">
        <f t="shared" si="13"/>
        <v>#N/A</v>
      </c>
      <c r="I87" s="69" t="e">
        <f t="shared" si="14"/>
        <v>#N/A</v>
      </c>
      <c r="J87" s="69" t="e">
        <f t="shared" si="15"/>
        <v>#N/A</v>
      </c>
      <c r="K87" s="69" t="e">
        <f t="shared" si="16"/>
        <v>#N/A</v>
      </c>
      <c r="L87" s="70" t="e">
        <f t="shared" si="17"/>
        <v>#N/A</v>
      </c>
      <c r="N87" s="105">
        <v>10.4</v>
      </c>
      <c r="O87" s="68"/>
      <c r="P87" s="68"/>
      <c r="Q87" s="68"/>
      <c r="R87" s="68"/>
      <c r="S87" s="69" t="e">
        <f t="shared" si="18"/>
        <v>#N/A</v>
      </c>
      <c r="T87" s="69" t="e">
        <f t="shared" si="19"/>
        <v>#N/A</v>
      </c>
      <c r="U87" s="69" t="e">
        <f t="shared" si="20"/>
        <v>#N/A</v>
      </c>
      <c r="V87" s="69" t="e">
        <f t="shared" si="21"/>
        <v>#N/A</v>
      </c>
      <c r="W87" s="69" t="e">
        <f t="shared" si="22"/>
        <v>#N/A</v>
      </c>
      <c r="X87" s="71" t="e">
        <f t="shared" si="23"/>
        <v>#N/A</v>
      </c>
    </row>
    <row r="88" spans="2:24" x14ac:dyDescent="0.2">
      <c r="B88" s="65">
        <v>12.3</v>
      </c>
      <c r="C88" s="65"/>
      <c r="D88" s="65"/>
      <c r="E88" s="65"/>
      <c r="F88" s="65"/>
      <c r="G88" s="66" t="e">
        <f t="shared" si="12"/>
        <v>#N/A</v>
      </c>
      <c r="H88" s="66" t="e">
        <f t="shared" si="13"/>
        <v>#N/A</v>
      </c>
      <c r="I88" s="66" t="e">
        <f t="shared" si="14"/>
        <v>#N/A</v>
      </c>
      <c r="J88" s="66" t="e">
        <f t="shared" si="15"/>
        <v>#N/A</v>
      </c>
      <c r="K88" s="66" t="e">
        <f t="shared" si="16"/>
        <v>#N/A</v>
      </c>
      <c r="L88" s="71" t="e">
        <f t="shared" si="17"/>
        <v>#N/A</v>
      </c>
      <c r="N88" s="104">
        <v>10.5</v>
      </c>
      <c r="O88" s="65"/>
      <c r="P88" s="65"/>
      <c r="Q88" s="65"/>
      <c r="R88" s="65"/>
      <c r="S88" s="66" t="e">
        <f t="shared" si="18"/>
        <v>#N/A</v>
      </c>
      <c r="T88" s="66" t="e">
        <f t="shared" si="19"/>
        <v>#N/A</v>
      </c>
      <c r="U88" s="66" t="e">
        <f t="shared" si="20"/>
        <v>#N/A</v>
      </c>
      <c r="V88" s="66" t="e">
        <f t="shared" si="21"/>
        <v>#N/A</v>
      </c>
      <c r="W88" s="66" t="e">
        <f t="shared" si="22"/>
        <v>#N/A</v>
      </c>
      <c r="X88" s="70" t="e">
        <f t="shared" si="23"/>
        <v>#N/A</v>
      </c>
    </row>
    <row r="89" spans="2:24" x14ac:dyDescent="0.2">
      <c r="B89" s="68">
        <v>12.4</v>
      </c>
      <c r="C89" s="68"/>
      <c r="D89" s="68"/>
      <c r="E89" s="68"/>
      <c r="F89" s="68"/>
      <c r="G89" s="69" t="e">
        <f t="shared" si="12"/>
        <v>#N/A</v>
      </c>
      <c r="H89" s="69" t="e">
        <f t="shared" si="13"/>
        <v>#N/A</v>
      </c>
      <c r="I89" s="69" t="e">
        <f t="shared" si="14"/>
        <v>#N/A</v>
      </c>
      <c r="J89" s="69" t="e">
        <f t="shared" si="15"/>
        <v>#N/A</v>
      </c>
      <c r="K89" s="69" t="e">
        <f t="shared" si="16"/>
        <v>#N/A</v>
      </c>
      <c r="L89" s="70" t="e">
        <f t="shared" si="17"/>
        <v>#N/A</v>
      </c>
      <c r="N89" s="105">
        <v>10.6</v>
      </c>
      <c r="O89" s="68"/>
      <c r="P89" s="68"/>
      <c r="Q89" s="68"/>
      <c r="R89" s="68"/>
      <c r="S89" s="69" t="e">
        <f t="shared" si="18"/>
        <v>#N/A</v>
      </c>
      <c r="T89" s="69" t="e">
        <f t="shared" si="19"/>
        <v>#N/A</v>
      </c>
      <c r="U89" s="69" t="e">
        <f t="shared" si="20"/>
        <v>#N/A</v>
      </c>
      <c r="V89" s="69" t="e">
        <f t="shared" si="21"/>
        <v>#N/A</v>
      </c>
      <c r="W89" s="69" t="e">
        <f t="shared" si="22"/>
        <v>#N/A</v>
      </c>
      <c r="X89" s="71" t="e">
        <f t="shared" si="23"/>
        <v>#N/A</v>
      </c>
    </row>
    <row r="90" spans="2:24" x14ac:dyDescent="0.2">
      <c r="B90" s="65">
        <v>12.5</v>
      </c>
      <c r="C90" s="65"/>
      <c r="D90" s="65"/>
      <c r="E90" s="65"/>
      <c r="F90" s="65"/>
      <c r="G90" s="66" t="e">
        <f t="shared" si="12"/>
        <v>#N/A</v>
      </c>
      <c r="H90" s="66" t="e">
        <f t="shared" si="13"/>
        <v>#N/A</v>
      </c>
      <c r="I90" s="66" t="e">
        <f t="shared" si="14"/>
        <v>#N/A</v>
      </c>
      <c r="J90" s="66" t="e">
        <f t="shared" si="15"/>
        <v>#N/A</v>
      </c>
      <c r="K90" s="66" t="e">
        <f t="shared" si="16"/>
        <v>#N/A</v>
      </c>
      <c r="L90" s="71" t="e">
        <f t="shared" si="17"/>
        <v>#N/A</v>
      </c>
      <c r="N90" s="104">
        <v>10.7</v>
      </c>
      <c r="O90" s="65"/>
      <c r="P90" s="65"/>
      <c r="Q90" s="65"/>
      <c r="R90" s="65"/>
      <c r="S90" s="66" t="e">
        <f t="shared" si="18"/>
        <v>#N/A</v>
      </c>
      <c r="T90" s="66" t="e">
        <f t="shared" si="19"/>
        <v>#N/A</v>
      </c>
      <c r="U90" s="66" t="e">
        <f t="shared" si="20"/>
        <v>#N/A</v>
      </c>
      <c r="V90" s="66" t="e">
        <f t="shared" si="21"/>
        <v>#N/A</v>
      </c>
      <c r="W90" s="66" t="e">
        <f t="shared" si="22"/>
        <v>#N/A</v>
      </c>
      <c r="X90" s="70" t="e">
        <f t="shared" si="23"/>
        <v>#N/A</v>
      </c>
    </row>
    <row r="91" spans="2:24" x14ac:dyDescent="0.2">
      <c r="B91" s="68">
        <v>12.6</v>
      </c>
      <c r="C91" s="68"/>
      <c r="D91" s="68"/>
      <c r="E91" s="68"/>
      <c r="F91" s="68"/>
      <c r="G91" s="69" t="e">
        <f t="shared" si="12"/>
        <v>#N/A</v>
      </c>
      <c r="H91" s="69" t="e">
        <f t="shared" si="13"/>
        <v>#N/A</v>
      </c>
      <c r="I91" s="69" t="e">
        <f t="shared" si="14"/>
        <v>#N/A</v>
      </c>
      <c r="J91" s="69" t="e">
        <f t="shared" si="15"/>
        <v>#N/A</v>
      </c>
      <c r="K91" s="69" t="e">
        <f t="shared" si="16"/>
        <v>#N/A</v>
      </c>
      <c r="L91" s="70" t="e">
        <f t="shared" si="17"/>
        <v>#N/A</v>
      </c>
      <c r="N91" s="105">
        <v>11.1</v>
      </c>
      <c r="O91" s="68"/>
      <c r="P91" s="68"/>
      <c r="Q91" s="68"/>
      <c r="R91" s="68"/>
      <c r="S91" s="69" t="e">
        <f t="shared" si="18"/>
        <v>#N/A</v>
      </c>
      <c r="T91" s="69" t="e">
        <f t="shared" si="19"/>
        <v>#N/A</v>
      </c>
      <c r="U91" s="69" t="e">
        <f t="shared" si="20"/>
        <v>#N/A</v>
      </c>
      <c r="V91" s="69" t="e">
        <f t="shared" si="21"/>
        <v>#N/A</v>
      </c>
      <c r="W91" s="69" t="e">
        <f t="shared" si="22"/>
        <v>#N/A</v>
      </c>
      <c r="X91" s="71" t="e">
        <f t="shared" si="23"/>
        <v>#N/A</v>
      </c>
    </row>
    <row r="92" spans="2:24" x14ac:dyDescent="0.2">
      <c r="B92" s="65">
        <v>12.8</v>
      </c>
      <c r="C92" s="65"/>
      <c r="D92" s="65"/>
      <c r="E92" s="65"/>
      <c r="F92" s="65"/>
      <c r="G92" s="66" t="e">
        <f t="shared" si="12"/>
        <v>#N/A</v>
      </c>
      <c r="H92" s="66" t="e">
        <f t="shared" si="13"/>
        <v>#N/A</v>
      </c>
      <c r="I92" s="66" t="e">
        <f t="shared" si="14"/>
        <v>#N/A</v>
      </c>
      <c r="J92" s="66" t="e">
        <f t="shared" si="15"/>
        <v>#N/A</v>
      </c>
      <c r="K92" s="66" t="e">
        <f t="shared" si="16"/>
        <v>#N/A</v>
      </c>
      <c r="L92" s="71" t="e">
        <f t="shared" si="17"/>
        <v>#N/A</v>
      </c>
      <c r="N92" s="104">
        <v>11.2</v>
      </c>
      <c r="O92" s="65"/>
      <c r="P92" s="65"/>
      <c r="Q92" s="65"/>
      <c r="R92" s="65"/>
      <c r="S92" s="66" t="e">
        <f t="shared" si="18"/>
        <v>#N/A</v>
      </c>
      <c r="T92" s="66" t="e">
        <f t="shared" si="19"/>
        <v>#N/A</v>
      </c>
      <c r="U92" s="66" t="e">
        <f t="shared" si="20"/>
        <v>#N/A</v>
      </c>
      <c r="V92" s="66" t="e">
        <f t="shared" si="21"/>
        <v>#N/A</v>
      </c>
      <c r="W92" s="66" t="e">
        <f t="shared" si="22"/>
        <v>#N/A</v>
      </c>
      <c r="X92" s="70" t="e">
        <f t="shared" si="23"/>
        <v>#N/A</v>
      </c>
    </row>
    <row r="93" spans="2:24" x14ac:dyDescent="0.2">
      <c r="B93" s="68">
        <v>12.11</v>
      </c>
      <c r="C93" s="68"/>
      <c r="D93" s="68"/>
      <c r="E93" s="68"/>
      <c r="F93" s="68"/>
      <c r="G93" s="69" t="e">
        <f t="shared" si="12"/>
        <v>#N/A</v>
      </c>
      <c r="H93" s="69" t="e">
        <f t="shared" si="13"/>
        <v>#N/A</v>
      </c>
      <c r="I93" s="69" t="e">
        <f t="shared" si="14"/>
        <v>#N/A</v>
      </c>
      <c r="J93" s="69" t="e">
        <f t="shared" si="15"/>
        <v>#N/A</v>
      </c>
      <c r="K93" s="69" t="e">
        <f t="shared" si="16"/>
        <v>#N/A</v>
      </c>
      <c r="L93" s="70" t="e">
        <f t="shared" si="17"/>
        <v>#N/A</v>
      </c>
      <c r="N93" s="105">
        <v>11.3</v>
      </c>
      <c r="O93" s="68"/>
      <c r="P93" s="68"/>
      <c r="Q93" s="68"/>
      <c r="R93" s="68"/>
      <c r="S93" s="69" t="e">
        <f t="shared" si="18"/>
        <v>#N/A</v>
      </c>
      <c r="T93" s="69" t="e">
        <f t="shared" si="19"/>
        <v>#N/A</v>
      </c>
      <c r="U93" s="69" t="e">
        <f t="shared" si="20"/>
        <v>#N/A</v>
      </c>
      <c r="V93" s="69" t="e">
        <f t="shared" si="21"/>
        <v>#N/A</v>
      </c>
      <c r="W93" s="69" t="e">
        <f t="shared" si="22"/>
        <v>#N/A</v>
      </c>
      <c r="X93" s="71" t="e">
        <f t="shared" si="23"/>
        <v>#N/A</v>
      </c>
    </row>
    <row r="94" spans="2:24" x14ac:dyDescent="0.2">
      <c r="B94" s="65">
        <v>13.1</v>
      </c>
      <c r="C94" s="65"/>
      <c r="D94" s="65"/>
      <c r="E94" s="65"/>
      <c r="F94" s="65"/>
      <c r="G94" s="66" t="e">
        <f t="shared" si="12"/>
        <v>#N/A</v>
      </c>
      <c r="H94" s="66" t="e">
        <f t="shared" si="13"/>
        <v>#N/A</v>
      </c>
      <c r="I94" s="66" t="e">
        <f t="shared" si="14"/>
        <v>#N/A</v>
      </c>
      <c r="J94" s="66" t="e">
        <f t="shared" si="15"/>
        <v>#N/A</v>
      </c>
      <c r="K94" s="66" t="e">
        <f t="shared" si="16"/>
        <v>#N/A</v>
      </c>
      <c r="L94" s="71" t="e">
        <f t="shared" si="17"/>
        <v>#N/A</v>
      </c>
      <c r="N94" s="104">
        <v>11.4</v>
      </c>
      <c r="O94" s="65"/>
      <c r="P94" s="65"/>
      <c r="Q94" s="65"/>
      <c r="R94" s="65"/>
      <c r="S94" s="66" t="e">
        <f t="shared" si="18"/>
        <v>#N/A</v>
      </c>
      <c r="T94" s="66" t="e">
        <f t="shared" si="19"/>
        <v>#N/A</v>
      </c>
      <c r="U94" s="66" t="e">
        <f t="shared" si="20"/>
        <v>#N/A</v>
      </c>
      <c r="V94" s="66" t="e">
        <f t="shared" si="21"/>
        <v>#N/A</v>
      </c>
      <c r="W94" s="66" t="e">
        <f t="shared" si="22"/>
        <v>#N/A</v>
      </c>
      <c r="X94" s="70" t="e">
        <f t="shared" si="23"/>
        <v>#N/A</v>
      </c>
    </row>
    <row r="95" spans="2:24" x14ac:dyDescent="0.2">
      <c r="B95" s="68">
        <v>13.2</v>
      </c>
      <c r="C95" s="68"/>
      <c r="D95" s="68"/>
      <c r="E95" s="68"/>
      <c r="F95" s="68"/>
      <c r="G95" s="69" t="e">
        <f t="shared" si="12"/>
        <v>#N/A</v>
      </c>
      <c r="H95" s="69" t="e">
        <f t="shared" si="13"/>
        <v>#N/A</v>
      </c>
      <c r="I95" s="69" t="e">
        <f t="shared" si="14"/>
        <v>#N/A</v>
      </c>
      <c r="J95" s="69" t="e">
        <f t="shared" si="15"/>
        <v>#N/A</v>
      </c>
      <c r="K95" s="69" t="e">
        <f t="shared" si="16"/>
        <v>#N/A</v>
      </c>
      <c r="L95" s="70" t="e">
        <f t="shared" si="17"/>
        <v>#N/A</v>
      </c>
      <c r="N95" s="105">
        <v>11.5</v>
      </c>
      <c r="O95" s="68"/>
      <c r="P95" s="68"/>
      <c r="Q95" s="68"/>
      <c r="R95" s="68"/>
      <c r="S95" s="69" t="e">
        <f t="shared" si="18"/>
        <v>#N/A</v>
      </c>
      <c r="T95" s="69" t="e">
        <f t="shared" si="19"/>
        <v>#N/A</v>
      </c>
      <c r="U95" s="69" t="e">
        <f t="shared" si="20"/>
        <v>#N/A</v>
      </c>
      <c r="V95" s="69" t="e">
        <f t="shared" si="21"/>
        <v>#N/A</v>
      </c>
      <c r="W95" s="69" t="e">
        <f t="shared" si="22"/>
        <v>#N/A</v>
      </c>
      <c r="X95" s="71" t="e">
        <f t="shared" si="23"/>
        <v>#N/A</v>
      </c>
    </row>
    <row r="96" spans="2:24" x14ac:dyDescent="0.2">
      <c r="B96" s="65">
        <v>13.4</v>
      </c>
      <c r="C96" s="65"/>
      <c r="D96" s="65"/>
      <c r="E96" s="65"/>
      <c r="F96" s="65"/>
      <c r="G96" s="66" t="e">
        <f t="shared" si="12"/>
        <v>#N/A</v>
      </c>
      <c r="H96" s="66" t="e">
        <f t="shared" si="13"/>
        <v>#N/A</v>
      </c>
      <c r="I96" s="66" t="e">
        <f t="shared" si="14"/>
        <v>#N/A</v>
      </c>
      <c r="J96" s="66" t="e">
        <f t="shared" si="15"/>
        <v>#N/A</v>
      </c>
      <c r="K96" s="66" t="e">
        <f t="shared" si="16"/>
        <v>#N/A</v>
      </c>
      <c r="L96" s="71" t="e">
        <f t="shared" si="17"/>
        <v>#N/A</v>
      </c>
      <c r="N96" s="104">
        <v>12.1</v>
      </c>
      <c r="O96" s="65"/>
      <c r="P96" s="65"/>
      <c r="Q96" s="65"/>
      <c r="R96" s="65"/>
      <c r="S96" s="66" t="e">
        <f t="shared" si="18"/>
        <v>#N/A</v>
      </c>
      <c r="T96" s="66" t="e">
        <f t="shared" si="19"/>
        <v>#N/A</v>
      </c>
      <c r="U96" s="66" t="e">
        <f t="shared" si="20"/>
        <v>#N/A</v>
      </c>
      <c r="V96" s="66" t="e">
        <f t="shared" si="21"/>
        <v>#N/A</v>
      </c>
      <c r="W96" s="66" t="e">
        <f t="shared" si="22"/>
        <v>#N/A</v>
      </c>
      <c r="X96" s="70" t="e">
        <f t="shared" si="23"/>
        <v>#N/A</v>
      </c>
    </row>
    <row r="97" spans="2:24" x14ac:dyDescent="0.2">
      <c r="B97" s="68">
        <v>13.6</v>
      </c>
      <c r="C97" s="68"/>
      <c r="D97" s="68"/>
      <c r="E97" s="68"/>
      <c r="F97" s="68"/>
      <c r="G97" s="69" t="e">
        <f t="shared" si="12"/>
        <v>#N/A</v>
      </c>
      <c r="H97" s="69" t="e">
        <f t="shared" si="13"/>
        <v>#N/A</v>
      </c>
      <c r="I97" s="69" t="e">
        <f t="shared" si="14"/>
        <v>#N/A</v>
      </c>
      <c r="J97" s="69" t="e">
        <f t="shared" si="15"/>
        <v>#N/A</v>
      </c>
      <c r="K97" s="69" t="e">
        <f t="shared" si="16"/>
        <v>#N/A</v>
      </c>
      <c r="L97" s="70" t="e">
        <f t="shared" si="17"/>
        <v>#N/A</v>
      </c>
      <c r="N97" s="105">
        <v>12.2</v>
      </c>
      <c r="O97" s="68"/>
      <c r="P97" s="68"/>
      <c r="Q97" s="68"/>
      <c r="R97" s="68"/>
      <c r="S97" s="69" t="e">
        <f t="shared" si="18"/>
        <v>#N/A</v>
      </c>
      <c r="T97" s="69" t="e">
        <f t="shared" si="19"/>
        <v>#N/A</v>
      </c>
      <c r="U97" s="69" t="e">
        <f t="shared" si="20"/>
        <v>#N/A</v>
      </c>
      <c r="V97" s="69" t="e">
        <f t="shared" si="21"/>
        <v>#N/A</v>
      </c>
      <c r="W97" s="69" t="e">
        <f t="shared" si="22"/>
        <v>#N/A</v>
      </c>
      <c r="X97" s="71" t="e">
        <f t="shared" si="23"/>
        <v>#N/A</v>
      </c>
    </row>
    <row r="98" spans="2:24" x14ac:dyDescent="0.2">
      <c r="B98" s="65">
        <v>13.7</v>
      </c>
      <c r="C98" s="65"/>
      <c r="D98" s="65"/>
      <c r="E98" s="65"/>
      <c r="F98" s="65"/>
      <c r="G98" s="66" t="e">
        <f t="shared" si="12"/>
        <v>#N/A</v>
      </c>
      <c r="H98" s="66" t="e">
        <f t="shared" si="13"/>
        <v>#N/A</v>
      </c>
      <c r="I98" s="66" t="e">
        <f t="shared" si="14"/>
        <v>#N/A</v>
      </c>
      <c r="J98" s="66" t="e">
        <f t="shared" si="15"/>
        <v>#N/A</v>
      </c>
      <c r="K98" s="66" t="e">
        <f t="shared" si="16"/>
        <v>#N/A</v>
      </c>
      <c r="L98" s="71" t="e">
        <f t="shared" si="17"/>
        <v>#N/A</v>
      </c>
      <c r="N98" s="104">
        <v>12.3</v>
      </c>
      <c r="O98" s="65"/>
      <c r="P98" s="65"/>
      <c r="Q98" s="65"/>
      <c r="R98" s="65"/>
      <c r="S98" s="66" t="e">
        <f t="shared" si="18"/>
        <v>#N/A</v>
      </c>
      <c r="T98" s="66" t="e">
        <f t="shared" si="19"/>
        <v>#N/A</v>
      </c>
      <c r="U98" s="66" t="e">
        <f t="shared" si="20"/>
        <v>#N/A</v>
      </c>
      <c r="V98" s="66" t="e">
        <f t="shared" si="21"/>
        <v>#N/A</v>
      </c>
      <c r="W98" s="66" t="e">
        <f t="shared" si="22"/>
        <v>#N/A</v>
      </c>
      <c r="X98" s="70" t="e">
        <f t="shared" si="23"/>
        <v>#N/A</v>
      </c>
    </row>
    <row r="99" spans="2:24" x14ac:dyDescent="0.2">
      <c r="B99" s="68">
        <v>14.1</v>
      </c>
      <c r="C99" s="68"/>
      <c r="D99" s="68"/>
      <c r="E99" s="68"/>
      <c r="F99" s="68"/>
      <c r="G99" s="69" t="e">
        <f t="shared" si="12"/>
        <v>#N/A</v>
      </c>
      <c r="H99" s="69" t="e">
        <f t="shared" si="13"/>
        <v>#N/A</v>
      </c>
      <c r="I99" s="69" t="e">
        <f t="shared" si="14"/>
        <v>#N/A</v>
      </c>
      <c r="J99" s="69" t="e">
        <f t="shared" si="15"/>
        <v>#N/A</v>
      </c>
      <c r="K99" s="69" t="e">
        <f t="shared" si="16"/>
        <v>#N/A</v>
      </c>
      <c r="L99" s="70" t="e">
        <f t="shared" si="17"/>
        <v>#N/A</v>
      </c>
      <c r="N99" s="105">
        <v>12.4</v>
      </c>
      <c r="O99" s="68"/>
      <c r="P99" s="68"/>
      <c r="Q99" s="68"/>
      <c r="R99" s="68"/>
      <c r="S99" s="69" t="e">
        <f t="shared" si="18"/>
        <v>#N/A</v>
      </c>
      <c r="T99" s="69" t="e">
        <f t="shared" si="19"/>
        <v>#N/A</v>
      </c>
      <c r="U99" s="69" t="e">
        <f t="shared" si="20"/>
        <v>#N/A</v>
      </c>
      <c r="V99" s="69" t="e">
        <f t="shared" si="21"/>
        <v>#N/A</v>
      </c>
      <c r="W99" s="69" t="e">
        <f t="shared" si="22"/>
        <v>#N/A</v>
      </c>
      <c r="X99" s="71" t="e">
        <f t="shared" si="23"/>
        <v>#N/A</v>
      </c>
    </row>
    <row r="100" spans="2:24" x14ac:dyDescent="0.2">
      <c r="B100" s="65">
        <v>14.2</v>
      </c>
      <c r="C100" s="65"/>
      <c r="D100" s="65"/>
      <c r="E100" s="65"/>
      <c r="F100" s="65"/>
      <c r="G100" s="66" t="e">
        <f t="shared" si="12"/>
        <v>#N/A</v>
      </c>
      <c r="H100" s="66" t="e">
        <f t="shared" si="13"/>
        <v>#N/A</v>
      </c>
      <c r="I100" s="66" t="e">
        <f t="shared" si="14"/>
        <v>#N/A</v>
      </c>
      <c r="J100" s="66" t="e">
        <f t="shared" si="15"/>
        <v>#N/A</v>
      </c>
      <c r="K100" s="66" t="e">
        <f t="shared" si="16"/>
        <v>#N/A</v>
      </c>
      <c r="L100" s="71" t="e">
        <f t="shared" si="17"/>
        <v>#N/A</v>
      </c>
      <c r="N100" s="104">
        <v>12.5</v>
      </c>
      <c r="O100" s="65"/>
      <c r="P100" s="65"/>
      <c r="Q100" s="65"/>
      <c r="R100" s="65"/>
      <c r="S100" s="66" t="e">
        <f t="shared" si="18"/>
        <v>#N/A</v>
      </c>
      <c r="T100" s="66" t="e">
        <f t="shared" si="19"/>
        <v>#N/A</v>
      </c>
      <c r="U100" s="66" t="e">
        <f t="shared" si="20"/>
        <v>#N/A</v>
      </c>
      <c r="V100" s="66" t="e">
        <f t="shared" si="21"/>
        <v>#N/A</v>
      </c>
      <c r="W100" s="66" t="e">
        <f t="shared" si="22"/>
        <v>#N/A</v>
      </c>
      <c r="X100" s="70" t="e">
        <f t="shared" si="23"/>
        <v>#N/A</v>
      </c>
    </row>
    <row r="101" spans="2:24" x14ac:dyDescent="0.2">
      <c r="B101" s="68">
        <v>14.3</v>
      </c>
      <c r="C101" s="68"/>
      <c r="D101" s="68"/>
      <c r="E101" s="68"/>
      <c r="F101" s="68"/>
      <c r="G101" s="69" t="e">
        <f t="shared" si="12"/>
        <v>#N/A</v>
      </c>
      <c r="H101" s="69" t="e">
        <f t="shared" si="13"/>
        <v>#N/A</v>
      </c>
      <c r="I101" s="69" t="e">
        <f t="shared" si="14"/>
        <v>#N/A</v>
      </c>
      <c r="J101" s="69" t="e">
        <f t="shared" si="15"/>
        <v>#N/A</v>
      </c>
      <c r="K101" s="69" t="e">
        <f t="shared" si="16"/>
        <v>#N/A</v>
      </c>
      <c r="L101" s="70" t="e">
        <f t="shared" si="17"/>
        <v>#N/A</v>
      </c>
      <c r="N101" s="105">
        <v>12.6</v>
      </c>
      <c r="O101" s="68"/>
      <c r="P101" s="68"/>
      <c r="Q101" s="68"/>
      <c r="R101" s="68"/>
      <c r="S101" s="69" t="e">
        <f t="shared" si="18"/>
        <v>#N/A</v>
      </c>
      <c r="T101" s="69" t="e">
        <f t="shared" si="19"/>
        <v>#N/A</v>
      </c>
      <c r="U101" s="69" t="e">
        <f t="shared" si="20"/>
        <v>#N/A</v>
      </c>
      <c r="V101" s="69" t="e">
        <f t="shared" si="21"/>
        <v>#N/A</v>
      </c>
      <c r="W101" s="69" t="e">
        <f t="shared" si="22"/>
        <v>#N/A</v>
      </c>
      <c r="X101" s="71" t="e">
        <f t="shared" si="23"/>
        <v>#N/A</v>
      </c>
    </row>
    <row r="102" spans="2:24" x14ac:dyDescent="0.2">
      <c r="B102" s="65">
        <v>14.4</v>
      </c>
      <c r="C102" s="65"/>
      <c r="D102" s="65"/>
      <c r="E102" s="65"/>
      <c r="F102" s="65"/>
      <c r="G102" s="66" t="e">
        <f t="shared" si="12"/>
        <v>#N/A</v>
      </c>
      <c r="H102" s="66" t="e">
        <f t="shared" si="13"/>
        <v>#N/A</v>
      </c>
      <c r="I102" s="66" t="e">
        <f t="shared" si="14"/>
        <v>#N/A</v>
      </c>
      <c r="J102" s="66" t="e">
        <f t="shared" si="15"/>
        <v>#N/A</v>
      </c>
      <c r="K102" s="66" t="e">
        <f t="shared" si="16"/>
        <v>#N/A</v>
      </c>
      <c r="L102" s="71" t="e">
        <f t="shared" si="17"/>
        <v>#N/A</v>
      </c>
      <c r="N102" s="104">
        <v>12.7</v>
      </c>
      <c r="O102" s="65"/>
      <c r="P102" s="65"/>
      <c r="Q102" s="65"/>
      <c r="R102" s="65"/>
      <c r="S102" s="66" t="e">
        <f t="shared" si="18"/>
        <v>#N/A</v>
      </c>
      <c r="T102" s="66" t="e">
        <f t="shared" si="19"/>
        <v>#N/A</v>
      </c>
      <c r="U102" s="66" t="e">
        <f t="shared" si="20"/>
        <v>#N/A</v>
      </c>
      <c r="V102" s="66" t="e">
        <f t="shared" si="21"/>
        <v>#N/A</v>
      </c>
      <c r="W102" s="66" t="e">
        <f t="shared" si="22"/>
        <v>#N/A</v>
      </c>
      <c r="X102" s="70" t="e">
        <f t="shared" si="23"/>
        <v>#N/A</v>
      </c>
    </row>
    <row r="103" spans="2:24" x14ac:dyDescent="0.2">
      <c r="B103" s="68">
        <v>14.6</v>
      </c>
      <c r="C103" s="68"/>
      <c r="D103" s="68"/>
      <c r="E103" s="68"/>
      <c r="F103" s="68"/>
      <c r="G103" s="69" t="e">
        <f t="shared" si="12"/>
        <v>#N/A</v>
      </c>
      <c r="H103" s="69" t="e">
        <f t="shared" si="13"/>
        <v>#N/A</v>
      </c>
      <c r="I103" s="69" t="e">
        <f t="shared" si="14"/>
        <v>#N/A</v>
      </c>
      <c r="J103" s="69" t="e">
        <f t="shared" si="15"/>
        <v>#N/A</v>
      </c>
      <c r="K103" s="69" t="e">
        <f t="shared" si="16"/>
        <v>#N/A</v>
      </c>
      <c r="L103" s="70" t="e">
        <f t="shared" si="17"/>
        <v>#N/A</v>
      </c>
      <c r="N103" s="105">
        <v>13.1</v>
      </c>
      <c r="O103" s="68"/>
      <c r="P103" s="68"/>
      <c r="Q103" s="68"/>
      <c r="R103" s="68"/>
      <c r="S103" s="69" t="e">
        <f t="shared" si="18"/>
        <v>#N/A</v>
      </c>
      <c r="T103" s="69" t="e">
        <f t="shared" si="19"/>
        <v>#N/A</v>
      </c>
      <c r="U103" s="69" t="e">
        <f t="shared" si="20"/>
        <v>#N/A</v>
      </c>
      <c r="V103" s="69" t="e">
        <f t="shared" si="21"/>
        <v>#N/A</v>
      </c>
      <c r="W103" s="69" t="e">
        <f t="shared" si="22"/>
        <v>#N/A</v>
      </c>
      <c r="X103" s="71" t="e">
        <f t="shared" si="23"/>
        <v>#N/A</v>
      </c>
    </row>
    <row r="104" spans="2:24" x14ac:dyDescent="0.2">
      <c r="B104" s="65">
        <v>15.1</v>
      </c>
      <c r="C104" s="65"/>
      <c r="D104" s="65"/>
      <c r="E104" s="65"/>
      <c r="F104" s="65"/>
      <c r="G104" s="66" t="e">
        <f t="shared" si="12"/>
        <v>#N/A</v>
      </c>
      <c r="H104" s="66" t="e">
        <f t="shared" si="13"/>
        <v>#N/A</v>
      </c>
      <c r="I104" s="66" t="e">
        <f t="shared" si="14"/>
        <v>#N/A</v>
      </c>
      <c r="J104" s="66" t="e">
        <f t="shared" si="15"/>
        <v>#N/A</v>
      </c>
      <c r="K104" s="66" t="e">
        <f t="shared" si="16"/>
        <v>#N/A</v>
      </c>
      <c r="L104" s="71" t="e">
        <f t="shared" si="17"/>
        <v>#N/A</v>
      </c>
      <c r="N104" s="104">
        <v>13.2</v>
      </c>
      <c r="O104" s="65"/>
      <c r="P104" s="65"/>
      <c r="Q104" s="65"/>
      <c r="R104" s="65"/>
      <c r="S104" s="66" t="e">
        <f t="shared" si="18"/>
        <v>#N/A</v>
      </c>
      <c r="T104" s="66" t="e">
        <f t="shared" si="19"/>
        <v>#N/A</v>
      </c>
      <c r="U104" s="66" t="e">
        <f t="shared" si="20"/>
        <v>#N/A</v>
      </c>
      <c r="V104" s="66" t="e">
        <f t="shared" si="21"/>
        <v>#N/A</v>
      </c>
      <c r="W104" s="66" t="e">
        <f t="shared" si="22"/>
        <v>#N/A</v>
      </c>
      <c r="X104" s="70" t="e">
        <f t="shared" si="23"/>
        <v>#N/A</v>
      </c>
    </row>
    <row r="105" spans="2:24" x14ac:dyDescent="0.2">
      <c r="B105" s="68">
        <v>15.2</v>
      </c>
      <c r="C105" s="68"/>
      <c r="D105" s="68"/>
      <c r="E105" s="68"/>
      <c r="F105" s="68"/>
      <c r="G105" s="69" t="e">
        <f t="shared" si="12"/>
        <v>#N/A</v>
      </c>
      <c r="H105" s="69" t="e">
        <f t="shared" si="13"/>
        <v>#N/A</v>
      </c>
      <c r="I105" s="69" t="e">
        <f t="shared" si="14"/>
        <v>#N/A</v>
      </c>
      <c r="J105" s="69" t="e">
        <f t="shared" si="15"/>
        <v>#N/A</v>
      </c>
      <c r="K105" s="69" t="e">
        <f t="shared" si="16"/>
        <v>#N/A</v>
      </c>
      <c r="L105" s="70" t="e">
        <f t="shared" si="17"/>
        <v>#N/A</v>
      </c>
      <c r="N105" s="105">
        <v>13.3</v>
      </c>
      <c r="O105" s="68"/>
      <c r="P105" s="68"/>
      <c r="Q105" s="68"/>
      <c r="R105" s="68"/>
      <c r="S105" s="69" t="e">
        <f t="shared" si="18"/>
        <v>#N/A</v>
      </c>
      <c r="T105" s="69" t="e">
        <f t="shared" si="19"/>
        <v>#N/A</v>
      </c>
      <c r="U105" s="69" t="e">
        <f t="shared" si="20"/>
        <v>#N/A</v>
      </c>
      <c r="V105" s="69" t="e">
        <f t="shared" si="21"/>
        <v>#N/A</v>
      </c>
      <c r="W105" s="69" t="e">
        <f t="shared" si="22"/>
        <v>#N/A</v>
      </c>
      <c r="X105" s="71" t="e">
        <f t="shared" si="23"/>
        <v>#N/A</v>
      </c>
    </row>
    <row r="106" spans="2:24" x14ac:dyDescent="0.2">
      <c r="B106" s="65">
        <v>15.3</v>
      </c>
      <c r="C106" s="65"/>
      <c r="D106" s="65"/>
      <c r="E106" s="65"/>
      <c r="F106" s="65"/>
      <c r="G106" s="66" t="e">
        <f t="shared" si="12"/>
        <v>#N/A</v>
      </c>
      <c r="H106" s="66" t="e">
        <f t="shared" si="13"/>
        <v>#N/A</v>
      </c>
      <c r="I106" s="66" t="e">
        <f t="shared" si="14"/>
        <v>#N/A</v>
      </c>
      <c r="J106" s="66" t="e">
        <f t="shared" si="15"/>
        <v>#N/A</v>
      </c>
      <c r="K106" s="66" t="e">
        <f t="shared" si="16"/>
        <v>#N/A</v>
      </c>
      <c r="L106" s="71" t="e">
        <f t="shared" si="17"/>
        <v>#N/A</v>
      </c>
      <c r="N106" s="104">
        <v>13.4</v>
      </c>
      <c r="O106" s="65"/>
      <c r="P106" s="65"/>
      <c r="Q106" s="65"/>
      <c r="R106" s="65"/>
      <c r="S106" s="66" t="e">
        <f t="shared" si="18"/>
        <v>#N/A</v>
      </c>
      <c r="T106" s="66" t="e">
        <f t="shared" si="19"/>
        <v>#N/A</v>
      </c>
      <c r="U106" s="66" t="e">
        <f t="shared" si="20"/>
        <v>#N/A</v>
      </c>
      <c r="V106" s="66" t="e">
        <f t="shared" si="21"/>
        <v>#N/A</v>
      </c>
      <c r="W106" s="66" t="e">
        <f t="shared" si="22"/>
        <v>#N/A</v>
      </c>
      <c r="X106" s="70" t="e">
        <f t="shared" si="23"/>
        <v>#N/A</v>
      </c>
    </row>
    <row r="107" spans="2:24" x14ac:dyDescent="0.2">
      <c r="B107" s="68">
        <v>15.6</v>
      </c>
      <c r="C107" s="68"/>
      <c r="D107" s="68"/>
      <c r="E107" s="68"/>
      <c r="F107" s="68"/>
      <c r="G107" s="69" t="e">
        <f t="shared" si="12"/>
        <v>#N/A</v>
      </c>
      <c r="H107" s="69" t="e">
        <f t="shared" si="13"/>
        <v>#N/A</v>
      </c>
      <c r="I107" s="69" t="e">
        <f t="shared" si="14"/>
        <v>#N/A</v>
      </c>
      <c r="J107" s="69" t="e">
        <f t="shared" si="15"/>
        <v>#N/A</v>
      </c>
      <c r="K107" s="69" t="e">
        <f t="shared" si="16"/>
        <v>#N/A</v>
      </c>
      <c r="L107" s="70" t="e">
        <f t="shared" si="17"/>
        <v>#N/A</v>
      </c>
      <c r="N107" s="105">
        <v>13.5</v>
      </c>
      <c r="O107" s="68"/>
      <c r="P107" s="68"/>
      <c r="Q107" s="68"/>
      <c r="R107" s="68"/>
      <c r="S107" s="69" t="e">
        <f t="shared" si="18"/>
        <v>#N/A</v>
      </c>
      <c r="T107" s="69" t="e">
        <f t="shared" si="19"/>
        <v>#N/A</v>
      </c>
      <c r="U107" s="69" t="e">
        <f t="shared" si="20"/>
        <v>#N/A</v>
      </c>
      <c r="V107" s="69" t="e">
        <f t="shared" si="21"/>
        <v>#N/A</v>
      </c>
      <c r="W107" s="69" t="e">
        <f t="shared" si="22"/>
        <v>#N/A</v>
      </c>
      <c r="X107" s="71" t="e">
        <f t="shared" si="23"/>
        <v>#N/A</v>
      </c>
    </row>
    <row r="108" spans="2:24" x14ac:dyDescent="0.2">
      <c r="B108" s="65">
        <v>15.7</v>
      </c>
      <c r="C108" s="65"/>
      <c r="D108" s="65"/>
      <c r="E108" s="65"/>
      <c r="F108" s="65"/>
      <c r="G108" s="66" t="e">
        <f t="shared" si="12"/>
        <v>#N/A</v>
      </c>
      <c r="H108" s="66" t="e">
        <f t="shared" si="13"/>
        <v>#N/A</v>
      </c>
      <c r="I108" s="66" t="e">
        <f t="shared" si="14"/>
        <v>#N/A</v>
      </c>
      <c r="J108" s="66" t="e">
        <f t="shared" si="15"/>
        <v>#N/A</v>
      </c>
      <c r="K108" s="66" t="e">
        <f t="shared" si="16"/>
        <v>#N/A</v>
      </c>
      <c r="L108" s="71" t="e">
        <f t="shared" si="17"/>
        <v>#N/A</v>
      </c>
      <c r="N108" s="104">
        <v>13.6</v>
      </c>
      <c r="O108" s="65"/>
      <c r="P108" s="65"/>
      <c r="Q108" s="65"/>
      <c r="R108" s="65"/>
      <c r="S108" s="66" t="e">
        <f t="shared" si="18"/>
        <v>#N/A</v>
      </c>
      <c r="T108" s="66" t="e">
        <f t="shared" si="19"/>
        <v>#N/A</v>
      </c>
      <c r="U108" s="66" t="e">
        <f t="shared" si="20"/>
        <v>#N/A</v>
      </c>
      <c r="V108" s="66" t="e">
        <f t="shared" si="21"/>
        <v>#N/A</v>
      </c>
      <c r="W108" s="66" t="e">
        <f t="shared" si="22"/>
        <v>#N/A</v>
      </c>
      <c r="X108" s="70" t="e">
        <f t="shared" si="23"/>
        <v>#N/A</v>
      </c>
    </row>
    <row r="109" spans="2:24" x14ac:dyDescent="0.2">
      <c r="B109" s="68">
        <v>15.9</v>
      </c>
      <c r="C109" s="68"/>
      <c r="D109" s="68"/>
      <c r="E109" s="68"/>
      <c r="F109" s="68"/>
      <c r="G109" s="69" t="e">
        <f t="shared" si="12"/>
        <v>#N/A</v>
      </c>
      <c r="H109" s="69" t="e">
        <f t="shared" si="13"/>
        <v>#N/A</v>
      </c>
      <c r="I109" s="69" t="e">
        <f t="shared" si="14"/>
        <v>#N/A</v>
      </c>
      <c r="J109" s="69" t="e">
        <f t="shared" si="15"/>
        <v>#N/A</v>
      </c>
      <c r="K109" s="69" t="e">
        <f t="shared" si="16"/>
        <v>#N/A</v>
      </c>
      <c r="L109" s="70" t="e">
        <f t="shared" si="17"/>
        <v>#N/A</v>
      </c>
      <c r="N109" s="105">
        <v>14.1</v>
      </c>
      <c r="O109" s="68"/>
      <c r="P109" s="68"/>
      <c r="Q109" s="68"/>
      <c r="R109" s="68"/>
      <c r="S109" s="69" t="e">
        <f t="shared" si="18"/>
        <v>#N/A</v>
      </c>
      <c r="T109" s="69" t="e">
        <f t="shared" si="19"/>
        <v>#N/A</v>
      </c>
      <c r="U109" s="69" t="e">
        <f t="shared" si="20"/>
        <v>#N/A</v>
      </c>
      <c r="V109" s="69" t="e">
        <f t="shared" si="21"/>
        <v>#N/A</v>
      </c>
      <c r="W109" s="69" t="e">
        <f t="shared" si="22"/>
        <v>#N/A</v>
      </c>
      <c r="X109" s="71" t="e">
        <f t="shared" si="23"/>
        <v>#N/A</v>
      </c>
    </row>
    <row r="110" spans="2:24" x14ac:dyDescent="0.2">
      <c r="B110" s="65" t="s">
        <v>545</v>
      </c>
      <c r="C110" s="65"/>
      <c r="D110" s="65"/>
      <c r="E110" s="65"/>
      <c r="F110" s="65"/>
      <c r="G110" s="66" t="e">
        <f t="shared" si="12"/>
        <v>#N/A</v>
      </c>
      <c r="H110" s="66" t="e">
        <f t="shared" si="13"/>
        <v>#N/A</v>
      </c>
      <c r="I110" s="66" t="e">
        <f t="shared" si="14"/>
        <v>#N/A</v>
      </c>
      <c r="J110" s="66" t="e">
        <f t="shared" si="15"/>
        <v>#N/A</v>
      </c>
      <c r="K110" s="66" t="e">
        <f t="shared" si="16"/>
        <v>#N/A</v>
      </c>
      <c r="L110" s="71" t="e">
        <f t="shared" si="17"/>
        <v>#N/A</v>
      </c>
      <c r="N110" s="104">
        <v>14.2</v>
      </c>
      <c r="O110" s="65"/>
      <c r="P110" s="65"/>
      <c r="Q110" s="65"/>
      <c r="R110" s="65"/>
      <c r="S110" s="66" t="e">
        <f t="shared" si="18"/>
        <v>#N/A</v>
      </c>
      <c r="T110" s="66" t="e">
        <f t="shared" si="19"/>
        <v>#N/A</v>
      </c>
      <c r="U110" s="66" t="e">
        <f t="shared" si="20"/>
        <v>#N/A</v>
      </c>
      <c r="V110" s="66" t="e">
        <f t="shared" si="21"/>
        <v>#N/A</v>
      </c>
      <c r="W110" s="66" t="e">
        <f t="shared" si="22"/>
        <v>#N/A</v>
      </c>
      <c r="X110" s="70" t="e">
        <f t="shared" si="23"/>
        <v>#N/A</v>
      </c>
    </row>
    <row r="111" spans="2:24" x14ac:dyDescent="0.2">
      <c r="B111" s="68">
        <v>16.100000000000001</v>
      </c>
      <c r="C111" s="68"/>
      <c r="D111" s="68"/>
      <c r="E111" s="68"/>
      <c r="F111" s="68"/>
      <c r="G111" s="69" t="e">
        <f t="shared" si="12"/>
        <v>#N/A</v>
      </c>
      <c r="H111" s="69" t="e">
        <f t="shared" si="13"/>
        <v>#N/A</v>
      </c>
      <c r="I111" s="69" t="e">
        <f t="shared" si="14"/>
        <v>#N/A</v>
      </c>
      <c r="J111" s="69" t="e">
        <f t="shared" si="15"/>
        <v>#N/A</v>
      </c>
      <c r="K111" s="69" t="e">
        <f t="shared" si="16"/>
        <v>#N/A</v>
      </c>
      <c r="L111" s="70" t="e">
        <f t="shared" si="17"/>
        <v>#N/A</v>
      </c>
      <c r="N111" s="105">
        <v>14.3</v>
      </c>
      <c r="O111" s="68"/>
      <c r="P111" s="68"/>
      <c r="Q111" s="68"/>
      <c r="R111" s="68"/>
      <c r="S111" s="69" t="e">
        <f t="shared" si="18"/>
        <v>#N/A</v>
      </c>
      <c r="T111" s="69" t="e">
        <f t="shared" si="19"/>
        <v>#N/A</v>
      </c>
      <c r="U111" s="69" t="e">
        <f t="shared" si="20"/>
        <v>#N/A</v>
      </c>
      <c r="V111" s="69" t="e">
        <f t="shared" si="21"/>
        <v>#N/A</v>
      </c>
      <c r="W111" s="69" t="e">
        <f t="shared" si="22"/>
        <v>#N/A</v>
      </c>
      <c r="X111" s="71" t="e">
        <f t="shared" si="23"/>
        <v>#N/A</v>
      </c>
    </row>
    <row r="112" spans="2:24" x14ac:dyDescent="0.2">
      <c r="B112" s="65">
        <v>16.2</v>
      </c>
      <c r="C112" s="65"/>
      <c r="D112" s="65"/>
      <c r="E112" s="65"/>
      <c r="F112" s="65"/>
      <c r="G112" s="66" t="e">
        <f t="shared" si="12"/>
        <v>#N/A</v>
      </c>
      <c r="H112" s="66" t="e">
        <f t="shared" si="13"/>
        <v>#N/A</v>
      </c>
      <c r="I112" s="66" t="e">
        <f t="shared" si="14"/>
        <v>#N/A</v>
      </c>
      <c r="J112" s="66" t="e">
        <f t="shared" si="15"/>
        <v>#N/A</v>
      </c>
      <c r="K112" s="66" t="e">
        <f t="shared" si="16"/>
        <v>#N/A</v>
      </c>
      <c r="L112" s="71" t="e">
        <f t="shared" si="17"/>
        <v>#N/A</v>
      </c>
      <c r="N112" s="104">
        <v>14.4</v>
      </c>
      <c r="O112" s="65"/>
      <c r="P112" s="65"/>
      <c r="Q112" s="65"/>
      <c r="R112" s="65"/>
      <c r="S112" s="66" t="e">
        <f t="shared" si="18"/>
        <v>#N/A</v>
      </c>
      <c r="T112" s="66" t="e">
        <f t="shared" si="19"/>
        <v>#N/A</v>
      </c>
      <c r="U112" s="66" t="e">
        <f t="shared" si="20"/>
        <v>#N/A</v>
      </c>
      <c r="V112" s="66" t="e">
        <f t="shared" si="21"/>
        <v>#N/A</v>
      </c>
      <c r="W112" s="66" t="e">
        <f t="shared" si="22"/>
        <v>#N/A</v>
      </c>
      <c r="X112" s="70" t="e">
        <f t="shared" si="23"/>
        <v>#N/A</v>
      </c>
    </row>
    <row r="113" spans="2:24" x14ac:dyDescent="0.2">
      <c r="B113" s="68">
        <v>16.3</v>
      </c>
      <c r="C113" s="68"/>
      <c r="D113" s="68"/>
      <c r="E113" s="68"/>
      <c r="F113" s="68"/>
      <c r="G113" s="69" t="e">
        <f t="shared" si="12"/>
        <v>#N/A</v>
      </c>
      <c r="H113" s="69" t="e">
        <f t="shared" si="13"/>
        <v>#N/A</v>
      </c>
      <c r="I113" s="69" t="e">
        <f t="shared" si="14"/>
        <v>#N/A</v>
      </c>
      <c r="J113" s="69" t="e">
        <f t="shared" si="15"/>
        <v>#N/A</v>
      </c>
      <c r="K113" s="69" t="e">
        <f t="shared" si="16"/>
        <v>#N/A</v>
      </c>
      <c r="L113" s="70" t="e">
        <f t="shared" si="17"/>
        <v>#N/A</v>
      </c>
      <c r="N113" s="105">
        <v>14.5</v>
      </c>
      <c r="O113" s="68"/>
      <c r="P113" s="68"/>
      <c r="Q113" s="68"/>
      <c r="R113" s="68"/>
      <c r="S113" s="69" t="e">
        <f t="shared" si="18"/>
        <v>#N/A</v>
      </c>
      <c r="T113" s="69" t="e">
        <f t="shared" si="19"/>
        <v>#N/A</v>
      </c>
      <c r="U113" s="69" t="e">
        <f t="shared" si="20"/>
        <v>#N/A</v>
      </c>
      <c r="V113" s="69" t="e">
        <f t="shared" si="21"/>
        <v>#N/A</v>
      </c>
      <c r="W113" s="69" t="e">
        <f t="shared" si="22"/>
        <v>#N/A</v>
      </c>
      <c r="X113" s="71" t="e">
        <f t="shared" si="23"/>
        <v>#N/A</v>
      </c>
    </row>
    <row r="114" spans="2:24" x14ac:dyDescent="0.2">
      <c r="B114" s="65">
        <v>16.399999999999999</v>
      </c>
      <c r="C114" s="65"/>
      <c r="D114" s="65"/>
      <c r="E114" s="65"/>
      <c r="F114" s="65"/>
      <c r="G114" s="66" t="e">
        <f t="shared" si="12"/>
        <v>#N/A</v>
      </c>
      <c r="H114" s="66" t="e">
        <f t="shared" si="13"/>
        <v>#N/A</v>
      </c>
      <c r="I114" s="66" t="e">
        <f t="shared" si="14"/>
        <v>#N/A</v>
      </c>
      <c r="J114" s="66" t="e">
        <f t="shared" si="15"/>
        <v>#N/A</v>
      </c>
      <c r="K114" s="66" t="e">
        <f t="shared" si="16"/>
        <v>#N/A</v>
      </c>
      <c r="L114" s="71" t="e">
        <f t="shared" si="17"/>
        <v>#N/A</v>
      </c>
      <c r="N114" s="104">
        <v>14.6</v>
      </c>
      <c r="O114" s="65"/>
      <c r="P114" s="65"/>
      <c r="Q114" s="65"/>
      <c r="R114" s="65"/>
      <c r="S114" s="66" t="e">
        <f t="shared" si="18"/>
        <v>#N/A</v>
      </c>
      <c r="T114" s="66" t="e">
        <f t="shared" si="19"/>
        <v>#N/A</v>
      </c>
      <c r="U114" s="66" t="e">
        <f t="shared" si="20"/>
        <v>#N/A</v>
      </c>
      <c r="V114" s="66" t="e">
        <f t="shared" si="21"/>
        <v>#N/A</v>
      </c>
      <c r="W114" s="66" t="e">
        <f t="shared" si="22"/>
        <v>#N/A</v>
      </c>
      <c r="X114" s="70" t="e">
        <f t="shared" si="23"/>
        <v>#N/A</v>
      </c>
    </row>
    <row r="115" spans="2:24" x14ac:dyDescent="0.2">
      <c r="B115" s="68">
        <v>16.5</v>
      </c>
      <c r="C115" s="68"/>
      <c r="D115" s="68"/>
      <c r="E115" s="68"/>
      <c r="F115" s="68"/>
      <c r="G115" s="69" t="e">
        <f t="shared" si="12"/>
        <v>#N/A</v>
      </c>
      <c r="H115" s="69" t="e">
        <f t="shared" si="13"/>
        <v>#N/A</v>
      </c>
      <c r="I115" s="69" t="e">
        <f t="shared" si="14"/>
        <v>#N/A</v>
      </c>
      <c r="J115" s="69" t="e">
        <f t="shared" si="15"/>
        <v>#N/A</v>
      </c>
      <c r="K115" s="69" t="e">
        <f t="shared" si="16"/>
        <v>#N/A</v>
      </c>
      <c r="L115" s="70" t="e">
        <f t="shared" si="17"/>
        <v>#N/A</v>
      </c>
      <c r="N115" s="105">
        <v>14.7</v>
      </c>
      <c r="O115" s="68"/>
      <c r="P115" s="68"/>
      <c r="Q115" s="68"/>
      <c r="R115" s="68"/>
      <c r="S115" s="69" t="e">
        <f t="shared" si="18"/>
        <v>#N/A</v>
      </c>
      <c r="T115" s="69" t="e">
        <f t="shared" si="19"/>
        <v>#N/A</v>
      </c>
      <c r="U115" s="69" t="e">
        <f t="shared" si="20"/>
        <v>#N/A</v>
      </c>
      <c r="V115" s="69" t="e">
        <f t="shared" si="21"/>
        <v>#N/A</v>
      </c>
      <c r="W115" s="69" t="e">
        <f t="shared" si="22"/>
        <v>#N/A</v>
      </c>
      <c r="X115" s="71" t="e">
        <f t="shared" si="23"/>
        <v>#N/A</v>
      </c>
    </row>
    <row r="116" spans="2:24" x14ac:dyDescent="0.2">
      <c r="B116" s="65">
        <v>16.600000000000001</v>
      </c>
      <c r="C116" s="65"/>
      <c r="D116" s="65"/>
      <c r="E116" s="65"/>
      <c r="F116" s="65"/>
      <c r="G116" s="66" t="e">
        <f t="shared" si="12"/>
        <v>#N/A</v>
      </c>
      <c r="H116" s="66" t="e">
        <f t="shared" si="13"/>
        <v>#N/A</v>
      </c>
      <c r="I116" s="66" t="e">
        <f t="shared" si="14"/>
        <v>#N/A</v>
      </c>
      <c r="J116" s="66" t="e">
        <f t="shared" si="15"/>
        <v>#N/A</v>
      </c>
      <c r="K116" s="66" t="e">
        <f t="shared" si="16"/>
        <v>#N/A</v>
      </c>
      <c r="L116" s="71" t="e">
        <f t="shared" si="17"/>
        <v>#N/A</v>
      </c>
      <c r="N116" s="104">
        <v>14.8</v>
      </c>
      <c r="O116" s="65"/>
      <c r="P116" s="65"/>
      <c r="Q116" s="65"/>
      <c r="R116" s="65"/>
      <c r="S116" s="66" t="e">
        <f t="shared" si="18"/>
        <v>#N/A</v>
      </c>
      <c r="T116" s="66" t="e">
        <f t="shared" si="19"/>
        <v>#N/A</v>
      </c>
      <c r="U116" s="66" t="e">
        <f t="shared" si="20"/>
        <v>#N/A</v>
      </c>
      <c r="V116" s="66" t="e">
        <f t="shared" si="21"/>
        <v>#N/A</v>
      </c>
      <c r="W116" s="66" t="e">
        <f t="shared" si="22"/>
        <v>#N/A</v>
      </c>
      <c r="X116" s="70" t="e">
        <f t="shared" si="23"/>
        <v>#N/A</v>
      </c>
    </row>
    <row r="117" spans="2:24" x14ac:dyDescent="0.2">
      <c r="B117" s="68">
        <v>16.7</v>
      </c>
      <c r="C117" s="68"/>
      <c r="D117" s="68"/>
      <c r="E117" s="68"/>
      <c r="F117" s="68"/>
      <c r="G117" s="69" t="e">
        <f t="shared" si="12"/>
        <v>#N/A</v>
      </c>
      <c r="H117" s="69" t="e">
        <f t="shared" si="13"/>
        <v>#N/A</v>
      </c>
      <c r="I117" s="69" t="e">
        <f t="shared" si="14"/>
        <v>#N/A</v>
      </c>
      <c r="J117" s="69" t="e">
        <f t="shared" si="15"/>
        <v>#N/A</v>
      </c>
      <c r="K117" s="69" t="e">
        <f t="shared" si="16"/>
        <v>#N/A</v>
      </c>
      <c r="L117" s="70" t="e">
        <f t="shared" si="17"/>
        <v>#N/A</v>
      </c>
      <c r="N117" s="105">
        <v>14.9</v>
      </c>
      <c r="O117" s="68"/>
      <c r="P117" s="68"/>
      <c r="Q117" s="68"/>
      <c r="R117" s="68"/>
      <c r="S117" s="69" t="e">
        <f t="shared" si="18"/>
        <v>#N/A</v>
      </c>
      <c r="T117" s="69" t="e">
        <f t="shared" si="19"/>
        <v>#N/A</v>
      </c>
      <c r="U117" s="69" t="e">
        <f t="shared" si="20"/>
        <v>#N/A</v>
      </c>
      <c r="V117" s="69" t="e">
        <f t="shared" si="21"/>
        <v>#N/A</v>
      </c>
      <c r="W117" s="69" t="e">
        <f t="shared" si="22"/>
        <v>#N/A</v>
      </c>
      <c r="X117" s="71" t="e">
        <f t="shared" si="23"/>
        <v>#N/A</v>
      </c>
    </row>
    <row r="118" spans="2:24" x14ac:dyDescent="0.2">
      <c r="B118" s="65">
        <v>16.8</v>
      </c>
      <c r="C118" s="65"/>
      <c r="D118" s="65"/>
      <c r="E118" s="65"/>
      <c r="F118" s="65"/>
      <c r="G118" s="66" t="e">
        <f t="shared" si="12"/>
        <v>#N/A</v>
      </c>
      <c r="H118" s="66" t="e">
        <f t="shared" si="13"/>
        <v>#N/A</v>
      </c>
      <c r="I118" s="66" t="e">
        <f t="shared" si="14"/>
        <v>#N/A</v>
      </c>
      <c r="J118" s="66" t="e">
        <f t="shared" si="15"/>
        <v>#N/A</v>
      </c>
      <c r="K118" s="66" t="e">
        <f t="shared" si="16"/>
        <v>#N/A</v>
      </c>
      <c r="L118" s="71" t="e">
        <f t="shared" si="17"/>
        <v>#N/A</v>
      </c>
      <c r="N118" s="104">
        <v>15.1</v>
      </c>
      <c r="O118" s="65"/>
      <c r="P118" s="65"/>
      <c r="Q118" s="65"/>
      <c r="R118" s="65"/>
      <c r="S118" s="66" t="e">
        <f t="shared" si="18"/>
        <v>#N/A</v>
      </c>
      <c r="T118" s="66" t="e">
        <f t="shared" si="19"/>
        <v>#N/A</v>
      </c>
      <c r="U118" s="66" t="e">
        <f t="shared" si="20"/>
        <v>#N/A</v>
      </c>
      <c r="V118" s="66" t="e">
        <f t="shared" si="21"/>
        <v>#N/A</v>
      </c>
      <c r="W118" s="66" t="e">
        <f t="shared" si="22"/>
        <v>#N/A</v>
      </c>
      <c r="X118" s="70" t="e">
        <f t="shared" si="23"/>
        <v>#N/A</v>
      </c>
    </row>
    <row r="119" spans="2:24" x14ac:dyDescent="0.2">
      <c r="B119" s="68">
        <v>16.899999999999999</v>
      </c>
      <c r="C119" s="68"/>
      <c r="D119" s="68"/>
      <c r="E119" s="68"/>
      <c r="F119" s="68"/>
      <c r="G119" s="69" t="e">
        <f t="shared" si="12"/>
        <v>#N/A</v>
      </c>
      <c r="H119" s="69" t="e">
        <f t="shared" si="13"/>
        <v>#N/A</v>
      </c>
      <c r="I119" s="69" t="e">
        <f t="shared" si="14"/>
        <v>#N/A</v>
      </c>
      <c r="J119" s="69" t="e">
        <f t="shared" si="15"/>
        <v>#N/A</v>
      </c>
      <c r="K119" s="69" t="e">
        <f t="shared" si="16"/>
        <v>#N/A</v>
      </c>
      <c r="L119" s="70" t="e">
        <f t="shared" si="17"/>
        <v>#N/A</v>
      </c>
      <c r="N119" s="105">
        <v>15.2</v>
      </c>
      <c r="O119" s="68"/>
      <c r="P119" s="68"/>
      <c r="Q119" s="68"/>
      <c r="R119" s="68"/>
      <c r="S119" s="69" t="e">
        <f t="shared" si="18"/>
        <v>#N/A</v>
      </c>
      <c r="T119" s="69" t="e">
        <f t="shared" si="19"/>
        <v>#N/A</v>
      </c>
      <c r="U119" s="69" t="e">
        <f t="shared" si="20"/>
        <v>#N/A</v>
      </c>
      <c r="V119" s="69" t="e">
        <f t="shared" si="21"/>
        <v>#N/A</v>
      </c>
      <c r="W119" s="69" t="e">
        <f t="shared" si="22"/>
        <v>#N/A</v>
      </c>
      <c r="X119" s="71" t="e">
        <f t="shared" si="23"/>
        <v>#N/A</v>
      </c>
    </row>
    <row r="120" spans="2:24" x14ac:dyDescent="0.2">
      <c r="B120" s="65" t="s">
        <v>546</v>
      </c>
      <c r="C120" s="65"/>
      <c r="D120" s="65"/>
      <c r="E120" s="65"/>
      <c r="F120" s="65"/>
      <c r="G120" s="66" t="e">
        <f t="shared" si="12"/>
        <v>#N/A</v>
      </c>
      <c r="H120" s="66" t="e">
        <f t="shared" si="13"/>
        <v>#N/A</v>
      </c>
      <c r="I120" s="66" t="e">
        <f t="shared" si="14"/>
        <v>#N/A</v>
      </c>
      <c r="J120" s="66" t="e">
        <f t="shared" si="15"/>
        <v>#N/A</v>
      </c>
      <c r="K120" s="66" t="e">
        <f t="shared" si="16"/>
        <v>#N/A</v>
      </c>
      <c r="L120" s="71" t="e">
        <f t="shared" si="17"/>
        <v>#N/A</v>
      </c>
      <c r="M120" s="56"/>
      <c r="N120" s="104">
        <v>15.3</v>
      </c>
      <c r="O120" s="65"/>
      <c r="P120" s="65"/>
      <c r="Q120" s="65"/>
      <c r="R120" s="65"/>
      <c r="S120" s="66" t="e">
        <f t="shared" si="18"/>
        <v>#N/A</v>
      </c>
      <c r="T120" s="66" t="e">
        <f t="shared" si="19"/>
        <v>#N/A</v>
      </c>
      <c r="U120" s="66" t="e">
        <f t="shared" si="20"/>
        <v>#N/A</v>
      </c>
      <c r="V120" s="66" t="e">
        <f t="shared" si="21"/>
        <v>#N/A</v>
      </c>
      <c r="W120" s="66" t="e">
        <f t="shared" si="22"/>
        <v>#N/A</v>
      </c>
      <c r="X120" s="70" t="e">
        <f t="shared" si="23"/>
        <v>#N/A</v>
      </c>
    </row>
    <row r="121" spans="2:24" x14ac:dyDescent="0.2">
      <c r="B121" s="68">
        <v>16.11</v>
      </c>
      <c r="C121" s="68"/>
      <c r="D121" s="68"/>
      <c r="E121" s="68"/>
      <c r="F121" s="68"/>
      <c r="G121" s="69" t="e">
        <f t="shared" si="12"/>
        <v>#N/A</v>
      </c>
      <c r="H121" s="69" t="e">
        <f t="shared" si="13"/>
        <v>#N/A</v>
      </c>
      <c r="I121" s="69" t="e">
        <f t="shared" si="14"/>
        <v>#N/A</v>
      </c>
      <c r="J121" s="69" t="e">
        <f t="shared" si="15"/>
        <v>#N/A</v>
      </c>
      <c r="K121" s="69" t="e">
        <f t="shared" si="16"/>
        <v>#N/A</v>
      </c>
      <c r="L121" s="70" t="e">
        <f t="shared" si="17"/>
        <v>#N/A</v>
      </c>
      <c r="M121" s="56"/>
      <c r="N121" s="105">
        <v>15.4</v>
      </c>
      <c r="O121" s="68"/>
      <c r="P121" s="68"/>
      <c r="Q121" s="68"/>
      <c r="R121" s="68"/>
      <c r="S121" s="69" t="e">
        <f t="shared" si="18"/>
        <v>#N/A</v>
      </c>
      <c r="T121" s="69" t="e">
        <f t="shared" si="19"/>
        <v>#N/A</v>
      </c>
      <c r="U121" s="69" t="e">
        <f t="shared" si="20"/>
        <v>#N/A</v>
      </c>
      <c r="V121" s="69" t="e">
        <f t="shared" si="21"/>
        <v>#N/A</v>
      </c>
      <c r="W121" s="69" t="e">
        <f t="shared" si="22"/>
        <v>#N/A</v>
      </c>
      <c r="X121" s="71" t="e">
        <f t="shared" si="23"/>
        <v>#N/A</v>
      </c>
    </row>
    <row r="122" spans="2:24" x14ac:dyDescent="0.2">
      <c r="B122" s="65">
        <v>16.12</v>
      </c>
      <c r="C122" s="65"/>
      <c r="D122" s="65"/>
      <c r="E122" s="65"/>
      <c r="F122" s="65"/>
      <c r="G122" s="66" t="e">
        <f t="shared" si="12"/>
        <v>#N/A</v>
      </c>
      <c r="H122" s="66" t="e">
        <f t="shared" si="13"/>
        <v>#N/A</v>
      </c>
      <c r="I122" s="66" t="e">
        <f t="shared" si="14"/>
        <v>#N/A</v>
      </c>
      <c r="J122" s="66" t="e">
        <f t="shared" si="15"/>
        <v>#N/A</v>
      </c>
      <c r="K122" s="66" t="e">
        <f t="shared" si="16"/>
        <v>#N/A</v>
      </c>
      <c r="L122" s="71" t="e">
        <f t="shared" si="17"/>
        <v>#N/A</v>
      </c>
      <c r="M122" s="56"/>
      <c r="N122" s="104">
        <v>16.100000000000001</v>
      </c>
      <c r="O122" s="65"/>
      <c r="P122" s="65"/>
      <c r="Q122" s="65"/>
      <c r="R122" s="65"/>
      <c r="S122" s="66" t="e">
        <f t="shared" si="18"/>
        <v>#N/A</v>
      </c>
      <c r="T122" s="66" t="e">
        <f t="shared" si="19"/>
        <v>#N/A</v>
      </c>
      <c r="U122" s="66" t="e">
        <f t="shared" si="20"/>
        <v>#N/A</v>
      </c>
      <c r="V122" s="66" t="e">
        <f t="shared" si="21"/>
        <v>#N/A</v>
      </c>
      <c r="W122" s="66" t="e">
        <f t="shared" si="22"/>
        <v>#N/A</v>
      </c>
      <c r="X122" s="70" t="e">
        <f t="shared" si="23"/>
        <v>#N/A</v>
      </c>
    </row>
    <row r="123" spans="2:24" x14ac:dyDescent="0.2">
      <c r="B123" s="68" t="s">
        <v>547</v>
      </c>
      <c r="C123" s="68"/>
      <c r="D123" s="68"/>
      <c r="E123" s="68"/>
      <c r="F123" s="68"/>
      <c r="G123" s="69" t="e">
        <f t="shared" si="12"/>
        <v>#N/A</v>
      </c>
      <c r="H123" s="69" t="e">
        <f t="shared" si="13"/>
        <v>#N/A</v>
      </c>
      <c r="I123" s="69" t="e">
        <f t="shared" si="14"/>
        <v>#N/A</v>
      </c>
      <c r="J123" s="69" t="e">
        <f t="shared" si="15"/>
        <v>#N/A</v>
      </c>
      <c r="K123" s="69" t="e">
        <f t="shared" si="16"/>
        <v>#N/A</v>
      </c>
      <c r="L123" s="70" t="e">
        <f t="shared" si="17"/>
        <v>#N/A</v>
      </c>
      <c r="M123" s="56"/>
      <c r="N123" s="105">
        <v>16.2</v>
      </c>
      <c r="O123" s="68"/>
      <c r="P123" s="68"/>
      <c r="Q123" s="68"/>
      <c r="R123" s="68"/>
      <c r="S123" s="69" t="e">
        <f t="shared" si="18"/>
        <v>#N/A</v>
      </c>
      <c r="T123" s="69" t="e">
        <f t="shared" si="19"/>
        <v>#N/A</v>
      </c>
      <c r="U123" s="69" t="e">
        <f t="shared" si="20"/>
        <v>#N/A</v>
      </c>
      <c r="V123" s="69" t="e">
        <f t="shared" si="21"/>
        <v>#N/A</v>
      </c>
      <c r="W123" s="69" t="e">
        <f t="shared" si="22"/>
        <v>#N/A</v>
      </c>
      <c r="X123" s="71" t="e">
        <f t="shared" si="23"/>
        <v>#N/A</v>
      </c>
    </row>
    <row r="124" spans="2:24" x14ac:dyDescent="0.2">
      <c r="B124" s="65" t="s">
        <v>548</v>
      </c>
      <c r="C124" s="65"/>
      <c r="D124" s="65"/>
      <c r="E124" s="65"/>
      <c r="F124" s="65"/>
      <c r="G124" s="66" t="e">
        <f t="shared" si="12"/>
        <v>#N/A</v>
      </c>
      <c r="H124" s="66" t="e">
        <f t="shared" si="13"/>
        <v>#N/A</v>
      </c>
      <c r="I124" s="66" t="e">
        <f t="shared" si="14"/>
        <v>#N/A</v>
      </c>
      <c r="J124" s="66" t="e">
        <f t="shared" si="15"/>
        <v>#N/A</v>
      </c>
      <c r="K124" s="66" t="e">
        <f t="shared" si="16"/>
        <v>#N/A</v>
      </c>
      <c r="L124" s="71" t="e">
        <f t="shared" si="17"/>
        <v>#N/A</v>
      </c>
      <c r="M124" s="56"/>
      <c r="N124" s="104">
        <v>16.3</v>
      </c>
      <c r="O124" s="65"/>
      <c r="P124" s="65"/>
      <c r="Q124" s="65"/>
      <c r="R124" s="65"/>
      <c r="S124" s="66" t="e">
        <f t="shared" si="18"/>
        <v>#N/A</v>
      </c>
      <c r="T124" s="66" t="e">
        <f t="shared" si="19"/>
        <v>#N/A</v>
      </c>
      <c r="U124" s="66" t="e">
        <f t="shared" si="20"/>
        <v>#N/A</v>
      </c>
      <c r="V124" s="66" t="e">
        <f t="shared" si="21"/>
        <v>#N/A</v>
      </c>
      <c r="W124" s="66" t="e">
        <f t="shared" si="22"/>
        <v>#N/A</v>
      </c>
      <c r="X124" s="70" t="e">
        <f t="shared" si="23"/>
        <v>#N/A</v>
      </c>
    </row>
    <row r="125" spans="2:24" x14ac:dyDescent="0.2">
      <c r="B125" s="68" t="s">
        <v>549</v>
      </c>
      <c r="C125" s="68"/>
      <c r="D125" s="68"/>
      <c r="E125" s="68"/>
      <c r="F125" s="68"/>
      <c r="G125" s="69" t="e">
        <f t="shared" si="12"/>
        <v>#N/A</v>
      </c>
      <c r="H125" s="69" t="e">
        <f t="shared" si="13"/>
        <v>#N/A</v>
      </c>
      <c r="I125" s="69" t="e">
        <f t="shared" si="14"/>
        <v>#N/A</v>
      </c>
      <c r="J125" s="69" t="e">
        <f t="shared" si="15"/>
        <v>#N/A</v>
      </c>
      <c r="K125" s="69" t="e">
        <f t="shared" si="16"/>
        <v>#N/A</v>
      </c>
      <c r="L125" s="70" t="e">
        <f t="shared" si="17"/>
        <v>#N/A</v>
      </c>
      <c r="M125" s="56"/>
      <c r="N125" s="105">
        <v>16.399999999999999</v>
      </c>
      <c r="O125" s="68"/>
      <c r="P125" s="68"/>
      <c r="Q125" s="68"/>
      <c r="R125" s="68"/>
      <c r="S125" s="69" t="e">
        <f t="shared" si="18"/>
        <v>#N/A</v>
      </c>
      <c r="T125" s="69" t="e">
        <f t="shared" si="19"/>
        <v>#N/A</v>
      </c>
      <c r="U125" s="69" t="e">
        <f t="shared" si="20"/>
        <v>#N/A</v>
      </c>
      <c r="V125" s="69" t="e">
        <f t="shared" si="21"/>
        <v>#N/A</v>
      </c>
      <c r="W125" s="69" t="e">
        <f t="shared" si="22"/>
        <v>#N/A</v>
      </c>
      <c r="X125" s="71" t="e">
        <f t="shared" si="23"/>
        <v>#N/A</v>
      </c>
    </row>
    <row r="126" spans="2:24" x14ac:dyDescent="0.2">
      <c r="B126" s="65" t="s">
        <v>550</v>
      </c>
      <c r="C126" s="65"/>
      <c r="D126" s="65"/>
      <c r="E126" s="65"/>
      <c r="F126" s="65"/>
      <c r="G126" s="66" t="e">
        <f t="shared" si="12"/>
        <v>#N/A</v>
      </c>
      <c r="H126" s="66" t="e">
        <f t="shared" si="13"/>
        <v>#N/A</v>
      </c>
      <c r="I126" s="66" t="e">
        <f t="shared" si="14"/>
        <v>#N/A</v>
      </c>
      <c r="J126" s="66" t="e">
        <f t="shared" si="15"/>
        <v>#N/A</v>
      </c>
      <c r="K126" s="66" t="e">
        <f t="shared" si="16"/>
        <v>#N/A</v>
      </c>
      <c r="L126" s="71" t="e">
        <f t="shared" si="17"/>
        <v>#N/A</v>
      </c>
      <c r="M126" s="56"/>
      <c r="N126" s="104">
        <v>16.5</v>
      </c>
      <c r="O126" s="65"/>
      <c r="P126" s="65"/>
      <c r="Q126" s="65"/>
      <c r="R126" s="65"/>
      <c r="S126" s="66" t="e">
        <f t="shared" si="18"/>
        <v>#N/A</v>
      </c>
      <c r="T126" s="66" t="e">
        <f t="shared" si="19"/>
        <v>#N/A</v>
      </c>
      <c r="U126" s="66" t="e">
        <f t="shared" si="20"/>
        <v>#N/A</v>
      </c>
      <c r="V126" s="66" t="e">
        <f t="shared" si="21"/>
        <v>#N/A</v>
      </c>
      <c r="W126" s="66" t="e">
        <f t="shared" si="22"/>
        <v>#N/A</v>
      </c>
      <c r="X126" s="70" t="e">
        <f t="shared" si="23"/>
        <v>#N/A</v>
      </c>
    </row>
    <row r="127" spans="2:24" x14ac:dyDescent="0.2">
      <c r="B127" s="68" t="s">
        <v>551</v>
      </c>
      <c r="C127" s="68"/>
      <c r="D127" s="68"/>
      <c r="E127" s="68"/>
      <c r="F127" s="68"/>
      <c r="G127" s="69" t="e">
        <f t="shared" si="12"/>
        <v>#N/A</v>
      </c>
      <c r="H127" s="69" t="e">
        <f t="shared" si="13"/>
        <v>#N/A</v>
      </c>
      <c r="I127" s="69" t="e">
        <f t="shared" si="14"/>
        <v>#N/A</v>
      </c>
      <c r="J127" s="69" t="e">
        <f t="shared" si="15"/>
        <v>#N/A</v>
      </c>
      <c r="K127" s="69" t="e">
        <f t="shared" si="16"/>
        <v>#N/A</v>
      </c>
      <c r="L127" s="70" t="e">
        <f t="shared" si="17"/>
        <v>#N/A</v>
      </c>
      <c r="M127" s="56"/>
      <c r="N127" s="105">
        <v>16.600000000000001</v>
      </c>
      <c r="O127" s="68"/>
      <c r="P127" s="68"/>
      <c r="Q127" s="68"/>
      <c r="R127" s="68"/>
      <c r="S127" s="69" t="e">
        <f t="shared" si="18"/>
        <v>#N/A</v>
      </c>
      <c r="T127" s="69" t="e">
        <f t="shared" si="19"/>
        <v>#N/A</v>
      </c>
      <c r="U127" s="69" t="e">
        <f t="shared" si="20"/>
        <v>#N/A</v>
      </c>
      <c r="V127" s="69" t="e">
        <f t="shared" si="21"/>
        <v>#N/A</v>
      </c>
      <c r="W127" s="69" t="e">
        <f t="shared" si="22"/>
        <v>#N/A</v>
      </c>
      <c r="X127" s="71" t="e">
        <f t="shared" si="23"/>
        <v>#N/A</v>
      </c>
    </row>
    <row r="128" spans="2:24" x14ac:dyDescent="0.2">
      <c r="B128" s="65" t="s">
        <v>552</v>
      </c>
      <c r="C128" s="65"/>
      <c r="D128" s="65"/>
      <c r="E128" s="65"/>
      <c r="F128" s="65"/>
      <c r="G128" s="66" t="e">
        <f t="shared" si="12"/>
        <v>#N/A</v>
      </c>
      <c r="H128" s="66" t="e">
        <f t="shared" si="13"/>
        <v>#N/A</v>
      </c>
      <c r="I128" s="66" t="e">
        <f t="shared" si="14"/>
        <v>#N/A</v>
      </c>
      <c r="J128" s="66" t="e">
        <f t="shared" si="15"/>
        <v>#N/A</v>
      </c>
      <c r="K128" s="66" t="e">
        <f t="shared" si="16"/>
        <v>#N/A</v>
      </c>
      <c r="L128" s="71" t="e">
        <f t="shared" si="17"/>
        <v>#N/A</v>
      </c>
      <c r="M128" s="56"/>
      <c r="N128" s="104">
        <v>16.7</v>
      </c>
      <c r="O128" s="65"/>
      <c r="P128" s="65"/>
      <c r="Q128" s="65"/>
      <c r="R128" s="65"/>
      <c r="S128" s="66" t="e">
        <f t="shared" si="18"/>
        <v>#N/A</v>
      </c>
      <c r="T128" s="66" t="e">
        <f t="shared" si="19"/>
        <v>#N/A</v>
      </c>
      <c r="U128" s="66" t="e">
        <f t="shared" si="20"/>
        <v>#N/A</v>
      </c>
      <c r="V128" s="66" t="e">
        <f t="shared" si="21"/>
        <v>#N/A</v>
      </c>
      <c r="W128" s="66" t="e">
        <f t="shared" si="22"/>
        <v>#N/A</v>
      </c>
      <c r="X128" s="70" t="e">
        <f t="shared" si="23"/>
        <v>#N/A</v>
      </c>
    </row>
    <row r="129" spans="2:24" x14ac:dyDescent="0.2">
      <c r="B129" s="68" t="s">
        <v>553</v>
      </c>
      <c r="C129" s="68"/>
      <c r="D129" s="68"/>
      <c r="E129" s="68"/>
      <c r="F129" s="68"/>
      <c r="G129" s="69" t="e">
        <f t="shared" si="12"/>
        <v>#N/A</v>
      </c>
      <c r="H129" s="69" t="e">
        <f t="shared" si="13"/>
        <v>#N/A</v>
      </c>
      <c r="I129" s="69" t="e">
        <f t="shared" si="14"/>
        <v>#N/A</v>
      </c>
      <c r="J129" s="69" t="e">
        <f t="shared" si="15"/>
        <v>#N/A</v>
      </c>
      <c r="K129" s="69" t="e">
        <f t="shared" si="16"/>
        <v>#N/A</v>
      </c>
      <c r="L129" s="70" t="e">
        <f t="shared" si="17"/>
        <v>#N/A</v>
      </c>
      <c r="M129" s="56"/>
      <c r="N129" s="105">
        <v>16.8</v>
      </c>
      <c r="O129" s="68"/>
      <c r="P129" s="68"/>
      <c r="Q129" s="68"/>
      <c r="R129" s="68"/>
      <c r="S129" s="69" t="e">
        <f t="shared" si="18"/>
        <v>#N/A</v>
      </c>
      <c r="T129" s="69" t="e">
        <f t="shared" si="19"/>
        <v>#N/A</v>
      </c>
      <c r="U129" s="69" t="e">
        <f t="shared" si="20"/>
        <v>#N/A</v>
      </c>
      <c r="V129" s="69" t="e">
        <f t="shared" si="21"/>
        <v>#N/A</v>
      </c>
      <c r="W129" s="69" t="e">
        <f t="shared" si="22"/>
        <v>#N/A</v>
      </c>
      <c r="X129" s="71" t="e">
        <f t="shared" si="23"/>
        <v>#N/A</v>
      </c>
    </row>
    <row r="130" spans="2:24" x14ac:dyDescent="0.2">
      <c r="B130" s="65" t="s">
        <v>554</v>
      </c>
      <c r="C130" s="65"/>
      <c r="D130" s="65"/>
      <c r="E130" s="65"/>
      <c r="F130" s="65"/>
      <c r="G130" s="66" t="e">
        <f t="shared" si="12"/>
        <v>#N/A</v>
      </c>
      <c r="H130" s="66" t="e">
        <f t="shared" si="13"/>
        <v>#N/A</v>
      </c>
      <c r="I130" s="66" t="e">
        <f t="shared" si="14"/>
        <v>#N/A</v>
      </c>
      <c r="J130" s="66" t="e">
        <f t="shared" si="15"/>
        <v>#N/A</v>
      </c>
      <c r="K130" s="66" t="e">
        <f t="shared" si="16"/>
        <v>#N/A</v>
      </c>
      <c r="L130" s="71" t="e">
        <f t="shared" si="17"/>
        <v>#N/A</v>
      </c>
      <c r="M130" s="56"/>
      <c r="N130" s="104">
        <v>16.899999999999999</v>
      </c>
      <c r="O130" s="65"/>
      <c r="P130" s="65"/>
      <c r="Q130" s="65"/>
      <c r="R130" s="65"/>
      <c r="S130" s="66" t="e">
        <f t="shared" si="18"/>
        <v>#N/A</v>
      </c>
      <c r="T130" s="66" t="e">
        <f t="shared" si="19"/>
        <v>#N/A</v>
      </c>
      <c r="U130" s="66" t="e">
        <f t="shared" si="20"/>
        <v>#N/A</v>
      </c>
      <c r="V130" s="66" t="e">
        <f t="shared" si="21"/>
        <v>#N/A</v>
      </c>
      <c r="W130" s="66" t="e">
        <f t="shared" si="22"/>
        <v>#N/A</v>
      </c>
      <c r="X130" s="70" t="e">
        <f t="shared" si="23"/>
        <v>#N/A</v>
      </c>
    </row>
    <row r="131" spans="2:24" x14ac:dyDescent="0.2">
      <c r="B131" s="68" t="s">
        <v>555</v>
      </c>
      <c r="C131" s="68"/>
      <c r="D131" s="68"/>
      <c r="E131" s="68"/>
      <c r="F131" s="68"/>
      <c r="G131" s="69" t="e">
        <f t="shared" si="12"/>
        <v>#N/A</v>
      </c>
      <c r="H131" s="69" t="e">
        <f t="shared" si="13"/>
        <v>#N/A</v>
      </c>
      <c r="I131" s="69" t="e">
        <f t="shared" si="14"/>
        <v>#N/A</v>
      </c>
      <c r="J131" s="69" t="e">
        <f t="shared" si="15"/>
        <v>#N/A</v>
      </c>
      <c r="K131" s="69" t="e">
        <f t="shared" si="16"/>
        <v>#N/A</v>
      </c>
      <c r="L131" s="70" t="e">
        <f t="shared" si="17"/>
        <v>#N/A</v>
      </c>
      <c r="M131" s="56"/>
      <c r="N131" s="106">
        <v>16.100000000000001</v>
      </c>
      <c r="O131" s="68"/>
      <c r="P131" s="68"/>
      <c r="Q131" s="68"/>
      <c r="R131" s="68"/>
      <c r="S131" s="69" t="e">
        <f t="shared" si="18"/>
        <v>#N/A</v>
      </c>
      <c r="T131" s="69" t="e">
        <f t="shared" si="19"/>
        <v>#N/A</v>
      </c>
      <c r="U131" s="69" t="e">
        <f t="shared" si="20"/>
        <v>#N/A</v>
      </c>
      <c r="V131" s="69" t="e">
        <f t="shared" si="21"/>
        <v>#N/A</v>
      </c>
      <c r="W131" s="69" t="e">
        <f t="shared" si="22"/>
        <v>#N/A</v>
      </c>
      <c r="X131" s="71" t="e">
        <f t="shared" si="23"/>
        <v>#N/A</v>
      </c>
    </row>
    <row r="132" spans="2:24" x14ac:dyDescent="0.2">
      <c r="B132" s="65" t="s">
        <v>556</v>
      </c>
      <c r="C132" s="65"/>
      <c r="D132" s="65"/>
      <c r="E132" s="65"/>
      <c r="F132" s="65"/>
      <c r="G132" s="66" t="e">
        <f t="shared" si="12"/>
        <v>#N/A</v>
      </c>
      <c r="H132" s="66" t="e">
        <f t="shared" si="13"/>
        <v>#N/A</v>
      </c>
      <c r="I132" s="66" t="e">
        <f t="shared" si="14"/>
        <v>#N/A</v>
      </c>
      <c r="J132" s="66" t="e">
        <f t="shared" si="15"/>
        <v>#N/A</v>
      </c>
      <c r="K132" s="66" t="e">
        <f t="shared" si="16"/>
        <v>#N/A</v>
      </c>
      <c r="L132" s="71" t="e">
        <f t="shared" si="17"/>
        <v>#N/A</v>
      </c>
      <c r="M132" s="56"/>
      <c r="N132" s="104">
        <v>16.11</v>
      </c>
      <c r="O132" s="65"/>
      <c r="P132" s="65"/>
      <c r="Q132" s="65"/>
      <c r="R132" s="65"/>
      <c r="S132" s="66" t="e">
        <f t="shared" si="18"/>
        <v>#N/A</v>
      </c>
      <c r="T132" s="66" t="e">
        <f t="shared" si="19"/>
        <v>#N/A</v>
      </c>
      <c r="U132" s="66" t="e">
        <f t="shared" si="20"/>
        <v>#N/A</v>
      </c>
      <c r="V132" s="66" t="e">
        <f t="shared" si="21"/>
        <v>#N/A</v>
      </c>
      <c r="W132" s="66" t="e">
        <f t="shared" si="22"/>
        <v>#N/A</v>
      </c>
      <c r="X132" s="70" t="e">
        <f t="shared" si="23"/>
        <v>#N/A</v>
      </c>
    </row>
    <row r="133" spans="2:24" x14ac:dyDescent="0.2">
      <c r="B133" s="68" t="s">
        <v>557</v>
      </c>
      <c r="C133" s="68"/>
      <c r="D133" s="68"/>
      <c r="E133" s="68"/>
      <c r="F133" s="68"/>
      <c r="G133" s="69" t="e">
        <f t="shared" si="12"/>
        <v>#N/A</v>
      </c>
      <c r="H133" s="69" t="e">
        <f t="shared" si="13"/>
        <v>#N/A</v>
      </c>
      <c r="I133" s="69" t="e">
        <f t="shared" si="14"/>
        <v>#N/A</v>
      </c>
      <c r="J133" s="69" t="e">
        <f t="shared" si="15"/>
        <v>#N/A</v>
      </c>
      <c r="K133" s="69" t="e">
        <f t="shared" si="16"/>
        <v>#N/A</v>
      </c>
      <c r="L133" s="70" t="e">
        <f t="shared" si="17"/>
        <v>#N/A</v>
      </c>
      <c r="M133" s="56"/>
      <c r="N133" s="105">
        <v>17.100000000000001</v>
      </c>
      <c r="O133" s="68"/>
      <c r="P133" s="68"/>
      <c r="Q133" s="68"/>
      <c r="R133" s="68"/>
      <c r="S133" s="69" t="e">
        <f t="shared" si="18"/>
        <v>#N/A</v>
      </c>
      <c r="T133" s="69" t="e">
        <f t="shared" si="19"/>
        <v>#N/A</v>
      </c>
      <c r="U133" s="69" t="e">
        <f t="shared" si="20"/>
        <v>#N/A</v>
      </c>
      <c r="V133" s="69" t="e">
        <f t="shared" si="21"/>
        <v>#N/A</v>
      </c>
      <c r="W133" s="69" t="e">
        <f t="shared" si="22"/>
        <v>#N/A</v>
      </c>
      <c r="X133" s="71" t="e">
        <f t="shared" si="23"/>
        <v>#N/A</v>
      </c>
    </row>
    <row r="134" spans="2:24" x14ac:dyDescent="0.2">
      <c r="B134" s="65" t="s">
        <v>558</v>
      </c>
      <c r="C134" s="65"/>
      <c r="D134" s="65"/>
      <c r="E134" s="65"/>
      <c r="F134" s="65"/>
      <c r="G134" s="66" t="e">
        <f t="shared" si="12"/>
        <v>#N/A</v>
      </c>
      <c r="H134" s="66" t="e">
        <f t="shared" si="13"/>
        <v>#N/A</v>
      </c>
      <c r="I134" s="66" t="e">
        <f t="shared" si="14"/>
        <v>#N/A</v>
      </c>
      <c r="J134" s="66" t="e">
        <f t="shared" si="15"/>
        <v>#N/A</v>
      </c>
      <c r="K134" s="66" t="e">
        <f t="shared" si="16"/>
        <v>#N/A</v>
      </c>
      <c r="L134" s="71" t="e">
        <f t="shared" si="17"/>
        <v>#N/A</v>
      </c>
      <c r="M134" s="56"/>
      <c r="N134" s="104">
        <v>17.2</v>
      </c>
      <c r="O134" s="65"/>
      <c r="P134" s="65"/>
      <c r="Q134" s="65"/>
      <c r="R134" s="65"/>
      <c r="S134" s="66" t="e">
        <f t="shared" si="18"/>
        <v>#N/A</v>
      </c>
      <c r="T134" s="66" t="e">
        <f t="shared" si="19"/>
        <v>#N/A</v>
      </c>
      <c r="U134" s="66" t="e">
        <f t="shared" si="20"/>
        <v>#N/A</v>
      </c>
      <c r="V134" s="66" t="e">
        <f t="shared" si="21"/>
        <v>#N/A</v>
      </c>
      <c r="W134" s="66" t="e">
        <f t="shared" si="22"/>
        <v>#N/A</v>
      </c>
      <c r="X134" s="70" t="e">
        <f t="shared" si="23"/>
        <v>#N/A</v>
      </c>
    </row>
    <row r="135" spans="2:24" x14ac:dyDescent="0.2">
      <c r="B135" s="68" t="s">
        <v>559</v>
      </c>
      <c r="C135" s="68"/>
      <c r="D135" s="68"/>
      <c r="E135" s="68"/>
      <c r="F135" s="68"/>
      <c r="G135" s="69" t="e">
        <f t="shared" si="12"/>
        <v>#N/A</v>
      </c>
      <c r="H135" s="69" t="e">
        <f t="shared" si="13"/>
        <v>#N/A</v>
      </c>
      <c r="I135" s="69" t="e">
        <f t="shared" si="14"/>
        <v>#N/A</v>
      </c>
      <c r="J135" s="69" t="e">
        <f t="shared" si="15"/>
        <v>#N/A</v>
      </c>
      <c r="K135" s="69" t="e">
        <f t="shared" si="16"/>
        <v>#N/A</v>
      </c>
      <c r="L135" s="70" t="e">
        <f t="shared" si="17"/>
        <v>#N/A</v>
      </c>
      <c r="M135" s="56"/>
      <c r="N135" s="105">
        <v>17.3</v>
      </c>
      <c r="O135" s="68"/>
      <c r="P135" s="68"/>
      <c r="Q135" s="68"/>
      <c r="R135" s="68"/>
      <c r="S135" s="69" t="e">
        <f t="shared" si="18"/>
        <v>#N/A</v>
      </c>
      <c r="T135" s="69" t="e">
        <f t="shared" si="19"/>
        <v>#N/A</v>
      </c>
      <c r="U135" s="69" t="e">
        <f t="shared" si="20"/>
        <v>#N/A</v>
      </c>
      <c r="V135" s="69" t="e">
        <f t="shared" si="21"/>
        <v>#N/A</v>
      </c>
      <c r="W135" s="69" t="e">
        <f t="shared" si="22"/>
        <v>#N/A</v>
      </c>
      <c r="X135" s="71" t="e">
        <f t="shared" si="23"/>
        <v>#N/A</v>
      </c>
    </row>
    <row r="136" spans="2:24" x14ac:dyDescent="0.2">
      <c r="B136" s="65" t="s">
        <v>560</v>
      </c>
      <c r="C136" s="65"/>
      <c r="D136" s="65"/>
      <c r="E136" s="65"/>
      <c r="F136" s="65"/>
      <c r="G136" s="66" t="e">
        <f t="shared" si="12"/>
        <v>#N/A</v>
      </c>
      <c r="H136" s="66" t="e">
        <f t="shared" si="13"/>
        <v>#N/A</v>
      </c>
      <c r="I136" s="66" t="e">
        <f t="shared" si="14"/>
        <v>#N/A</v>
      </c>
      <c r="J136" s="66" t="e">
        <f t="shared" si="15"/>
        <v>#N/A</v>
      </c>
      <c r="K136" s="66" t="e">
        <f t="shared" si="16"/>
        <v>#N/A</v>
      </c>
      <c r="L136" s="71" t="e">
        <f t="shared" si="17"/>
        <v>#N/A</v>
      </c>
      <c r="M136" s="56"/>
      <c r="N136" s="104">
        <v>17.399999999999999</v>
      </c>
      <c r="O136" s="65"/>
      <c r="P136" s="65"/>
      <c r="Q136" s="65"/>
      <c r="R136" s="65"/>
      <c r="S136" s="66" t="e">
        <f t="shared" si="18"/>
        <v>#N/A</v>
      </c>
      <c r="T136" s="66" t="e">
        <f t="shared" si="19"/>
        <v>#N/A</v>
      </c>
      <c r="U136" s="66" t="e">
        <f t="shared" si="20"/>
        <v>#N/A</v>
      </c>
      <c r="V136" s="66" t="e">
        <f t="shared" si="21"/>
        <v>#N/A</v>
      </c>
      <c r="W136" s="66" t="e">
        <f t="shared" si="22"/>
        <v>#N/A</v>
      </c>
      <c r="X136" s="70" t="e">
        <f t="shared" si="23"/>
        <v>#N/A</v>
      </c>
    </row>
    <row r="137" spans="2:24" x14ac:dyDescent="0.2">
      <c r="B137" s="68" t="s">
        <v>561</v>
      </c>
      <c r="C137" s="68"/>
      <c r="D137" s="68"/>
      <c r="E137" s="68"/>
      <c r="F137" s="68"/>
      <c r="G137" s="69" t="e">
        <f t="shared" si="12"/>
        <v>#N/A</v>
      </c>
      <c r="H137" s="69" t="e">
        <f t="shared" si="13"/>
        <v>#N/A</v>
      </c>
      <c r="I137" s="69" t="e">
        <f t="shared" si="14"/>
        <v>#N/A</v>
      </c>
      <c r="J137" s="69" t="e">
        <f t="shared" si="15"/>
        <v>#N/A</v>
      </c>
      <c r="K137" s="69" t="e">
        <f t="shared" si="16"/>
        <v>#N/A</v>
      </c>
      <c r="L137" s="70" t="e">
        <f t="shared" si="17"/>
        <v>#N/A</v>
      </c>
      <c r="M137" s="56"/>
      <c r="N137" s="105">
        <v>17.5</v>
      </c>
      <c r="O137" s="68"/>
      <c r="P137" s="68"/>
      <c r="Q137" s="68"/>
      <c r="R137" s="68"/>
      <c r="S137" s="69" t="e">
        <f t="shared" si="18"/>
        <v>#N/A</v>
      </c>
      <c r="T137" s="69" t="e">
        <f t="shared" si="19"/>
        <v>#N/A</v>
      </c>
      <c r="U137" s="69" t="e">
        <f t="shared" si="20"/>
        <v>#N/A</v>
      </c>
      <c r="V137" s="69" t="e">
        <f t="shared" si="21"/>
        <v>#N/A</v>
      </c>
      <c r="W137" s="69" t="e">
        <f t="shared" si="22"/>
        <v>#N/A</v>
      </c>
      <c r="X137" s="71" t="e">
        <f t="shared" si="23"/>
        <v>#N/A</v>
      </c>
    </row>
    <row r="138" spans="2:24" x14ac:dyDescent="0.2">
      <c r="B138" s="65" t="s">
        <v>562</v>
      </c>
      <c r="C138" s="65"/>
      <c r="D138" s="65"/>
      <c r="E138" s="65"/>
      <c r="F138" s="65"/>
      <c r="G138" s="66" t="e">
        <f t="shared" si="12"/>
        <v>#N/A</v>
      </c>
      <c r="H138" s="66" t="e">
        <f t="shared" si="13"/>
        <v>#N/A</v>
      </c>
      <c r="I138" s="66" t="e">
        <f t="shared" si="14"/>
        <v>#N/A</v>
      </c>
      <c r="J138" s="66" t="e">
        <f t="shared" si="15"/>
        <v>#N/A</v>
      </c>
      <c r="K138" s="66" t="e">
        <f t="shared" si="16"/>
        <v>#N/A</v>
      </c>
      <c r="L138" s="71" t="e">
        <f t="shared" si="17"/>
        <v>#N/A</v>
      </c>
      <c r="M138" s="56"/>
      <c r="N138" s="104">
        <v>17.600000000000001</v>
      </c>
      <c r="O138" s="65"/>
      <c r="P138" s="65"/>
      <c r="Q138" s="65"/>
      <c r="R138" s="65"/>
      <c r="S138" s="66" t="e">
        <f t="shared" si="18"/>
        <v>#N/A</v>
      </c>
      <c r="T138" s="66" t="e">
        <f t="shared" si="19"/>
        <v>#N/A</v>
      </c>
      <c r="U138" s="66" t="e">
        <f t="shared" si="20"/>
        <v>#N/A</v>
      </c>
      <c r="V138" s="66" t="e">
        <f t="shared" si="21"/>
        <v>#N/A</v>
      </c>
      <c r="W138" s="66" t="e">
        <f t="shared" si="22"/>
        <v>#N/A</v>
      </c>
      <c r="X138" s="70" t="e">
        <f t="shared" si="23"/>
        <v>#N/A</v>
      </c>
    </row>
    <row r="139" spans="2:24" x14ac:dyDescent="0.2">
      <c r="B139" s="68" t="s">
        <v>563</v>
      </c>
      <c r="C139" s="68"/>
      <c r="D139" s="68"/>
      <c r="E139" s="68"/>
      <c r="F139" s="68"/>
      <c r="G139" s="69" t="e">
        <f t="shared" si="12"/>
        <v>#N/A</v>
      </c>
      <c r="H139" s="69" t="e">
        <f t="shared" si="13"/>
        <v>#N/A</v>
      </c>
      <c r="I139" s="69" t="e">
        <f t="shared" si="14"/>
        <v>#N/A</v>
      </c>
      <c r="J139" s="69" t="e">
        <f t="shared" si="15"/>
        <v>#N/A</v>
      </c>
      <c r="K139" s="69" t="e">
        <f t="shared" si="16"/>
        <v>#N/A</v>
      </c>
      <c r="L139" s="70" t="e">
        <f t="shared" si="17"/>
        <v>#N/A</v>
      </c>
      <c r="M139" s="56"/>
      <c r="N139" s="105">
        <v>17.7</v>
      </c>
      <c r="O139" s="68"/>
      <c r="P139" s="68"/>
      <c r="Q139" s="68"/>
      <c r="R139" s="68"/>
      <c r="S139" s="69" t="e">
        <f t="shared" si="18"/>
        <v>#N/A</v>
      </c>
      <c r="T139" s="69" t="e">
        <f t="shared" si="19"/>
        <v>#N/A</v>
      </c>
      <c r="U139" s="69" t="e">
        <f t="shared" si="20"/>
        <v>#N/A</v>
      </c>
      <c r="V139" s="69" t="e">
        <f t="shared" si="21"/>
        <v>#N/A</v>
      </c>
      <c r="W139" s="69" t="e">
        <f t="shared" si="22"/>
        <v>#N/A</v>
      </c>
      <c r="X139" s="71" t="e">
        <f t="shared" si="23"/>
        <v>#N/A</v>
      </c>
    </row>
    <row r="140" spans="2:24" x14ac:dyDescent="0.2">
      <c r="B140" s="65" t="s">
        <v>564</v>
      </c>
      <c r="C140" s="65"/>
      <c r="D140" s="65"/>
      <c r="E140" s="65"/>
      <c r="F140" s="65"/>
      <c r="G140" s="66" t="e">
        <f t="shared" si="12"/>
        <v>#N/A</v>
      </c>
      <c r="H140" s="66" t="e">
        <f t="shared" si="13"/>
        <v>#N/A</v>
      </c>
      <c r="I140" s="66" t="e">
        <f t="shared" si="14"/>
        <v>#N/A</v>
      </c>
      <c r="J140" s="66" t="e">
        <f t="shared" si="15"/>
        <v>#N/A</v>
      </c>
      <c r="K140" s="66" t="e">
        <f t="shared" si="16"/>
        <v>#N/A</v>
      </c>
      <c r="L140" s="71" t="e">
        <f t="shared" si="17"/>
        <v>#N/A</v>
      </c>
      <c r="M140" s="56"/>
      <c r="N140" s="104">
        <v>17.8</v>
      </c>
      <c r="O140" s="65"/>
      <c r="P140" s="65"/>
      <c r="Q140" s="65"/>
      <c r="R140" s="65"/>
      <c r="S140" s="66" t="e">
        <f t="shared" si="18"/>
        <v>#N/A</v>
      </c>
      <c r="T140" s="66" t="e">
        <f t="shared" si="19"/>
        <v>#N/A</v>
      </c>
      <c r="U140" s="66" t="e">
        <f t="shared" si="20"/>
        <v>#N/A</v>
      </c>
      <c r="V140" s="66" t="e">
        <f t="shared" si="21"/>
        <v>#N/A</v>
      </c>
      <c r="W140" s="66" t="e">
        <f t="shared" si="22"/>
        <v>#N/A</v>
      </c>
      <c r="X140" s="70" t="e">
        <f t="shared" si="23"/>
        <v>#N/A</v>
      </c>
    </row>
    <row r="141" spans="2:24" x14ac:dyDescent="0.2">
      <c r="B141" s="73">
        <v>18.100000000000001</v>
      </c>
      <c r="C141" s="68"/>
      <c r="D141" s="68"/>
      <c r="E141" s="68"/>
      <c r="F141" s="68"/>
      <c r="G141" s="69" t="e">
        <f t="shared" si="12"/>
        <v>#N/A</v>
      </c>
      <c r="H141" s="69" t="e">
        <f t="shared" si="13"/>
        <v>#N/A</v>
      </c>
      <c r="I141" s="69" t="e">
        <f t="shared" si="14"/>
        <v>#N/A</v>
      </c>
      <c r="J141" s="69" t="e">
        <f t="shared" si="15"/>
        <v>#N/A</v>
      </c>
      <c r="K141" s="69" t="e">
        <f t="shared" si="16"/>
        <v>#N/A</v>
      </c>
      <c r="L141" s="70" t="e">
        <f t="shared" si="17"/>
        <v>#N/A</v>
      </c>
      <c r="M141" s="56"/>
      <c r="N141" s="105">
        <v>18.100000000000001</v>
      </c>
      <c r="O141" s="68"/>
      <c r="P141" s="68"/>
      <c r="Q141" s="68"/>
      <c r="R141" s="68"/>
      <c r="S141" s="69" t="e">
        <f t="shared" si="18"/>
        <v>#N/A</v>
      </c>
      <c r="T141" s="69" t="e">
        <f t="shared" si="19"/>
        <v>#N/A</v>
      </c>
      <c r="U141" s="69" t="e">
        <f t="shared" si="20"/>
        <v>#N/A</v>
      </c>
      <c r="V141" s="69" t="e">
        <f t="shared" si="21"/>
        <v>#N/A</v>
      </c>
      <c r="W141" s="69" t="e">
        <f t="shared" si="22"/>
        <v>#N/A</v>
      </c>
      <c r="X141" s="71" t="e">
        <f t="shared" si="23"/>
        <v>#N/A</v>
      </c>
    </row>
    <row r="142" spans="2:24" x14ac:dyDescent="0.2">
      <c r="B142" s="65">
        <v>18.11</v>
      </c>
      <c r="C142" s="65"/>
      <c r="D142" s="65"/>
      <c r="E142" s="65"/>
      <c r="F142" s="65"/>
      <c r="G142" s="66" t="e">
        <f t="shared" si="12"/>
        <v>#N/A</v>
      </c>
      <c r="H142" s="66" t="e">
        <f t="shared" si="13"/>
        <v>#N/A</v>
      </c>
      <c r="I142" s="66" t="e">
        <f t="shared" si="14"/>
        <v>#N/A</v>
      </c>
      <c r="J142" s="66" t="e">
        <f t="shared" si="15"/>
        <v>#N/A</v>
      </c>
      <c r="K142" s="66" t="e">
        <f t="shared" si="16"/>
        <v>#N/A</v>
      </c>
      <c r="L142" s="71" t="e">
        <f t="shared" si="17"/>
        <v>#N/A</v>
      </c>
      <c r="M142" s="56"/>
      <c r="N142" s="104">
        <v>18.2</v>
      </c>
      <c r="O142" s="65"/>
      <c r="P142" s="65"/>
      <c r="Q142" s="65"/>
      <c r="R142" s="65"/>
      <c r="S142" s="66" t="e">
        <f t="shared" si="18"/>
        <v>#N/A</v>
      </c>
      <c r="T142" s="66" t="e">
        <f t="shared" si="19"/>
        <v>#N/A</v>
      </c>
      <c r="U142" s="66" t="e">
        <f t="shared" si="20"/>
        <v>#N/A</v>
      </c>
      <c r="V142" s="66" t="e">
        <f t="shared" si="21"/>
        <v>#N/A</v>
      </c>
      <c r="W142" s="66" t="e">
        <f t="shared" si="22"/>
        <v>#N/A</v>
      </c>
      <c r="X142" s="70" t="e">
        <f t="shared" si="23"/>
        <v>#N/A</v>
      </c>
    </row>
    <row r="143" spans="2:24" ht="13.5" thickBot="1" x14ac:dyDescent="0.25">
      <c r="B143" s="68" t="s">
        <v>565</v>
      </c>
      <c r="C143" s="68"/>
      <c r="D143" s="68"/>
      <c r="E143" s="68"/>
      <c r="F143" s="68"/>
      <c r="G143" s="69" t="e">
        <f t="shared" ref="G143:G155" si="24">VLOOKUP(C143,$C$4:$G$10,5,FALSE)</f>
        <v>#N/A</v>
      </c>
      <c r="H143" s="69" t="e">
        <f t="shared" ref="H143:H155" si="25">VLOOKUP(D143,$D$4:$G$10,4,FALSE)</f>
        <v>#N/A</v>
      </c>
      <c r="I143" s="69" t="e">
        <f t="shared" ref="I143:I155" si="26">VLOOKUP(E143,$E$4:$G$10,3,FALSE)</f>
        <v>#N/A</v>
      </c>
      <c r="J143" s="69" t="e">
        <f t="shared" ref="J143:J155" si="27">VLOOKUP(F143,$F$4:$G$10,2,FALSE)</f>
        <v>#N/A</v>
      </c>
      <c r="K143" s="69" t="e">
        <f t="shared" ref="K143:K155" si="28">ROUND(AVERAGE(G143:J143),0)</f>
        <v>#N/A</v>
      </c>
      <c r="L143" s="70" t="e">
        <f t="shared" ref="L143:L155" si="29">K143</f>
        <v>#N/A</v>
      </c>
      <c r="N143" s="107">
        <v>18.3</v>
      </c>
      <c r="O143" s="75"/>
      <c r="P143" s="75"/>
      <c r="Q143" s="75"/>
      <c r="R143" s="75"/>
      <c r="S143" s="76" t="e">
        <f t="shared" ref="S143" si="30">VLOOKUP(O143,$C$4:$G$10,5,FALSE)</f>
        <v>#N/A</v>
      </c>
      <c r="T143" s="76" t="e">
        <f t="shared" ref="T143" si="31">VLOOKUP(P143,$D$4:$G$10,4,FALSE)</f>
        <v>#N/A</v>
      </c>
      <c r="U143" s="76" t="e">
        <f t="shared" ref="U143" si="32">VLOOKUP(Q143,$E$4:$G$10,3,FALSE)</f>
        <v>#N/A</v>
      </c>
      <c r="V143" s="76" t="e">
        <f t="shared" ref="V143" si="33">VLOOKUP(R143,$F$4:$G$10,2,FALSE)</f>
        <v>#N/A</v>
      </c>
      <c r="W143" s="76" t="e">
        <f t="shared" ref="W143" si="34">ROUND(AVERAGE(S143:V143),0)</f>
        <v>#N/A</v>
      </c>
      <c r="X143" s="74" t="e">
        <f t="shared" ref="X143" si="35">W143</f>
        <v>#N/A</v>
      </c>
    </row>
    <row r="144" spans="2:24" x14ac:dyDescent="0.2">
      <c r="B144" s="65" t="s">
        <v>566</v>
      </c>
      <c r="C144" s="65"/>
      <c r="D144" s="65"/>
      <c r="E144" s="65"/>
      <c r="F144" s="65"/>
      <c r="G144" s="66" t="e">
        <f t="shared" si="24"/>
        <v>#N/A</v>
      </c>
      <c r="H144" s="66" t="e">
        <f t="shared" si="25"/>
        <v>#N/A</v>
      </c>
      <c r="I144" s="66" t="e">
        <f t="shared" si="26"/>
        <v>#N/A</v>
      </c>
      <c r="J144" s="66" t="e">
        <f t="shared" si="27"/>
        <v>#N/A</v>
      </c>
      <c r="K144" s="66" t="e">
        <f t="shared" si="28"/>
        <v>#N/A</v>
      </c>
      <c r="L144" s="71" t="e">
        <f t="shared" si="29"/>
        <v>#N/A</v>
      </c>
    </row>
    <row r="145" spans="2:12" x14ac:dyDescent="0.2">
      <c r="B145" s="68" t="s">
        <v>567</v>
      </c>
      <c r="C145" s="68"/>
      <c r="D145" s="68"/>
      <c r="E145" s="68"/>
      <c r="F145" s="68"/>
      <c r="G145" s="69" t="e">
        <f t="shared" si="24"/>
        <v>#N/A</v>
      </c>
      <c r="H145" s="69" t="e">
        <f t="shared" si="25"/>
        <v>#N/A</v>
      </c>
      <c r="I145" s="69" t="e">
        <f t="shared" si="26"/>
        <v>#N/A</v>
      </c>
      <c r="J145" s="69" t="e">
        <f t="shared" si="27"/>
        <v>#N/A</v>
      </c>
      <c r="K145" s="69" t="e">
        <f t="shared" si="28"/>
        <v>#N/A</v>
      </c>
      <c r="L145" s="70" t="e">
        <f t="shared" si="29"/>
        <v>#N/A</v>
      </c>
    </row>
    <row r="146" spans="2:12" x14ac:dyDescent="0.2">
      <c r="B146" s="65" t="s">
        <v>568</v>
      </c>
      <c r="C146" s="65"/>
      <c r="D146" s="65"/>
      <c r="E146" s="65"/>
      <c r="F146" s="65"/>
      <c r="G146" s="66" t="e">
        <f t="shared" si="24"/>
        <v>#N/A</v>
      </c>
      <c r="H146" s="66" t="e">
        <f t="shared" si="25"/>
        <v>#N/A</v>
      </c>
      <c r="I146" s="66" t="e">
        <f t="shared" si="26"/>
        <v>#N/A</v>
      </c>
      <c r="J146" s="66" t="e">
        <f t="shared" si="27"/>
        <v>#N/A</v>
      </c>
      <c r="K146" s="66" t="e">
        <f t="shared" si="28"/>
        <v>#N/A</v>
      </c>
      <c r="L146" s="71" t="e">
        <f t="shared" si="29"/>
        <v>#N/A</v>
      </c>
    </row>
    <row r="147" spans="2:12" x14ac:dyDescent="0.2">
      <c r="B147" s="68" t="s">
        <v>569</v>
      </c>
      <c r="C147" s="68"/>
      <c r="D147" s="68"/>
      <c r="E147" s="68"/>
      <c r="F147" s="68"/>
      <c r="G147" s="69" t="e">
        <f t="shared" si="24"/>
        <v>#N/A</v>
      </c>
      <c r="H147" s="69" t="e">
        <f t="shared" si="25"/>
        <v>#N/A</v>
      </c>
      <c r="I147" s="69" t="e">
        <f t="shared" si="26"/>
        <v>#N/A</v>
      </c>
      <c r="J147" s="69" t="e">
        <f t="shared" si="27"/>
        <v>#N/A</v>
      </c>
      <c r="K147" s="69" t="e">
        <f t="shared" si="28"/>
        <v>#N/A</v>
      </c>
      <c r="L147" s="70" t="e">
        <f t="shared" si="29"/>
        <v>#N/A</v>
      </c>
    </row>
    <row r="148" spans="2:12" x14ac:dyDescent="0.2">
      <c r="B148" s="65" t="s">
        <v>570</v>
      </c>
      <c r="C148" s="65"/>
      <c r="D148" s="65"/>
      <c r="E148" s="65"/>
      <c r="F148" s="65"/>
      <c r="G148" s="66" t="e">
        <f t="shared" si="24"/>
        <v>#N/A</v>
      </c>
      <c r="H148" s="66" t="e">
        <f t="shared" si="25"/>
        <v>#N/A</v>
      </c>
      <c r="I148" s="66" t="e">
        <f t="shared" si="26"/>
        <v>#N/A</v>
      </c>
      <c r="J148" s="66" t="e">
        <f t="shared" si="27"/>
        <v>#N/A</v>
      </c>
      <c r="K148" s="66" t="e">
        <f t="shared" si="28"/>
        <v>#N/A</v>
      </c>
      <c r="L148" s="71" t="e">
        <f t="shared" si="29"/>
        <v>#N/A</v>
      </c>
    </row>
    <row r="149" spans="2:12" x14ac:dyDescent="0.2">
      <c r="B149" s="68" t="s">
        <v>571</v>
      </c>
      <c r="C149" s="68"/>
      <c r="D149" s="68"/>
      <c r="E149" s="68"/>
      <c r="F149" s="68"/>
      <c r="G149" s="69" t="e">
        <f t="shared" si="24"/>
        <v>#N/A</v>
      </c>
      <c r="H149" s="69" t="e">
        <f t="shared" si="25"/>
        <v>#N/A</v>
      </c>
      <c r="I149" s="69" t="e">
        <f t="shared" si="26"/>
        <v>#N/A</v>
      </c>
      <c r="J149" s="69" t="e">
        <f t="shared" si="27"/>
        <v>#N/A</v>
      </c>
      <c r="K149" s="69" t="e">
        <f t="shared" si="28"/>
        <v>#N/A</v>
      </c>
      <c r="L149" s="70" t="e">
        <f t="shared" si="29"/>
        <v>#N/A</v>
      </c>
    </row>
    <row r="150" spans="2:12" x14ac:dyDescent="0.2">
      <c r="B150" s="65" t="s">
        <v>572</v>
      </c>
      <c r="C150" s="65"/>
      <c r="D150" s="65"/>
      <c r="E150" s="65"/>
      <c r="F150" s="65"/>
      <c r="G150" s="66" t="e">
        <f t="shared" si="24"/>
        <v>#N/A</v>
      </c>
      <c r="H150" s="66" t="e">
        <f t="shared" si="25"/>
        <v>#N/A</v>
      </c>
      <c r="I150" s="66" t="e">
        <f t="shared" si="26"/>
        <v>#N/A</v>
      </c>
      <c r="J150" s="66" t="e">
        <f t="shared" si="27"/>
        <v>#N/A</v>
      </c>
      <c r="K150" s="66" t="e">
        <f t="shared" si="28"/>
        <v>#N/A</v>
      </c>
      <c r="L150" s="71" t="e">
        <f t="shared" si="29"/>
        <v>#N/A</v>
      </c>
    </row>
    <row r="151" spans="2:12" x14ac:dyDescent="0.2">
      <c r="B151" s="68" t="s">
        <v>573</v>
      </c>
      <c r="C151" s="68"/>
      <c r="D151" s="68"/>
      <c r="E151" s="68"/>
      <c r="F151" s="68"/>
      <c r="G151" s="69" t="e">
        <f t="shared" si="24"/>
        <v>#N/A</v>
      </c>
      <c r="H151" s="69" t="e">
        <f t="shared" si="25"/>
        <v>#N/A</v>
      </c>
      <c r="I151" s="69" t="e">
        <f t="shared" si="26"/>
        <v>#N/A</v>
      </c>
      <c r="J151" s="69" t="e">
        <f t="shared" si="27"/>
        <v>#N/A</v>
      </c>
      <c r="K151" s="69" t="e">
        <f t="shared" si="28"/>
        <v>#N/A</v>
      </c>
      <c r="L151" s="70" t="e">
        <f t="shared" si="29"/>
        <v>#N/A</v>
      </c>
    </row>
    <row r="152" spans="2:12" x14ac:dyDescent="0.2">
      <c r="B152" s="65" t="s">
        <v>574</v>
      </c>
      <c r="C152" s="65"/>
      <c r="D152" s="65"/>
      <c r="E152" s="65"/>
      <c r="F152" s="65"/>
      <c r="G152" s="66" t="e">
        <f t="shared" si="24"/>
        <v>#N/A</v>
      </c>
      <c r="H152" s="66" t="e">
        <f t="shared" si="25"/>
        <v>#N/A</v>
      </c>
      <c r="I152" s="66" t="e">
        <f t="shared" si="26"/>
        <v>#N/A</v>
      </c>
      <c r="J152" s="66" t="e">
        <f t="shared" si="27"/>
        <v>#N/A</v>
      </c>
      <c r="K152" s="66" t="e">
        <f t="shared" si="28"/>
        <v>#N/A</v>
      </c>
      <c r="L152" s="71" t="e">
        <f t="shared" si="29"/>
        <v>#N/A</v>
      </c>
    </row>
    <row r="153" spans="2:12" x14ac:dyDescent="0.2">
      <c r="B153" s="68" t="s">
        <v>575</v>
      </c>
      <c r="C153" s="68"/>
      <c r="D153" s="68"/>
      <c r="E153" s="68"/>
      <c r="F153" s="68"/>
      <c r="G153" s="69" t="e">
        <f t="shared" si="24"/>
        <v>#N/A</v>
      </c>
      <c r="H153" s="69" t="e">
        <f t="shared" si="25"/>
        <v>#N/A</v>
      </c>
      <c r="I153" s="69" t="e">
        <f t="shared" si="26"/>
        <v>#N/A</v>
      </c>
      <c r="J153" s="69" t="e">
        <f t="shared" si="27"/>
        <v>#N/A</v>
      </c>
      <c r="K153" s="69" t="e">
        <f t="shared" si="28"/>
        <v>#N/A</v>
      </c>
      <c r="L153" s="70" t="e">
        <f t="shared" si="29"/>
        <v>#N/A</v>
      </c>
    </row>
    <row r="154" spans="2:12" x14ac:dyDescent="0.2">
      <c r="B154" s="65" t="s">
        <v>576</v>
      </c>
      <c r="C154" s="65"/>
      <c r="D154" s="65"/>
      <c r="E154" s="65"/>
      <c r="F154" s="65"/>
      <c r="G154" s="66" t="e">
        <f t="shared" si="24"/>
        <v>#N/A</v>
      </c>
      <c r="H154" s="66" t="e">
        <f t="shared" si="25"/>
        <v>#N/A</v>
      </c>
      <c r="I154" s="66" t="e">
        <f t="shared" si="26"/>
        <v>#N/A</v>
      </c>
      <c r="J154" s="66" t="e">
        <f t="shared" si="27"/>
        <v>#N/A</v>
      </c>
      <c r="K154" s="66" t="e">
        <f t="shared" si="28"/>
        <v>#N/A</v>
      </c>
      <c r="L154" s="71" t="e">
        <f t="shared" si="29"/>
        <v>#N/A</v>
      </c>
    </row>
    <row r="155" spans="2:12" ht="13.5" thickBot="1" x14ac:dyDescent="0.25">
      <c r="B155" s="75" t="s">
        <v>577</v>
      </c>
      <c r="C155" s="75"/>
      <c r="D155" s="75"/>
      <c r="E155" s="75"/>
      <c r="F155" s="75"/>
      <c r="G155" s="76" t="e">
        <f t="shared" si="24"/>
        <v>#N/A</v>
      </c>
      <c r="H155" s="76" t="e">
        <f t="shared" si="25"/>
        <v>#N/A</v>
      </c>
      <c r="I155" s="76" t="e">
        <f t="shared" si="26"/>
        <v>#N/A</v>
      </c>
      <c r="J155" s="76" t="e">
        <f t="shared" si="27"/>
        <v>#N/A</v>
      </c>
      <c r="K155" s="76" t="e">
        <f t="shared" si="28"/>
        <v>#N/A</v>
      </c>
      <c r="L155" s="77" t="e">
        <f t="shared" si="29"/>
        <v>#N/A</v>
      </c>
    </row>
  </sheetData>
  <sheetProtection sheet="1" objects="1" scenarios="1"/>
  <mergeCells count="10">
    <mergeCell ref="B1:X1"/>
    <mergeCell ref="AB1:AC1"/>
    <mergeCell ref="C12:F12"/>
    <mergeCell ref="G12:J12"/>
    <mergeCell ref="K12:K13"/>
    <mergeCell ref="L12:L13"/>
    <mergeCell ref="O12:R12"/>
    <mergeCell ref="S12:V12"/>
    <mergeCell ref="W12:W13"/>
    <mergeCell ref="X12:X13"/>
  </mergeCells>
  <pageMargins left="0.7" right="0.7" top="0.75" bottom="0.75" header="0.3" footer="0.3"/>
  <pageSetup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E8A94-4ACC-47B0-8528-297945FD8928}">
  <sheetPr codeName="Sheet2">
    <tabColor rgb="FFFF0000"/>
  </sheetPr>
  <dimension ref="B1:O69"/>
  <sheetViews>
    <sheetView showGridLines="0" zoomScaleNormal="100" workbookViewId="0">
      <selection activeCell="B2" sqref="B2"/>
    </sheetView>
  </sheetViews>
  <sheetFormatPr defaultColWidth="9.140625" defaultRowHeight="14.25" x14ac:dyDescent="0.2"/>
  <cols>
    <col min="1" max="1" width="9.140625" style="32"/>
    <col min="2" max="2" width="9.140625" style="209"/>
    <col min="3" max="3" width="22.7109375" style="7" customWidth="1"/>
    <col min="4" max="4" width="58" style="7" customWidth="1"/>
    <col min="5" max="5" width="47" style="7" customWidth="1"/>
    <col min="6" max="15" width="9.140625" style="2"/>
    <col min="16" max="16384" width="9.140625" style="32"/>
  </cols>
  <sheetData>
    <row r="1" spans="2:15" ht="15" x14ac:dyDescent="0.2">
      <c r="D1" s="164" t="s">
        <v>222</v>
      </c>
      <c r="E1" s="175" t="s">
        <v>832</v>
      </c>
    </row>
    <row r="2" spans="2:15" ht="39" thickBot="1" x14ac:dyDescent="0.25">
      <c r="B2" s="166">
        <v>1</v>
      </c>
      <c r="C2" s="166" t="s">
        <v>6</v>
      </c>
      <c r="D2" s="132" t="s">
        <v>831</v>
      </c>
      <c r="E2" s="39" t="s">
        <v>847</v>
      </c>
    </row>
    <row r="3" spans="2:15" ht="15" thickTop="1" x14ac:dyDescent="0.2">
      <c r="C3" s="113"/>
      <c r="D3" s="113"/>
      <c r="E3" s="113"/>
    </row>
    <row r="4" spans="2:15" ht="32.25" customHeight="1" x14ac:dyDescent="0.2">
      <c r="C4" s="303" t="s">
        <v>411</v>
      </c>
      <c r="D4" s="304"/>
      <c r="E4" s="305"/>
      <c r="H4" s="363" t="s">
        <v>848</v>
      </c>
      <c r="I4" s="363"/>
      <c r="J4" s="363"/>
      <c r="K4" s="363"/>
      <c r="L4" s="363"/>
      <c r="M4" s="363"/>
      <c r="N4" s="363"/>
      <c r="O4" s="363"/>
    </row>
    <row r="5" spans="2:15" x14ac:dyDescent="0.2">
      <c r="C5" s="113"/>
      <c r="D5" s="113"/>
      <c r="E5" s="113"/>
      <c r="H5" s="363"/>
      <c r="I5" s="363"/>
      <c r="J5" s="363"/>
      <c r="K5" s="363"/>
      <c r="L5" s="363"/>
      <c r="M5" s="363"/>
      <c r="N5" s="363"/>
      <c r="O5" s="363"/>
    </row>
    <row r="6" spans="2:15" ht="14.25" customHeight="1" x14ac:dyDescent="0.2">
      <c r="C6" s="169" t="s">
        <v>309</v>
      </c>
      <c r="D6" s="169" t="s">
        <v>222</v>
      </c>
      <c r="E6" s="169" t="s">
        <v>832</v>
      </c>
      <c r="H6" s="363"/>
      <c r="I6" s="363"/>
      <c r="J6" s="363"/>
      <c r="K6" s="363"/>
      <c r="L6" s="363"/>
      <c r="M6" s="363"/>
      <c r="N6" s="363"/>
      <c r="O6" s="363"/>
    </row>
    <row r="7" spans="2:15" ht="25.5" x14ac:dyDescent="0.2">
      <c r="C7" s="210" t="s">
        <v>223</v>
      </c>
      <c r="D7" s="132" t="s">
        <v>207</v>
      </c>
      <c r="E7" s="156" t="s">
        <v>310</v>
      </c>
    </row>
    <row r="8" spans="2:15" ht="38.25" x14ac:dyDescent="0.2">
      <c r="C8" s="210" t="s">
        <v>204</v>
      </c>
      <c r="D8" s="132" t="s">
        <v>208</v>
      </c>
      <c r="E8" s="156" t="s">
        <v>312</v>
      </c>
    </row>
    <row r="9" spans="2:15" ht="51" x14ac:dyDescent="0.2">
      <c r="C9" s="210" t="s">
        <v>205</v>
      </c>
      <c r="D9" s="132" t="s">
        <v>210</v>
      </c>
      <c r="E9" s="156" t="s">
        <v>313</v>
      </c>
    </row>
    <row r="10" spans="2:15" ht="63.75" x14ac:dyDescent="0.2">
      <c r="C10" s="210" t="s">
        <v>206</v>
      </c>
      <c r="D10" s="132" t="s">
        <v>209</v>
      </c>
      <c r="E10" s="156" t="s">
        <v>314</v>
      </c>
    </row>
    <row r="11" spans="2:15" ht="25.5" x14ac:dyDescent="0.2">
      <c r="C11" s="210" t="s">
        <v>211</v>
      </c>
      <c r="D11" s="132" t="s">
        <v>833</v>
      </c>
      <c r="E11" s="156" t="s">
        <v>311</v>
      </c>
    </row>
    <row r="12" spans="2:15" x14ac:dyDescent="0.2">
      <c r="C12" s="211"/>
      <c r="D12" s="212"/>
      <c r="E12" s="113"/>
    </row>
    <row r="13" spans="2:15" s="110" customFormat="1" ht="12.75" x14ac:dyDescent="0.2">
      <c r="B13" s="209"/>
      <c r="C13" s="130"/>
      <c r="D13" s="130"/>
      <c r="E13" s="129"/>
      <c r="F13" s="2"/>
      <c r="G13" s="2"/>
      <c r="H13" s="2"/>
      <c r="I13" s="2"/>
      <c r="J13" s="2"/>
      <c r="K13" s="2"/>
      <c r="L13" s="2"/>
      <c r="M13" s="2"/>
      <c r="N13" s="2"/>
      <c r="O13" s="2"/>
    </row>
    <row r="14" spans="2:15" ht="15" x14ac:dyDescent="0.2">
      <c r="C14" s="113"/>
      <c r="D14" s="164" t="s">
        <v>222</v>
      </c>
      <c r="E14" s="175" t="s">
        <v>832</v>
      </c>
    </row>
    <row r="15" spans="2:15" ht="45" customHeight="1" thickBot="1" x14ac:dyDescent="0.25">
      <c r="B15" s="166">
        <v>2</v>
      </c>
      <c r="C15" s="166" t="s">
        <v>137</v>
      </c>
      <c r="D15" s="132" t="s">
        <v>212</v>
      </c>
      <c r="E15" s="39" t="s">
        <v>308</v>
      </c>
    </row>
    <row r="16" spans="2:15" ht="15" thickTop="1" x14ac:dyDescent="0.2">
      <c r="C16" s="113"/>
      <c r="D16" s="113"/>
      <c r="E16" s="113"/>
    </row>
    <row r="17" spans="2:15" ht="32.25" customHeight="1" x14ac:dyDescent="0.2">
      <c r="C17" s="303" t="s">
        <v>412</v>
      </c>
      <c r="D17" s="304"/>
      <c r="E17" s="305"/>
    </row>
    <row r="18" spans="2:15" x14ac:dyDescent="0.2">
      <c r="C18" s="113"/>
      <c r="D18" s="113"/>
      <c r="E18" s="113"/>
    </row>
    <row r="19" spans="2:15" x14ac:dyDescent="0.2">
      <c r="C19" s="169" t="s">
        <v>309</v>
      </c>
      <c r="D19" s="169" t="s">
        <v>222</v>
      </c>
      <c r="E19" s="169" t="s">
        <v>832</v>
      </c>
    </row>
    <row r="20" spans="2:15" ht="25.5" x14ac:dyDescent="0.2">
      <c r="C20" s="210" t="s">
        <v>223</v>
      </c>
      <c r="D20" s="132" t="s">
        <v>214</v>
      </c>
      <c r="E20" s="156" t="s">
        <v>317</v>
      </c>
    </row>
    <row r="21" spans="2:15" ht="38.25" x14ac:dyDescent="0.2">
      <c r="C21" s="210" t="s">
        <v>204</v>
      </c>
      <c r="D21" s="132" t="s">
        <v>215</v>
      </c>
      <c r="E21" s="156" t="s">
        <v>318</v>
      </c>
    </row>
    <row r="22" spans="2:15" ht="51" x14ac:dyDescent="0.2">
      <c r="C22" s="210" t="s">
        <v>205</v>
      </c>
      <c r="D22" s="132" t="s">
        <v>216</v>
      </c>
      <c r="E22" s="156" t="s">
        <v>319</v>
      </c>
    </row>
    <row r="23" spans="2:15" ht="38.25" x14ac:dyDescent="0.2">
      <c r="C23" s="210" t="s">
        <v>206</v>
      </c>
      <c r="D23" s="132" t="s">
        <v>217</v>
      </c>
      <c r="E23" s="156" t="s">
        <v>320</v>
      </c>
    </row>
    <row r="24" spans="2:15" ht="38.25" x14ac:dyDescent="0.2">
      <c r="C24" s="210" t="s">
        <v>211</v>
      </c>
      <c r="D24" s="132" t="s">
        <v>835</v>
      </c>
      <c r="E24" s="156" t="s">
        <v>321</v>
      </c>
    </row>
    <row r="25" spans="2:15" x14ac:dyDescent="0.2">
      <c r="C25" s="113"/>
      <c r="D25" s="113"/>
      <c r="E25" s="113"/>
    </row>
    <row r="26" spans="2:15" s="110" customFormat="1" ht="12.75" x14ac:dyDescent="0.2">
      <c r="B26" s="209"/>
      <c r="C26" s="130"/>
      <c r="D26" s="130"/>
      <c r="E26" s="130"/>
      <c r="F26" s="2"/>
      <c r="G26" s="2"/>
      <c r="H26" s="2"/>
      <c r="I26" s="2"/>
      <c r="J26" s="2"/>
      <c r="K26" s="2"/>
      <c r="L26" s="2"/>
      <c r="M26" s="2"/>
      <c r="N26" s="2"/>
      <c r="O26" s="2"/>
    </row>
    <row r="27" spans="2:15" ht="15" x14ac:dyDescent="0.2">
      <c r="C27" s="113"/>
      <c r="D27" s="164" t="s">
        <v>222</v>
      </c>
      <c r="E27" s="175" t="s">
        <v>832</v>
      </c>
    </row>
    <row r="28" spans="2:15" ht="45" customHeight="1" x14ac:dyDescent="0.2">
      <c r="B28" s="172">
        <v>3</v>
      </c>
      <c r="C28" s="172" t="s">
        <v>138</v>
      </c>
      <c r="D28" s="132" t="s">
        <v>213</v>
      </c>
      <c r="E28" s="39" t="s">
        <v>315</v>
      </c>
    </row>
    <row r="29" spans="2:15" x14ac:dyDescent="0.2">
      <c r="C29" s="113"/>
      <c r="D29" s="113"/>
      <c r="E29" s="113"/>
    </row>
    <row r="30" spans="2:15" ht="32.25" customHeight="1" x14ac:dyDescent="0.2">
      <c r="C30" s="303" t="s">
        <v>413</v>
      </c>
      <c r="D30" s="304"/>
      <c r="E30" s="305"/>
    </row>
    <row r="31" spans="2:15" x14ac:dyDescent="0.2">
      <c r="C31" s="113"/>
      <c r="D31" s="113"/>
      <c r="E31" s="113"/>
    </row>
    <row r="32" spans="2:15" x14ac:dyDescent="0.2">
      <c r="C32" s="169" t="s">
        <v>309</v>
      </c>
      <c r="D32" s="169" t="s">
        <v>222</v>
      </c>
      <c r="E32" s="169" t="s">
        <v>832</v>
      </c>
    </row>
    <row r="33" spans="2:15" ht="25.5" x14ac:dyDescent="0.2">
      <c r="C33" s="210" t="s">
        <v>223</v>
      </c>
      <c r="D33" s="170" t="s">
        <v>218</v>
      </c>
      <c r="E33" s="213">
        <v>1000</v>
      </c>
    </row>
    <row r="34" spans="2:15" ht="38.25" x14ac:dyDescent="0.2">
      <c r="C34" s="210" t="s">
        <v>204</v>
      </c>
      <c r="D34" s="170" t="s">
        <v>219</v>
      </c>
      <c r="E34" s="213">
        <v>10000</v>
      </c>
    </row>
    <row r="35" spans="2:15" ht="51" x14ac:dyDescent="0.2">
      <c r="C35" s="210" t="s">
        <v>205</v>
      </c>
      <c r="D35" s="170" t="s">
        <v>220</v>
      </c>
      <c r="E35" s="213">
        <v>500000</v>
      </c>
    </row>
    <row r="36" spans="2:15" ht="38.25" x14ac:dyDescent="0.2">
      <c r="C36" s="210" t="s">
        <v>206</v>
      </c>
      <c r="D36" s="170" t="s">
        <v>221</v>
      </c>
      <c r="E36" s="213">
        <v>5000000</v>
      </c>
    </row>
    <row r="37" spans="2:15" x14ac:dyDescent="0.2">
      <c r="C37" s="210" t="s">
        <v>211</v>
      </c>
      <c r="D37" s="170" t="s">
        <v>316</v>
      </c>
      <c r="E37" s="173"/>
    </row>
    <row r="38" spans="2:15" x14ac:dyDescent="0.2">
      <c r="C38" s="113"/>
      <c r="D38" s="113"/>
      <c r="E38" s="113"/>
    </row>
    <row r="39" spans="2:15" s="110" customFormat="1" ht="12.75" x14ac:dyDescent="0.2">
      <c r="B39" s="209"/>
      <c r="C39" s="130"/>
      <c r="D39" s="130"/>
      <c r="E39" s="130"/>
      <c r="F39" s="2"/>
      <c r="G39" s="2"/>
      <c r="H39" s="2"/>
      <c r="I39" s="2"/>
      <c r="J39" s="2"/>
      <c r="K39" s="2"/>
      <c r="L39" s="2"/>
      <c r="M39" s="2"/>
      <c r="N39" s="2"/>
      <c r="O39" s="2"/>
    </row>
    <row r="40" spans="2:15" ht="15" x14ac:dyDescent="0.2">
      <c r="C40" s="113"/>
      <c r="D40" s="164" t="s">
        <v>222</v>
      </c>
      <c r="E40" s="175" t="s">
        <v>832</v>
      </c>
    </row>
    <row r="41" spans="2:15" ht="45" customHeight="1" thickBot="1" x14ac:dyDescent="0.25">
      <c r="B41" s="166">
        <v>4</v>
      </c>
      <c r="C41" s="166" t="s">
        <v>51</v>
      </c>
      <c r="D41" s="132" t="s">
        <v>836</v>
      </c>
      <c r="E41" s="39" t="s">
        <v>323</v>
      </c>
    </row>
    <row r="42" spans="2:15" ht="15" thickTop="1" x14ac:dyDescent="0.2">
      <c r="C42" s="113"/>
      <c r="D42" s="113"/>
      <c r="E42" s="113"/>
    </row>
    <row r="43" spans="2:15" ht="32.25" customHeight="1" x14ac:dyDescent="0.2">
      <c r="C43" s="303" t="s">
        <v>414</v>
      </c>
      <c r="D43" s="304"/>
      <c r="E43" s="305"/>
    </row>
    <row r="44" spans="2:15" x14ac:dyDescent="0.2">
      <c r="C44" s="113"/>
      <c r="D44" s="113"/>
      <c r="E44" s="113"/>
    </row>
    <row r="45" spans="2:15" x14ac:dyDescent="0.2">
      <c r="C45" s="169" t="s">
        <v>309</v>
      </c>
      <c r="D45" s="169" t="s">
        <v>222</v>
      </c>
      <c r="E45" s="169" t="s">
        <v>832</v>
      </c>
    </row>
    <row r="46" spans="2:15" ht="25.5" x14ac:dyDescent="0.2">
      <c r="C46" s="210" t="s">
        <v>223</v>
      </c>
      <c r="D46" s="132" t="s">
        <v>328</v>
      </c>
      <c r="E46" s="156" t="s">
        <v>849</v>
      </c>
    </row>
    <row r="47" spans="2:15" ht="38.25" x14ac:dyDescent="0.2">
      <c r="C47" s="210" t="s">
        <v>204</v>
      </c>
      <c r="D47" s="132" t="s">
        <v>837</v>
      </c>
      <c r="E47" s="156" t="s">
        <v>850</v>
      </c>
    </row>
    <row r="48" spans="2:15" ht="44.65" customHeight="1" x14ac:dyDescent="0.2">
      <c r="C48" s="210" t="s">
        <v>205</v>
      </c>
      <c r="D48" s="132" t="s">
        <v>322</v>
      </c>
      <c r="E48" s="156" t="s">
        <v>851</v>
      </c>
    </row>
    <row r="49" spans="3:5" ht="51" x14ac:dyDescent="0.2">
      <c r="C49" s="210" t="s">
        <v>206</v>
      </c>
      <c r="D49" s="132" t="s">
        <v>838</v>
      </c>
      <c r="E49" s="156" t="s">
        <v>852</v>
      </c>
    </row>
    <row r="50" spans="3:5" ht="25.5" x14ac:dyDescent="0.2">
      <c r="C50" s="210" t="s">
        <v>211</v>
      </c>
      <c r="D50" s="132" t="s">
        <v>839</v>
      </c>
      <c r="E50" s="156" t="s">
        <v>853</v>
      </c>
    </row>
    <row r="51" spans="3:5" x14ac:dyDescent="0.2">
      <c r="C51" s="113"/>
      <c r="D51" s="113"/>
      <c r="E51" s="113"/>
    </row>
    <row r="52" spans="3:5" x14ac:dyDescent="0.2">
      <c r="C52" s="113"/>
      <c r="D52" s="113"/>
      <c r="E52" s="113"/>
    </row>
    <row r="53" spans="3:5" x14ac:dyDescent="0.2">
      <c r="C53" s="113"/>
      <c r="D53" s="113"/>
      <c r="E53" s="113"/>
    </row>
    <row r="54" spans="3:5" x14ac:dyDescent="0.2">
      <c r="C54" s="113"/>
      <c r="D54" s="113"/>
      <c r="E54" s="113"/>
    </row>
    <row r="55" spans="3:5" x14ac:dyDescent="0.2">
      <c r="C55" s="113"/>
      <c r="D55" s="113"/>
      <c r="E55" s="113"/>
    </row>
    <row r="56" spans="3:5" x14ac:dyDescent="0.2">
      <c r="C56" s="113"/>
      <c r="D56" s="113"/>
      <c r="E56" s="113"/>
    </row>
    <row r="57" spans="3:5" x14ac:dyDescent="0.2">
      <c r="C57" s="113"/>
      <c r="D57" s="113"/>
      <c r="E57" s="113"/>
    </row>
    <row r="58" spans="3:5" x14ac:dyDescent="0.2">
      <c r="C58" s="113"/>
      <c r="D58" s="113"/>
      <c r="E58" s="113"/>
    </row>
    <row r="59" spans="3:5" x14ac:dyDescent="0.2">
      <c r="C59" s="113"/>
      <c r="D59" s="113"/>
      <c r="E59" s="113"/>
    </row>
    <row r="60" spans="3:5" x14ac:dyDescent="0.2">
      <c r="C60" s="113"/>
      <c r="D60" s="113"/>
      <c r="E60" s="113"/>
    </row>
    <row r="61" spans="3:5" x14ac:dyDescent="0.2">
      <c r="C61" s="113"/>
      <c r="D61" s="113"/>
      <c r="E61" s="113"/>
    </row>
    <row r="62" spans="3:5" x14ac:dyDescent="0.2">
      <c r="C62" s="113"/>
      <c r="D62" s="113"/>
      <c r="E62" s="113"/>
    </row>
    <row r="63" spans="3:5" x14ac:dyDescent="0.2">
      <c r="C63" s="113"/>
      <c r="D63" s="113"/>
      <c r="E63" s="113"/>
    </row>
    <row r="64" spans="3:5" x14ac:dyDescent="0.2">
      <c r="C64" s="113"/>
      <c r="D64" s="113"/>
      <c r="E64" s="113"/>
    </row>
    <row r="65" spans="3:5" x14ac:dyDescent="0.2">
      <c r="C65" s="113"/>
      <c r="D65" s="113"/>
      <c r="E65" s="113"/>
    </row>
    <row r="66" spans="3:5" x14ac:dyDescent="0.2">
      <c r="C66" s="113"/>
      <c r="D66" s="113"/>
      <c r="E66" s="113"/>
    </row>
    <row r="67" spans="3:5" x14ac:dyDescent="0.2">
      <c r="C67" s="113"/>
      <c r="D67" s="113"/>
      <c r="E67" s="113"/>
    </row>
    <row r="68" spans="3:5" x14ac:dyDescent="0.2">
      <c r="C68" s="113"/>
      <c r="D68" s="113"/>
      <c r="E68" s="113"/>
    </row>
    <row r="69" spans="3:5" x14ac:dyDescent="0.2">
      <c r="C69" s="113"/>
      <c r="D69" s="113"/>
      <c r="E69" s="113"/>
    </row>
  </sheetData>
  <sheetProtection sheet="1" objects="1" scenarios="1"/>
  <mergeCells count="5">
    <mergeCell ref="C4:E4"/>
    <mergeCell ref="C17:E17"/>
    <mergeCell ref="C30:E30"/>
    <mergeCell ref="C43:E43"/>
    <mergeCell ref="H4:O6"/>
  </mergeCells>
  <pageMargins left="0.7" right="0.7" top="0.75" bottom="0.75" header="0.3" footer="0.3"/>
  <pageSetup orientation="portrait" r:id="rId1"/>
  <legacyDrawing r:id="rId2"/>
  <tableParts count="4">
    <tablePart r:id="rId3"/>
    <tablePart r:id="rId4"/>
    <tablePart r:id="rId5"/>
    <tablePart r:id="rId6"/>
  </tablePar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B8DA8-23C4-4DF3-BE2D-A7ABDCB0601D}">
  <sheetPr codeName="Sheet5">
    <tabColor rgb="FFFF0000"/>
  </sheetPr>
  <dimension ref="B1:G48"/>
  <sheetViews>
    <sheetView showGridLines="0" zoomScaleNormal="100" workbookViewId="0">
      <selection activeCell="B2" sqref="B2:B4"/>
    </sheetView>
  </sheetViews>
  <sheetFormatPr defaultRowHeight="15" x14ac:dyDescent="0.25"/>
  <cols>
    <col min="1" max="1" width="4.140625" customWidth="1"/>
    <col min="2" max="2" width="8.7109375" style="181" customWidth="1"/>
    <col min="3" max="3" width="41.140625" customWidth="1"/>
    <col min="4" max="7" width="46.85546875" style="99" customWidth="1"/>
  </cols>
  <sheetData>
    <row r="1" spans="2:7" s="2" customFormat="1" ht="12.75" x14ac:dyDescent="0.2">
      <c r="B1" s="111"/>
      <c r="D1" s="7"/>
      <c r="E1" s="11"/>
      <c r="F1" s="11"/>
    </row>
    <row r="2" spans="2:7" s="2" customFormat="1" ht="12.75" customHeight="1" x14ac:dyDescent="0.2">
      <c r="B2" s="306">
        <v>1</v>
      </c>
      <c r="C2" s="306" t="s">
        <v>225</v>
      </c>
      <c r="D2" s="222" t="s">
        <v>136</v>
      </c>
      <c r="E2" s="154" t="s">
        <v>829</v>
      </c>
      <c r="F2" s="11"/>
    </row>
    <row r="3" spans="2:7" s="2" customFormat="1" ht="12.75" customHeight="1" x14ac:dyDescent="0.2">
      <c r="B3" s="307"/>
      <c r="C3" s="307"/>
      <c r="D3" s="222" t="s">
        <v>52</v>
      </c>
      <c r="E3" s="154" t="s">
        <v>135</v>
      </c>
      <c r="F3" s="11"/>
    </row>
    <row r="4" spans="2:7" s="2" customFormat="1" ht="12.75" customHeight="1" x14ac:dyDescent="0.2">
      <c r="B4" s="308"/>
      <c r="C4" s="308"/>
      <c r="D4" s="222" t="s">
        <v>53</v>
      </c>
      <c r="E4" s="155">
        <v>44408</v>
      </c>
      <c r="F4" s="11"/>
    </row>
    <row r="5" spans="2:7" s="2" customFormat="1" ht="12.75" x14ac:dyDescent="0.2">
      <c r="B5" s="111"/>
      <c r="D5" s="7"/>
      <c r="E5" s="11"/>
      <c r="F5" s="11"/>
      <c r="G5" s="11"/>
    </row>
    <row r="6" spans="2:7" s="2" customFormat="1" ht="12.75" x14ac:dyDescent="0.2">
      <c r="B6" s="3"/>
      <c r="C6" s="3"/>
      <c r="D6" s="4"/>
      <c r="E6" s="4"/>
      <c r="F6" s="4"/>
      <c r="G6" s="4"/>
    </row>
    <row r="7" spans="2:7" s="2" customFormat="1" ht="12.75" x14ac:dyDescent="0.2">
      <c r="B7" s="111"/>
      <c r="D7" s="7"/>
      <c r="E7" s="11"/>
      <c r="F7" s="11"/>
      <c r="G7" s="11"/>
    </row>
    <row r="8" spans="2:7" s="2" customFormat="1" ht="15.75" x14ac:dyDescent="0.2">
      <c r="B8" s="180">
        <v>2</v>
      </c>
      <c r="C8" s="49" t="s">
        <v>47</v>
      </c>
      <c r="D8" s="311"/>
      <c r="E8" s="311"/>
      <c r="F8" s="311"/>
      <c r="G8" s="311"/>
    </row>
    <row r="9" spans="2:7" s="2" customFormat="1" ht="12.75" x14ac:dyDescent="0.2">
      <c r="B9" s="111"/>
      <c r="D9" s="11"/>
      <c r="E9" s="11"/>
      <c r="F9" s="11"/>
      <c r="G9" s="11"/>
    </row>
    <row r="10" spans="2:7" s="2" customFormat="1" ht="26.25" customHeight="1" x14ac:dyDescent="0.2">
      <c r="B10" s="111"/>
      <c r="C10" s="182" t="s">
        <v>5</v>
      </c>
      <c r="D10" s="183" t="s">
        <v>6</v>
      </c>
      <c r="E10" s="183" t="s">
        <v>137</v>
      </c>
      <c r="F10" s="184" t="s">
        <v>138</v>
      </c>
      <c r="G10" s="185" t="s">
        <v>51</v>
      </c>
    </row>
    <row r="11" spans="2:7" s="2" customFormat="1" ht="38.25" x14ac:dyDescent="0.2">
      <c r="B11" s="111"/>
      <c r="C11" s="186" t="s">
        <v>4</v>
      </c>
      <c r="D11" s="156" t="str">
        <f>IF(ISBLANK('Impact Criteria Survey -EXAMPLE'!E2),"",'Impact Criteria Survey -EXAMPLE'!E2)</f>
        <v>Reliably produce just-in-time, custom widgets that meet demanding resiliency and design specifications, and within market-leading turnaround times.</v>
      </c>
      <c r="E11" s="156" t="str">
        <f>IF(ISBLANK('Impact Criteria Survey -EXAMPLE'!E15),"",'Impact Criteria Survey -EXAMPLE'!E15)</f>
        <v>To maintain our market position as the best custom widgets manufacturer.</v>
      </c>
      <c r="F11" s="156" t="str">
        <f>IF(ISBLANK('Impact Criteria Survey -EXAMPLE'!E28),"",'Impact Criteria Survey -EXAMPLE'!E28)</f>
        <v>To achieve our profit goals each year.</v>
      </c>
      <c r="G11" s="157" t="str">
        <f>IF(ISBLANK('Impact Criteria Survey -EXAMPLE'!E41),"",'Impact Criteria Survey -EXAMPLE'!E41)</f>
        <v>To protect our customers from harm due to loss of their intellectual property.</v>
      </c>
    </row>
    <row r="12" spans="2:7" s="2" customFormat="1" ht="25.5" x14ac:dyDescent="0.2">
      <c r="B12" s="111"/>
      <c r="C12" s="189" t="s">
        <v>199</v>
      </c>
      <c r="D12" s="156" t="str">
        <f>IF(ISBLANK('Impact Criteria Survey -EXAMPLE'!E7),"",'Impact Criteria Survey -EXAMPLE'!E7)</f>
        <v>All orders would be produced within specifications and on time and without unplanned effort.</v>
      </c>
      <c r="E12" s="156" t="str">
        <f>IF(ISBLANK('Impact Criteria Survey -EXAMPLE'!E20),"",'Impact Criteria Survey -EXAMPLE'!E20)</f>
        <v>Ranked as #1 in all categories in annual "Custom Widget World" Magazine poll.</v>
      </c>
      <c r="F12" s="236">
        <f>IF(ISBLANK('Impact Criteria Survey -EXAMPLE'!E33),"",'Impact Criteria Survey -EXAMPLE'!E33)</f>
        <v>1000</v>
      </c>
      <c r="G12" s="157" t="str">
        <f>IF(ISBLANK('Impact Criteria Survey -EXAMPLE'!E46),"",'Impact Criteria Survey -EXAMPLE'!E46)</f>
        <v>No customer would suffer a loss of competitive advantage.</v>
      </c>
    </row>
    <row r="13" spans="2:7" s="2" customFormat="1" ht="38.25" x14ac:dyDescent="0.2">
      <c r="B13" s="111"/>
      <c r="C13" s="189" t="s">
        <v>200</v>
      </c>
      <c r="D13" s="156" t="str">
        <f>IF(ISBLANK('Impact Criteria Survey -EXAMPLE'!E8),"",'Impact Criteria Survey -EXAMPLE'!E8)</f>
        <v>All orders would be produced within specifications and on time, but some may require unplanned effort to stay within tolerance metrics.</v>
      </c>
      <c r="E13" s="156" t="str">
        <f>IF(ISBLANK('Impact Criteria Survey -EXAMPLE'!E21),"",'Impact Criteria Survey -EXAMPLE'!E21)</f>
        <v>Ranked as #1 in only one category of "Custom Widget World" Magazine poll for only one year.</v>
      </c>
      <c r="F13" s="236">
        <f>IF(ISBLANK('Impact Criteria Survey -EXAMPLE'!E34),"",'Impact Criteria Survey -EXAMPLE'!E34)</f>
        <v>10000</v>
      </c>
      <c r="G13" s="157" t="str">
        <f>IF(ISBLANK('Impact Criteria Survey -EXAMPLE'!E47),"",'Impact Criteria Survey -EXAMPLE'!E47)</f>
        <v>One or few customers may be concerned about potential loss of competitive advantage, but no harm would result.</v>
      </c>
    </row>
    <row r="14" spans="2:7" s="2" customFormat="1" ht="38.25" x14ac:dyDescent="0.2">
      <c r="B14" s="111"/>
      <c r="C14" s="189" t="s">
        <v>201</v>
      </c>
      <c r="D14" s="156" t="str">
        <f>IF(ISBLANK('Impact Criteria Survey -EXAMPLE'!E9),"",'Impact Criteria Survey -EXAMPLE'!E9)</f>
        <v>Few orders each quarter (outside of our tolerance metrics) may miss targets, but could be corrected with adjustments or discounts.</v>
      </c>
      <c r="E14" s="156" t="str">
        <f>IF(ISBLANK('Impact Criteria Survey -EXAMPLE'!E22),"",'Impact Criteria Survey -EXAMPLE'!E22)</f>
        <v>Not ranked #1 in any category of "Custom Widget World" Magazine poll for one year.</v>
      </c>
      <c r="F14" s="236">
        <f>IF(ISBLANK('Impact Criteria Survey -EXAMPLE'!E35),"",'Impact Criteria Survey -EXAMPLE'!E35)</f>
        <v>500000</v>
      </c>
      <c r="G14" s="157" t="str">
        <f>IF(ISBLANK('Impact Criteria Survey -EXAMPLE'!E48),"",'Impact Criteria Survey -EXAMPLE'!E48)</f>
        <v>One or few customers would suffer minor loss of competitive advantage, but they could be made whole within a fiscal year.</v>
      </c>
    </row>
    <row r="15" spans="2:7" s="2" customFormat="1" ht="63.75" x14ac:dyDescent="0.2">
      <c r="B15" s="111"/>
      <c r="C15" s="189" t="s">
        <v>202</v>
      </c>
      <c r="D15" s="156" t="str">
        <f>IF(ISBLANK('Impact Criteria Survey -EXAMPLE'!E10),"",'Impact Criteria Survey -EXAMPLE'!E10)</f>
        <v xml:space="preserve">We would repeatedly miss targets outside of tolerance metrics, requiring regular adjustments or discounts per quarter, or would require significant re-investment to operate regularly within our tolerance metrics. </v>
      </c>
      <c r="E15" s="156" t="str">
        <f>IF(ISBLANK('Impact Criteria Survey -EXAMPLE'!E23),"",'Impact Criteria Survey -EXAMPLE'!E23)</f>
        <v>Not ranked in top three in any category of "Custom Widget World" Magazine poll for two years or more.</v>
      </c>
      <c r="F15" s="236">
        <f>IF(ISBLANK('Impact Criteria Survey -EXAMPLE'!E36),"",'Impact Criteria Survey -EXAMPLE'!E36)</f>
        <v>5000000</v>
      </c>
      <c r="G15" s="157" t="str">
        <f>IF(ISBLANK('Impact Criteria Survey -EXAMPLE'!E49),"",'Impact Criteria Survey -EXAMPLE'!E49)</f>
        <v>Many customers would suffer minor loss of competitive advantage, or one to few customers would suffer harm that would require significant business investment or planning to recover.</v>
      </c>
    </row>
    <row r="16" spans="2:7" s="2" customFormat="1" ht="25.5" x14ac:dyDescent="0.2">
      <c r="B16" s="111"/>
      <c r="C16" s="190" t="s">
        <v>203</v>
      </c>
      <c r="D16" s="237" t="str">
        <f>IF(ISBLANK('Impact Criteria Survey -EXAMPLE'!E11),"",'Impact Criteria Survey -EXAMPLE'!E11)</f>
        <v>We could not meet our mission.</v>
      </c>
      <c r="E16" s="156" t="str">
        <f>IF(ISBLANK('Impact Criteria Survey -EXAMPLE'!E24),"",'Impact Criteria Survey -EXAMPLE'!E24)</f>
        <v>Unable to rank well in annual "Custom Widget World" Magazine poll.</v>
      </c>
      <c r="F16" s="223" t="str">
        <f>IF(ISBLANK('Impact Criteria Survey -EXAMPLE'!F24),"",'Impact Criteria Survey -EXAMPLE'!F24)</f>
        <v/>
      </c>
      <c r="G16" s="157" t="str">
        <f>IF(ISBLANK('Impact Criteria Survey -EXAMPLE'!E50),"",'Impact Criteria Survey -EXAMPLE'!E50)</f>
        <v xml:space="preserve">We would not be able to protect our customers from losses due to intellectual property theft. </v>
      </c>
    </row>
    <row r="17" spans="2:7" s="2" customFormat="1" ht="12.75" x14ac:dyDescent="0.2">
      <c r="B17" s="111"/>
      <c r="D17" s="7"/>
      <c r="E17" s="11"/>
      <c r="F17" s="11"/>
      <c r="G17" s="11"/>
    </row>
    <row r="18" spans="2:7" s="2" customFormat="1" ht="12.75" x14ac:dyDescent="0.2">
      <c r="B18" s="3"/>
      <c r="C18" s="3"/>
      <c r="D18" s="4"/>
      <c r="E18" s="4"/>
      <c r="F18" s="4"/>
      <c r="G18" s="4"/>
    </row>
    <row r="19" spans="2:7" s="2" customFormat="1" ht="12.75" x14ac:dyDescent="0.2">
      <c r="B19" s="111"/>
      <c r="D19" s="7"/>
      <c r="E19" s="11"/>
      <c r="F19" s="11"/>
      <c r="G19" s="11"/>
    </row>
    <row r="20" spans="2:7" s="2" customFormat="1" ht="15.75" x14ac:dyDescent="0.2">
      <c r="B20" s="180">
        <v>3</v>
      </c>
      <c r="C20" s="49" t="s">
        <v>801</v>
      </c>
      <c r="D20" s="312"/>
      <c r="E20" s="313"/>
      <c r="F20" s="11"/>
      <c r="G20" s="11"/>
    </row>
    <row r="21" spans="2:7" s="2" customFormat="1" x14ac:dyDescent="0.2">
      <c r="B21" s="111"/>
      <c r="C21" s="41"/>
      <c r="D21" s="224"/>
      <c r="E21" s="225"/>
      <c r="F21" s="11"/>
      <c r="G21" s="11"/>
    </row>
    <row r="22" spans="2:7" s="2" customFormat="1" ht="14.25" x14ac:dyDescent="0.2">
      <c r="B22" s="111"/>
      <c r="C22" s="193" t="s">
        <v>802</v>
      </c>
      <c r="D22" s="226" t="s">
        <v>803</v>
      </c>
      <c r="E22" s="227" t="s">
        <v>300</v>
      </c>
      <c r="F22" s="11"/>
      <c r="G22" s="11"/>
    </row>
    <row r="23" spans="2:7" s="2" customFormat="1" ht="12.75" x14ac:dyDescent="0.2">
      <c r="B23" s="111"/>
      <c r="C23" s="186">
        <v>1</v>
      </c>
      <c r="D23" s="228" t="s">
        <v>301</v>
      </c>
      <c r="E23" s="196" t="s">
        <v>840</v>
      </c>
      <c r="F23" s="11"/>
      <c r="G23" s="11"/>
    </row>
    <row r="24" spans="2:7" s="2" customFormat="1" ht="25.5" x14ac:dyDescent="0.2">
      <c r="B24" s="111"/>
      <c r="C24" s="186">
        <v>2</v>
      </c>
      <c r="D24" s="228" t="s">
        <v>302</v>
      </c>
      <c r="E24" s="196" t="s">
        <v>841</v>
      </c>
      <c r="F24" s="11"/>
      <c r="G24" s="11"/>
    </row>
    <row r="25" spans="2:7" s="2" customFormat="1" ht="25.5" x14ac:dyDescent="0.2">
      <c r="B25" s="111"/>
      <c r="C25" s="186">
        <v>3</v>
      </c>
      <c r="D25" s="228" t="s">
        <v>303</v>
      </c>
      <c r="E25" s="196" t="s">
        <v>842</v>
      </c>
      <c r="F25" s="11"/>
      <c r="G25" s="11"/>
    </row>
    <row r="26" spans="2:7" s="2" customFormat="1" ht="12.75" x14ac:dyDescent="0.2">
      <c r="B26" s="111"/>
      <c r="C26" s="186">
        <v>4</v>
      </c>
      <c r="D26" s="228" t="s">
        <v>304</v>
      </c>
      <c r="E26" s="196" t="s">
        <v>843</v>
      </c>
      <c r="F26" s="11"/>
      <c r="G26" s="11"/>
    </row>
    <row r="27" spans="2:7" s="2" customFormat="1" ht="12.75" x14ac:dyDescent="0.2">
      <c r="B27" s="111"/>
      <c r="C27" s="197">
        <v>5</v>
      </c>
      <c r="D27" s="229" t="s">
        <v>305</v>
      </c>
      <c r="E27" s="198" t="s">
        <v>844</v>
      </c>
      <c r="F27" s="11"/>
      <c r="G27" s="11"/>
    </row>
    <row r="28" spans="2:7" s="2" customFormat="1" ht="12.75" x14ac:dyDescent="0.2">
      <c r="B28" s="111"/>
      <c r="D28" s="7"/>
      <c r="E28" s="11"/>
      <c r="F28" s="11"/>
      <c r="G28" s="11"/>
    </row>
    <row r="29" spans="2:7" s="2" customFormat="1" ht="12.75" x14ac:dyDescent="0.2">
      <c r="B29" s="3"/>
      <c r="C29" s="3"/>
      <c r="D29" s="4"/>
      <c r="E29" s="4"/>
      <c r="F29" s="4"/>
      <c r="G29" s="4"/>
    </row>
    <row r="30" spans="2:7" s="2" customFormat="1" ht="12.75" x14ac:dyDescent="0.2">
      <c r="B30" s="111"/>
      <c r="D30" s="7"/>
      <c r="E30" s="11"/>
      <c r="F30" s="11"/>
      <c r="G30" s="11"/>
    </row>
    <row r="31" spans="2:7" s="2" customFormat="1" ht="15.75" x14ac:dyDescent="0.2">
      <c r="B31" s="180">
        <v>4</v>
      </c>
      <c r="C31" s="49" t="s">
        <v>8</v>
      </c>
      <c r="D31" s="314"/>
      <c r="E31" s="315"/>
      <c r="F31" s="11"/>
      <c r="G31" s="11"/>
    </row>
    <row r="32" spans="2:7" s="2" customFormat="1" ht="12.75" x14ac:dyDescent="0.2">
      <c r="B32" s="111"/>
      <c r="D32" s="22"/>
      <c r="E32" s="36"/>
      <c r="F32" s="11"/>
      <c r="G32" s="11"/>
    </row>
    <row r="33" spans="2:7" s="2" customFormat="1" ht="12.75" customHeight="1" x14ac:dyDescent="0.25">
      <c r="B33" s="111"/>
      <c r="C33" s="311" t="s">
        <v>845</v>
      </c>
      <c r="D33" s="230" t="s">
        <v>803</v>
      </c>
      <c r="E33" s="231" t="s">
        <v>306</v>
      </c>
      <c r="F33" s="11"/>
      <c r="G33" s="11"/>
    </row>
    <row r="34" spans="2:7" s="2" customFormat="1" ht="13.5" thickBot="1" x14ac:dyDescent="0.25">
      <c r="B34" s="111"/>
      <c r="C34" s="311"/>
      <c r="D34" s="232">
        <v>3</v>
      </c>
      <c r="E34" s="233">
        <v>3</v>
      </c>
      <c r="F34" s="11"/>
      <c r="G34" s="11"/>
    </row>
    <row r="35" spans="2:7" s="2" customFormat="1" ht="13.5" thickBot="1" x14ac:dyDescent="0.25">
      <c r="B35" s="111"/>
      <c r="C35" s="316"/>
      <c r="D35" s="234" t="s">
        <v>307</v>
      </c>
      <c r="E35" s="235">
        <f>D34*E34</f>
        <v>9</v>
      </c>
      <c r="F35" s="11"/>
      <c r="G35" s="11"/>
    </row>
    <row r="36" spans="2:7" s="2" customFormat="1" ht="12.75" x14ac:dyDescent="0.2">
      <c r="B36" s="111"/>
      <c r="D36" s="7"/>
      <c r="E36" s="11"/>
      <c r="F36" s="11"/>
      <c r="G36" s="11"/>
    </row>
    <row r="37" spans="2:7" s="2" customFormat="1" ht="12.75" x14ac:dyDescent="0.2">
      <c r="B37" s="3"/>
      <c r="C37" s="3"/>
      <c r="D37" s="4"/>
      <c r="E37" s="4"/>
      <c r="F37" s="4"/>
      <c r="G37" s="4"/>
    </row>
    <row r="38" spans="2:7" s="2" customFormat="1" ht="12.75" x14ac:dyDescent="0.2">
      <c r="B38" s="111"/>
      <c r="D38" s="7"/>
      <c r="E38" s="11"/>
      <c r="F38" s="11"/>
      <c r="G38" s="11"/>
    </row>
    <row r="39" spans="2:7" s="2" customFormat="1" ht="45" customHeight="1" x14ac:dyDescent="0.2">
      <c r="B39" s="180">
        <v>5</v>
      </c>
      <c r="C39" s="49" t="s">
        <v>55</v>
      </c>
      <c r="D39" s="309" t="s">
        <v>846</v>
      </c>
      <c r="E39" s="310"/>
      <c r="F39" s="310"/>
      <c r="G39" s="310"/>
    </row>
    <row r="40" spans="2:7" s="2" customFormat="1" ht="12.75" x14ac:dyDescent="0.2">
      <c r="B40" s="111"/>
      <c r="C40" s="6"/>
      <c r="D40" s="7"/>
      <c r="E40" s="7"/>
      <c r="F40" s="7"/>
      <c r="G40" s="11"/>
    </row>
    <row r="41" spans="2:7" s="2" customFormat="1" x14ac:dyDescent="0.2">
      <c r="B41" s="111"/>
      <c r="C41" s="182" t="s">
        <v>50</v>
      </c>
      <c r="D41" s="183" t="s">
        <v>45</v>
      </c>
      <c r="E41" s="183" t="s">
        <v>139</v>
      </c>
      <c r="F41" s="184" t="s">
        <v>224</v>
      </c>
      <c r="G41" s="185" t="s">
        <v>46</v>
      </c>
    </row>
    <row r="42" spans="2:7" s="2" customFormat="1" ht="12.75" x14ac:dyDescent="0.2">
      <c r="B42" s="111"/>
      <c r="C42" s="199" t="s">
        <v>135</v>
      </c>
      <c r="D42" s="200">
        <f>IF(MAX(D43:D47)=0,"",MAX(D43:D47))</f>
        <v>4</v>
      </c>
      <c r="E42" s="200">
        <f>IF(MAX(E43:E47)=0,"",MAX(E43:E47))</f>
        <v>4</v>
      </c>
      <c r="F42" s="200">
        <f>IF(MAX(F43:F47)=0,"",MAX(F43:F47))</f>
        <v>5</v>
      </c>
      <c r="G42" s="201">
        <f>IF(MAX(G43:G47)=0,"",MAX(G43:G47))</f>
        <v>5</v>
      </c>
    </row>
    <row r="43" spans="2:7" s="2" customFormat="1" ht="12.75" x14ac:dyDescent="0.2">
      <c r="B43" s="111"/>
      <c r="C43" s="189" t="s">
        <v>131</v>
      </c>
      <c r="D43" s="42">
        <v>2</v>
      </c>
      <c r="E43" s="42">
        <v>1</v>
      </c>
      <c r="F43" s="42">
        <v>3</v>
      </c>
      <c r="G43" s="47">
        <v>3</v>
      </c>
    </row>
    <row r="44" spans="2:7" s="2" customFormat="1" ht="12.75" x14ac:dyDescent="0.2">
      <c r="B44" s="111"/>
      <c r="C44" s="199" t="s">
        <v>132</v>
      </c>
      <c r="D44" s="43">
        <v>4</v>
      </c>
      <c r="E44" s="43">
        <v>2</v>
      </c>
      <c r="F44" s="43">
        <v>4</v>
      </c>
      <c r="G44" s="48">
        <v>5</v>
      </c>
    </row>
    <row r="45" spans="2:7" s="2" customFormat="1" ht="12.75" x14ac:dyDescent="0.2">
      <c r="B45" s="111"/>
      <c r="C45" s="189" t="s">
        <v>130</v>
      </c>
      <c r="D45" s="42">
        <v>3</v>
      </c>
      <c r="E45" s="42">
        <v>4</v>
      </c>
      <c r="F45" s="42">
        <v>5</v>
      </c>
      <c r="G45" s="47">
        <v>2</v>
      </c>
    </row>
    <row r="46" spans="2:7" s="2" customFormat="1" ht="12.75" x14ac:dyDescent="0.2">
      <c r="B46" s="111"/>
      <c r="C46" s="199" t="s">
        <v>133</v>
      </c>
      <c r="D46" s="43">
        <v>3</v>
      </c>
      <c r="E46" s="43">
        <v>4</v>
      </c>
      <c r="F46" s="43">
        <v>3</v>
      </c>
      <c r="G46" s="48">
        <v>1</v>
      </c>
    </row>
    <row r="47" spans="2:7" s="2" customFormat="1" ht="12.75" x14ac:dyDescent="0.2">
      <c r="B47" s="111"/>
      <c r="C47" s="190" t="s">
        <v>134</v>
      </c>
      <c r="D47" s="42">
        <v>3</v>
      </c>
      <c r="E47" s="42">
        <v>3</v>
      </c>
      <c r="F47" s="42">
        <v>4</v>
      </c>
      <c r="G47" s="47">
        <v>4</v>
      </c>
    </row>
    <row r="48" spans="2:7" s="2" customFormat="1" ht="12.75" x14ac:dyDescent="0.2">
      <c r="B48" s="111"/>
      <c r="D48" s="7"/>
      <c r="E48" s="11"/>
      <c r="F48" s="11"/>
      <c r="G48" s="11"/>
    </row>
  </sheetData>
  <sheetProtection sheet="1" objects="1" scenarios="1"/>
  <mergeCells count="7">
    <mergeCell ref="B2:B4"/>
    <mergeCell ref="D31:E31"/>
    <mergeCell ref="C33:C35"/>
    <mergeCell ref="D39:G39"/>
    <mergeCell ref="C2:C4"/>
    <mergeCell ref="D8:G8"/>
    <mergeCell ref="D20:E20"/>
  </mergeCells>
  <dataValidations count="1">
    <dataValidation type="list" allowBlank="1" showInputMessage="1" showErrorMessage="1" sqref="D34:E34 D43:G47" xr:uid="{CF7D8B8F-7E25-4F71-9724-E7C259D7E6B2}">
      <formula1>"1,2,3,4,5"</formula1>
    </dataValidation>
  </dataValidations>
  <pageMargins left="0.7" right="0.7" top="0.75" bottom="0.75" header="0.3" footer="0.3"/>
  <pageSetup orientation="portrait" r:id="rId1"/>
  <ignoredErrors>
    <ignoredError sqref="D11 G11:G16 D43:D47 E43:E47 F43:F47 G43 G45:G47" calculatedColumn="1"/>
  </ignoredErrors>
  <legacyDrawing r:id="rId2"/>
  <tableParts count="3">
    <tablePart r:id="rId3"/>
    <tablePart r:id="rId4"/>
    <tablePart r:id="rId5"/>
  </tablePar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16B9E-0E37-487D-BD2A-09EED4EE213F}">
  <sheetPr>
    <tabColor rgb="FFFF0000"/>
  </sheetPr>
  <dimension ref="B2:AN142"/>
  <sheetViews>
    <sheetView showGridLines="0" zoomScaleNormal="100" workbookViewId="0">
      <selection activeCell="B2" sqref="B2:B4"/>
    </sheetView>
  </sheetViews>
  <sheetFormatPr defaultColWidth="9.140625" defaultRowHeight="12.75" x14ac:dyDescent="0.2"/>
  <cols>
    <col min="1" max="1" width="9.140625" style="2"/>
    <col min="2" max="2" width="22.28515625" style="2" customWidth="1"/>
    <col min="3" max="3" width="22.85546875" style="2" customWidth="1"/>
    <col min="4" max="4" width="17" style="2" customWidth="1"/>
    <col min="5" max="5" width="30.28515625" style="8" customWidth="1"/>
    <col min="6" max="6" width="9.28515625" style="8" customWidth="1"/>
    <col min="7" max="7" width="9.140625" style="8" customWidth="1"/>
    <col min="8" max="9" width="26.140625" style="8" customWidth="1"/>
    <col min="10" max="10" width="24.7109375" style="8" customWidth="1"/>
    <col min="11" max="11" width="33.5703125" style="2" customWidth="1"/>
    <col min="12" max="19" width="13.28515625" style="2" customWidth="1"/>
    <col min="20" max="20" width="12.140625" style="2" customWidth="1"/>
    <col min="21" max="21" width="20.5703125" style="111" customWidth="1"/>
    <col min="22" max="22" width="26.42578125" style="2" customWidth="1"/>
    <col min="23" max="23" width="55.28515625" style="2" customWidth="1"/>
    <col min="24" max="24" width="77.7109375" style="2" customWidth="1"/>
    <col min="25" max="25" width="62.28515625" style="2" customWidth="1"/>
    <col min="26" max="26" width="22.140625" style="2" bestFit="1" customWidth="1"/>
    <col min="27" max="27" width="24.28515625" style="2" bestFit="1" customWidth="1"/>
    <col min="28" max="30" width="19.28515625" style="2" bestFit="1" customWidth="1"/>
    <col min="31" max="31" width="19.42578125" style="2" bestFit="1" customWidth="1"/>
    <col min="32" max="32" width="19.85546875" style="2" bestFit="1" customWidth="1"/>
    <col min="33" max="35" width="20.7109375" style="2" customWidth="1"/>
    <col min="36" max="36" width="20.140625" style="2" customWidth="1"/>
    <col min="37" max="37" width="13.42578125" style="2" bestFit="1" customWidth="1"/>
    <col min="38" max="38" width="14.140625" style="2" bestFit="1" customWidth="1"/>
    <col min="39" max="39" width="13.85546875" style="2" customWidth="1"/>
    <col min="40" max="16384" width="9.140625" style="2"/>
  </cols>
  <sheetData>
    <row r="2" spans="2:40" x14ac:dyDescent="0.2">
      <c r="B2" s="331" t="s">
        <v>225</v>
      </c>
      <c r="C2" s="1" t="s">
        <v>136</v>
      </c>
      <c r="D2" s="368" t="s">
        <v>829</v>
      </c>
      <c r="E2" s="368"/>
      <c r="F2" s="64"/>
      <c r="G2" s="363" t="s">
        <v>798</v>
      </c>
      <c r="H2" s="363"/>
      <c r="I2" s="363"/>
      <c r="J2" s="363"/>
      <c r="K2" s="363"/>
      <c r="L2" s="363"/>
      <c r="M2" s="363"/>
      <c r="N2" s="363"/>
      <c r="O2" s="363"/>
      <c r="P2" s="363"/>
      <c r="Q2" s="363"/>
    </row>
    <row r="3" spans="2:40" x14ac:dyDescent="0.2">
      <c r="B3" s="332"/>
      <c r="C3" s="1" t="s">
        <v>52</v>
      </c>
      <c r="D3" s="368" t="s">
        <v>135</v>
      </c>
      <c r="E3" s="368"/>
      <c r="F3" s="64"/>
      <c r="G3" s="363"/>
      <c r="H3" s="363"/>
      <c r="I3" s="363"/>
      <c r="J3" s="363"/>
      <c r="K3" s="363"/>
      <c r="L3" s="363"/>
      <c r="M3" s="363"/>
      <c r="N3" s="363"/>
      <c r="O3" s="363"/>
      <c r="P3" s="363"/>
      <c r="Q3" s="363"/>
    </row>
    <row r="4" spans="2:40" ht="27" customHeight="1" x14ac:dyDescent="0.2">
      <c r="B4" s="333"/>
      <c r="C4" s="1" t="s">
        <v>53</v>
      </c>
      <c r="D4" s="369">
        <v>44408</v>
      </c>
      <c r="E4" s="368"/>
      <c r="F4" s="128"/>
      <c r="G4" s="363"/>
      <c r="H4" s="363"/>
      <c r="I4" s="363"/>
      <c r="J4" s="363"/>
      <c r="K4" s="363"/>
      <c r="L4" s="363"/>
      <c r="M4" s="363"/>
      <c r="N4" s="363"/>
      <c r="O4" s="363"/>
      <c r="P4" s="363"/>
      <c r="Q4" s="363"/>
    </row>
    <row r="6" spans="2:40" x14ac:dyDescent="0.2">
      <c r="B6" s="3"/>
      <c r="C6" s="3"/>
      <c r="D6" s="3"/>
      <c r="E6" s="4"/>
      <c r="F6" s="4"/>
      <c r="G6" s="4"/>
      <c r="H6" s="4"/>
      <c r="I6" s="4"/>
      <c r="J6" s="4"/>
      <c r="K6" s="4"/>
      <c r="L6" s="4"/>
      <c r="M6" s="4"/>
      <c r="N6" s="4"/>
      <c r="O6" s="4"/>
      <c r="P6" s="4"/>
      <c r="Q6" s="4"/>
      <c r="R6" s="4"/>
      <c r="S6" s="4"/>
      <c r="T6" s="4"/>
      <c r="U6" s="12"/>
      <c r="V6" s="4"/>
      <c r="W6" s="4"/>
      <c r="X6" s="4"/>
      <c r="Y6" s="4"/>
      <c r="Z6" s="4"/>
      <c r="AA6" s="4"/>
      <c r="AB6" s="4"/>
      <c r="AC6" s="4"/>
      <c r="AD6" s="4"/>
      <c r="AE6" s="4"/>
      <c r="AF6" s="4"/>
      <c r="AG6" s="4"/>
      <c r="AH6" s="4"/>
      <c r="AI6" s="4"/>
      <c r="AJ6" s="4"/>
    </row>
    <row r="8" spans="2:40" s="220" customFormat="1" ht="30" x14ac:dyDescent="0.2">
      <c r="B8" s="219" t="s">
        <v>54</v>
      </c>
      <c r="C8" s="364" t="s">
        <v>182</v>
      </c>
      <c r="D8" s="364"/>
      <c r="E8" s="364"/>
      <c r="F8" s="364"/>
      <c r="G8" s="364"/>
      <c r="H8" s="364"/>
      <c r="I8" s="364"/>
      <c r="J8" s="364"/>
      <c r="K8" s="364"/>
      <c r="L8" s="364"/>
      <c r="M8" s="364"/>
      <c r="N8" s="364"/>
      <c r="O8" s="364"/>
      <c r="P8" s="364"/>
      <c r="Q8" s="364"/>
      <c r="R8" s="364"/>
      <c r="S8" s="364"/>
      <c r="T8" s="219" t="s">
        <v>54</v>
      </c>
      <c r="U8" s="365" t="s">
        <v>180</v>
      </c>
      <c r="V8" s="366"/>
      <c r="W8" s="366"/>
      <c r="X8" s="366"/>
      <c r="Y8" s="366"/>
      <c r="Z8" s="366"/>
      <c r="AA8" s="366"/>
      <c r="AB8" s="366"/>
      <c r="AC8" s="366"/>
      <c r="AD8" s="366"/>
      <c r="AE8" s="366"/>
      <c r="AF8" s="366"/>
      <c r="AG8" s="366"/>
      <c r="AH8" s="366"/>
      <c r="AI8" s="366"/>
      <c r="AJ8" s="367"/>
      <c r="AL8" s="365" t="s">
        <v>797</v>
      </c>
      <c r="AM8" s="366"/>
      <c r="AN8" s="367"/>
    </row>
    <row r="10" spans="2:40" s="11" customFormat="1" ht="51" x14ac:dyDescent="0.2">
      <c r="B10" s="9" t="s">
        <v>50</v>
      </c>
      <c r="C10" s="161" t="s">
        <v>329</v>
      </c>
      <c r="D10" s="9" t="s">
        <v>151</v>
      </c>
      <c r="E10" s="9" t="s">
        <v>152</v>
      </c>
      <c r="F10" s="9" t="s">
        <v>783</v>
      </c>
      <c r="G10" s="9" t="s">
        <v>784</v>
      </c>
      <c r="H10" s="9" t="s">
        <v>922</v>
      </c>
      <c r="I10" s="24" t="s">
        <v>811</v>
      </c>
      <c r="J10" s="161" t="s">
        <v>830</v>
      </c>
      <c r="K10" s="24" t="s">
        <v>804</v>
      </c>
      <c r="L10" s="24" t="s">
        <v>192</v>
      </c>
      <c r="M10" s="9" t="s">
        <v>48</v>
      </c>
      <c r="N10" s="9" t="s">
        <v>802</v>
      </c>
      <c r="O10" s="9" t="s">
        <v>0</v>
      </c>
      <c r="P10" s="9" t="s">
        <v>140</v>
      </c>
      <c r="Q10" s="9" t="s">
        <v>142</v>
      </c>
      <c r="R10" s="9" t="s">
        <v>1</v>
      </c>
      <c r="S10" s="9" t="s">
        <v>2</v>
      </c>
      <c r="T10" s="9" t="s">
        <v>3</v>
      </c>
      <c r="U10" s="5" t="s">
        <v>196</v>
      </c>
      <c r="V10" s="37" t="s">
        <v>56</v>
      </c>
      <c r="W10" s="37" t="s">
        <v>60</v>
      </c>
      <c r="X10" s="37" t="s">
        <v>61</v>
      </c>
      <c r="Y10" s="153" t="s">
        <v>153</v>
      </c>
      <c r="Z10" s="5" t="s">
        <v>193</v>
      </c>
      <c r="AA10" s="10" t="s">
        <v>806</v>
      </c>
      <c r="AB10" s="10" t="s">
        <v>62</v>
      </c>
      <c r="AC10" s="10" t="s">
        <v>141</v>
      </c>
      <c r="AD10" s="10" t="s">
        <v>796</v>
      </c>
      <c r="AE10" s="10" t="s">
        <v>63</v>
      </c>
      <c r="AF10" s="10" t="s">
        <v>65</v>
      </c>
      <c r="AG10" s="10" t="s">
        <v>181</v>
      </c>
      <c r="AH10" s="153" t="s">
        <v>64</v>
      </c>
      <c r="AI10" s="153" t="s">
        <v>147</v>
      </c>
      <c r="AJ10" s="153" t="s">
        <v>57</v>
      </c>
      <c r="AL10" s="12" t="s">
        <v>142</v>
      </c>
      <c r="AM10" s="12" t="s">
        <v>58</v>
      </c>
      <c r="AN10" s="12" t="s">
        <v>59</v>
      </c>
    </row>
    <row r="11" spans="2:40" ht="63.75" x14ac:dyDescent="0.2">
      <c r="B11" s="15" t="s">
        <v>132</v>
      </c>
      <c r="C11" s="15" t="s">
        <v>824</v>
      </c>
      <c r="D11" s="13">
        <v>2.1</v>
      </c>
      <c r="E11" s="14" t="s">
        <v>79</v>
      </c>
      <c r="F11" s="17" t="s">
        <v>785</v>
      </c>
      <c r="G11" s="17" t="s">
        <v>785</v>
      </c>
      <c r="H11" s="17" t="s">
        <v>926</v>
      </c>
      <c r="I11" s="14" t="s">
        <v>819</v>
      </c>
      <c r="J11" s="14" t="s">
        <v>906</v>
      </c>
      <c r="K11" s="14" t="s">
        <v>812</v>
      </c>
      <c r="L11" s="137">
        <v>3</v>
      </c>
      <c r="M11" s="26">
        <f>IFERROR(VLOOKUP(tblRiskRegister322[[#This Row],[Asset Class]],tblVCDBIndex[],4,FALSE),"")</f>
        <v>2</v>
      </c>
      <c r="N11" s="26">
        <f>IFERROR(VLOOKUP(10*tblRiskRegister322[[#This Row],[Safeguard Maturity Score]]+tblRiskRegister322[[#This Row],[VCDB Index]],tblHITIndexWeightTable[],4,FALSE),"")</f>
        <v>2</v>
      </c>
      <c r="O11" s="26">
        <f>VLOOKUP(tblRiskRegister322[[#This Row],[Asset Class]],tblInherentImpacts3046[],2,FALSE)</f>
        <v>4</v>
      </c>
      <c r="P11" s="26">
        <f>VLOOKUP(tblRiskRegister322[[#This Row],[Asset Class]],tblInherentImpacts3046[],3,FALSE)</f>
        <v>2</v>
      </c>
      <c r="Q11" s="26">
        <f>VLOOKUP(tblRiskRegister322[[#This Row],[Asset Class]],tblInherentImpacts3046[],4,FALSE)</f>
        <v>4</v>
      </c>
      <c r="R11" s="26">
        <f>VLOOKUP(tblRiskRegister322[[#This Row],[Asset Class]],tblInherentImpacts3046[],5,FALSE)</f>
        <v>5</v>
      </c>
      <c r="S11" s="26">
        <f>IFERROR(MAX(tblRiskRegister322[[#This Row],[Impact to Mission]:[Impact to Obligations]])*tblRiskRegister322[[#This Row],[Expectancy Score]],"")</f>
        <v>10</v>
      </c>
      <c r="T11" s="26">
        <f>tblRiskRegister322[[#This Row],[Risk Score]]</f>
        <v>10</v>
      </c>
      <c r="U11" s="17" t="s">
        <v>827</v>
      </c>
      <c r="V11" s="100">
        <v>2.1</v>
      </c>
      <c r="W11" s="15" t="s">
        <v>79</v>
      </c>
      <c r="X11" s="15" t="s">
        <v>419</v>
      </c>
      <c r="Y11" s="160" t="s">
        <v>873</v>
      </c>
      <c r="Z11" s="16">
        <v>5</v>
      </c>
      <c r="AA11" s="25">
        <f>IFERROR(VLOOKUP(10*tblRiskRegister322[[#This Row],[Risk Treatment Safeguard Maturity Score]]+tblRiskRegister322[[#This Row],[VCDB Index]],tblHITIndexWeightTable[],4,FALSE),"")</f>
        <v>1</v>
      </c>
      <c r="AB11" s="136">
        <f>VLOOKUP(tblRiskRegister322[[#This Row],[Asset Class]],tblInherentImpacts3046[],2,FALSE)</f>
        <v>4</v>
      </c>
      <c r="AC11" s="136">
        <f>VLOOKUP(tblRiskRegister322[[#This Row],[Asset Class]],tblInherentImpacts3046[],3,FALSE)</f>
        <v>2</v>
      </c>
      <c r="AD11" s="136">
        <f>VLOOKUP(tblRiskRegister322[[#This Row],[Asset Class]],tblInherentImpacts3046[],4,FALSE)</f>
        <v>4</v>
      </c>
      <c r="AE11" s="136">
        <f>VLOOKUP(tblRiskRegister322[[#This Row],[Asset Class]],tblInherentImpacts3046[],5,FALSE)</f>
        <v>5</v>
      </c>
      <c r="AF11" s="25">
        <f>IFERROR(MAX(tblRiskRegister322[[#This Row],[Risk Treatment Safeguard Impact to Mission]:[Risk Treatment Safeguard Impact to Obligations]])*tblRiskRegister322[[#This Row],[Risk Treatment
Safeguard Expectancy Score]],"")</f>
        <v>5</v>
      </c>
      <c r="AG11" s="27" t="str">
        <f>IF(tblRiskRegister322[[#This Row],[Risk Score]]&gt;AcceptableRisk1,IF(tblRiskRegister322[[#This Row],[Risk Treatment Safeguard Risk Score]]&lt;AcceptableRisk1, IF(tblRiskRegister322[[#This Row],[Risk Treatment Safeguard Risk Score]]&lt;=tblRiskRegister322[[#This Row],[Risk Score]],"Yes","No"),"No"),"Yes")</f>
        <v>Yes</v>
      </c>
      <c r="AH11" s="18">
        <v>0</v>
      </c>
      <c r="AI11" s="18" t="s">
        <v>826</v>
      </c>
      <c r="AJ11" s="19">
        <v>2022</v>
      </c>
      <c r="AL11" s="20">
        <f>SUMIF(tblRiskRegister322[[#All],[Implementation Year]],"="&amp;tblCostImpacts335[[#This Row],[Year]],tblRiskRegister322[[#All],[Risk Treatment Safeguard Cost]])</f>
        <v>0</v>
      </c>
      <c r="AM11" s="6">
        <v>2021</v>
      </c>
      <c r="AN11" s="6" t="str">
        <f>IF(tblCostImpacts335[[#This Row],[Impact to Financial Objectives]]&lt;='Enterprise Parameters  -EXAMPLE'!$F$13,"Yes","No")</f>
        <v>Yes</v>
      </c>
    </row>
    <row r="12" spans="2:40" ht="63.75" x14ac:dyDescent="0.2">
      <c r="B12" s="44" t="s">
        <v>132</v>
      </c>
      <c r="C12" s="44"/>
      <c r="D12" s="112">
        <v>2.1</v>
      </c>
      <c r="E12" s="14" t="s">
        <v>79</v>
      </c>
      <c r="F12" s="17" t="s">
        <v>785</v>
      </c>
      <c r="G12" s="17" t="s">
        <v>785</v>
      </c>
      <c r="H12" s="17" t="s">
        <v>926</v>
      </c>
      <c r="I12" s="14" t="s">
        <v>920</v>
      </c>
      <c r="J12" s="14" t="s">
        <v>906</v>
      </c>
      <c r="K12" s="14" t="s">
        <v>812</v>
      </c>
      <c r="L12" s="16">
        <v>2</v>
      </c>
      <c r="M12" s="29">
        <f>IFERROR(VLOOKUP(tblRiskRegister322[[#This Row],[Asset Class]],tblVCDBIndex[],4,FALSE),"")</f>
        <v>2</v>
      </c>
      <c r="N12" s="29">
        <f>IFERROR(VLOOKUP(10*tblRiskRegister322[[#This Row],[Safeguard Maturity Score]]+tblRiskRegister322[[#This Row],[VCDB Index]],tblHITIndexWeightTable[],4,FALSE),"")</f>
        <v>3</v>
      </c>
      <c r="O12" s="29">
        <f>VLOOKUP(tblRiskRegister322[[#This Row],[Asset Class]],tblInherentImpacts3046[],2,FALSE)</f>
        <v>4</v>
      </c>
      <c r="P12" s="29">
        <f>VLOOKUP(tblRiskRegister322[[#This Row],[Asset Class]],tblInherentImpacts3046[],3,FALSE)</f>
        <v>2</v>
      </c>
      <c r="Q12" s="29">
        <f>VLOOKUP(tblRiskRegister322[[#This Row],[Asset Class]],tblInherentImpacts3046[],4,FALSE)</f>
        <v>4</v>
      </c>
      <c r="R12" s="29">
        <f>VLOOKUP(tblRiskRegister322[[#This Row],[Asset Class]],tblInherentImpacts3046[],5,FALSE)</f>
        <v>5</v>
      </c>
      <c r="S12" s="29">
        <f>IFERROR(MAX(tblRiskRegister322[[#This Row],[Impact to Mission]:[Impact to Obligations]])*tblRiskRegister322[[#This Row],[Expectancy Score]],"")</f>
        <v>15</v>
      </c>
      <c r="T12" s="29">
        <f>tblRiskRegister322[[#This Row],[Risk Score]]</f>
        <v>15</v>
      </c>
      <c r="U12" s="17" t="s">
        <v>827</v>
      </c>
      <c r="V12" s="100">
        <v>2.1</v>
      </c>
      <c r="W12" s="15" t="s">
        <v>79</v>
      </c>
      <c r="X12" s="15" t="s">
        <v>419</v>
      </c>
      <c r="Y12" s="160"/>
      <c r="Z12" s="16"/>
      <c r="AA12" s="27" t="str">
        <f>IFERROR(VLOOKUP(10*tblRiskRegister322[[#This Row],[Risk Treatment Safeguard Maturity Score]]+tblRiskRegister322[[#This Row],[VCDB Index]],tblHITIndexWeightTable[],4,FALSE),"")</f>
        <v/>
      </c>
      <c r="AB12" s="136">
        <f>VLOOKUP(tblRiskRegister322[[#This Row],[Asset Class]],tblInherentImpacts3046[],2,FALSE)</f>
        <v>4</v>
      </c>
      <c r="AC12" s="136">
        <f>VLOOKUP(tblRiskRegister322[[#This Row],[Asset Class]],tblInherentImpacts3046[],3,FALSE)</f>
        <v>2</v>
      </c>
      <c r="AD12" s="136">
        <f>VLOOKUP(tblRiskRegister322[[#This Row],[Asset Class]],tblInherentImpacts3046[],4,FALSE)</f>
        <v>4</v>
      </c>
      <c r="AE12" s="136">
        <f>VLOOKUP(tblRiskRegister322[[#This Row],[Asset Class]],tblInherentImpacts3046[],5,FALSE)</f>
        <v>5</v>
      </c>
      <c r="AF12" s="25" t="str">
        <f>IFERROR(MAX(tblRiskRegister322[[#This Row],[Risk Treatment Safeguard Impact to Mission]:[Risk Treatment Safeguard Impact to Obligations]])*tblRiskRegister322[[#This Row],[Risk Treatment
Safeguard Expectancy Score]],"")</f>
        <v/>
      </c>
      <c r="AG12" s="27" t="str">
        <f>IF(tblRiskRegister322[[#This Row],[Risk Score]]&gt;AcceptableRisk1,IF(tblRiskRegister322[[#This Row],[Risk Treatment Safeguard Risk Score]]&lt;AcceptableRisk1, IF(tblRiskRegister322[[#This Row],[Risk Treatment Safeguard Risk Score]]&lt;=tblRiskRegister322[[#This Row],[Risk Score]],"Yes","No"),"No"),"Yes")</f>
        <v>No</v>
      </c>
      <c r="AH12" s="18"/>
      <c r="AI12" s="18"/>
      <c r="AJ12" s="19"/>
      <c r="AL12" s="20">
        <f>SUMIF(tblRiskRegister322[[#All],[Implementation Year]],"="&amp;tblCostImpacts335[[#This Row],[Year]],tblRiskRegister322[[#All],[Risk Treatment Safeguard Cost]])</f>
        <v>501000</v>
      </c>
      <c r="AM12" s="6">
        <v>2022</v>
      </c>
      <c r="AN12" s="6" t="str">
        <f>IF(tblCostImpacts335[[#This Row],[Impact to Financial Objectives]]&lt;='Enterprise Parameters  -EXAMPLE'!$F$13,"Yes","No")</f>
        <v>No</v>
      </c>
    </row>
    <row r="13" spans="2:40" ht="76.5" x14ac:dyDescent="0.2">
      <c r="B13" s="15" t="s">
        <v>132</v>
      </c>
      <c r="C13" s="15" t="s">
        <v>824</v>
      </c>
      <c r="D13" s="13">
        <v>2.2000000000000002</v>
      </c>
      <c r="E13" s="14" t="s">
        <v>80</v>
      </c>
      <c r="F13" s="17" t="s">
        <v>785</v>
      </c>
      <c r="G13" s="17" t="s">
        <v>785</v>
      </c>
      <c r="H13" s="17" t="s">
        <v>926</v>
      </c>
      <c r="I13" s="14" t="s">
        <v>820</v>
      </c>
      <c r="J13" s="14" t="s">
        <v>906</v>
      </c>
      <c r="K13" s="14" t="s">
        <v>813</v>
      </c>
      <c r="L13" s="137">
        <v>5</v>
      </c>
      <c r="M13" s="26">
        <f>IFERROR(VLOOKUP(tblRiskRegister322[[#This Row],[Asset Class]],tblVCDBIndex[],4,FALSE),"")</f>
        <v>2</v>
      </c>
      <c r="N13" s="26">
        <f>IFERROR(VLOOKUP(10*tblRiskRegister322[[#This Row],[Safeguard Maturity Score]]+tblRiskRegister322[[#This Row],[VCDB Index]],tblHITIndexWeightTable[],4,FALSE),"")</f>
        <v>1</v>
      </c>
      <c r="O13" s="26">
        <f>VLOOKUP(tblRiskRegister322[[#This Row],[Asset Class]],tblInherentImpacts3046[],2,FALSE)</f>
        <v>4</v>
      </c>
      <c r="P13" s="26">
        <f>VLOOKUP(tblRiskRegister322[[#This Row],[Asset Class]],tblInherentImpacts3046[],3,FALSE)</f>
        <v>2</v>
      </c>
      <c r="Q13" s="26">
        <f>VLOOKUP(tblRiskRegister322[[#This Row],[Asset Class]],tblInherentImpacts3046[],4,FALSE)</f>
        <v>4</v>
      </c>
      <c r="R13" s="26">
        <f>VLOOKUP(tblRiskRegister322[[#This Row],[Asset Class]],tblInherentImpacts3046[],5,FALSE)</f>
        <v>5</v>
      </c>
      <c r="S13" s="26">
        <f>IFERROR(MAX(tblRiskRegister322[[#This Row],[Impact to Mission]:[Impact to Obligations]])*tblRiskRegister322[[#This Row],[Expectancy Score]],"")</f>
        <v>5</v>
      </c>
      <c r="T13" s="26">
        <f>tblRiskRegister322[[#This Row],[Risk Score]]</f>
        <v>5</v>
      </c>
      <c r="U13" s="17" t="s">
        <v>828</v>
      </c>
      <c r="V13" s="100">
        <v>2.2000000000000002</v>
      </c>
      <c r="W13" s="15" t="s">
        <v>80</v>
      </c>
      <c r="X13" s="15" t="s">
        <v>420</v>
      </c>
      <c r="Y13" s="160"/>
      <c r="Z13" s="16"/>
      <c r="AA13" s="25" t="str">
        <f>IFERROR(VLOOKUP(10*tblRiskRegister322[[#This Row],[Risk Treatment Safeguard Maturity Score]]+tblRiskRegister322[[#This Row],[VCDB Index]],tblHITIndexWeightTable[],4,FALSE),"")</f>
        <v/>
      </c>
      <c r="AB13" s="136">
        <f>VLOOKUP(tblRiskRegister322[[#This Row],[Asset Class]],tblInherentImpacts3046[],2,FALSE)</f>
        <v>4</v>
      </c>
      <c r="AC13" s="136">
        <f>VLOOKUP(tblRiskRegister322[[#This Row],[Asset Class]],tblInherentImpacts3046[],3,FALSE)</f>
        <v>2</v>
      </c>
      <c r="AD13" s="136">
        <f>VLOOKUP(tblRiskRegister322[[#This Row],[Asset Class]],tblInherentImpacts3046[],4,FALSE)</f>
        <v>4</v>
      </c>
      <c r="AE13" s="136">
        <f>VLOOKUP(tblRiskRegister322[[#This Row],[Asset Class]],tblInherentImpacts3046[],5,FALSE)</f>
        <v>5</v>
      </c>
      <c r="AF13" s="25" t="str">
        <f>IFERROR(MAX(tblRiskRegister322[[#This Row],[Risk Treatment Safeguard Impact to Mission]:[Risk Treatment Safeguard Impact to Obligations]])*tblRiskRegister322[[#This Row],[Risk Treatment
Safeguard Expectancy Score]],"")</f>
        <v/>
      </c>
      <c r="AG13" s="27" t="str">
        <f>IF(tblRiskRegister322[[#This Row],[Risk Score]]&gt;AcceptableRisk1,IF(tblRiskRegister322[[#This Row],[Risk Treatment Safeguard Risk Score]]&lt;AcceptableRisk1, IF(tblRiskRegister322[[#This Row],[Risk Treatment Safeguard Risk Score]]&lt;=tblRiskRegister322[[#This Row],[Risk Score]],"Yes","No"),"No"),"Yes")</f>
        <v>Yes</v>
      </c>
      <c r="AH13" s="18"/>
      <c r="AI13" s="18"/>
      <c r="AJ13" s="19"/>
      <c r="AL13" s="20">
        <f>SUMIF(tblRiskRegister322[[#All],[Implementation Year]],"="&amp;tblCostImpacts335[[#This Row],[Year]],tblRiskRegister322[[#All],[Risk Treatment Safeguard Cost]])</f>
        <v>0</v>
      </c>
      <c r="AM13" s="6">
        <v>2023</v>
      </c>
      <c r="AN13" s="6" t="str">
        <f>IF(tblCostImpacts335[[#This Row],[Impact to Financial Objectives]]&lt;='Enterprise Parameters  -EXAMPLE'!$F$13,"Yes","No")</f>
        <v>Yes</v>
      </c>
    </row>
    <row r="14" spans="2:40" ht="76.5" x14ac:dyDescent="0.2">
      <c r="B14" s="44" t="s">
        <v>132</v>
      </c>
      <c r="C14" s="44"/>
      <c r="D14" s="13">
        <v>2.2000000000000002</v>
      </c>
      <c r="E14" s="14" t="s">
        <v>80</v>
      </c>
      <c r="F14" s="17" t="s">
        <v>785</v>
      </c>
      <c r="G14" s="17" t="s">
        <v>785</v>
      </c>
      <c r="H14" s="17" t="s">
        <v>926</v>
      </c>
      <c r="I14" s="14" t="s">
        <v>921</v>
      </c>
      <c r="J14" s="14" t="s">
        <v>906</v>
      </c>
      <c r="K14" s="14" t="s">
        <v>813</v>
      </c>
      <c r="L14" s="16">
        <v>2</v>
      </c>
      <c r="M14" s="29">
        <f>IFERROR(VLOOKUP(tblRiskRegister322[[#This Row],[Asset Class]],tblVCDBIndex[],4,FALSE),"")</f>
        <v>2</v>
      </c>
      <c r="N14" s="29">
        <f>IFERROR(VLOOKUP(10*tblRiskRegister322[[#This Row],[Safeguard Maturity Score]]+tblRiskRegister322[[#This Row],[VCDB Index]],tblHITIndexWeightTable[],4,FALSE),"")</f>
        <v>3</v>
      </c>
      <c r="O14" s="29">
        <f>VLOOKUP(tblRiskRegister322[[#This Row],[Asset Class]],tblInherentImpacts3046[],2,FALSE)</f>
        <v>4</v>
      </c>
      <c r="P14" s="29">
        <f>VLOOKUP(tblRiskRegister322[[#This Row],[Asset Class]],tblInherentImpacts3046[],3,FALSE)</f>
        <v>2</v>
      </c>
      <c r="Q14" s="29">
        <f>VLOOKUP(tblRiskRegister322[[#This Row],[Asset Class]],tblInherentImpacts3046[],4,FALSE)</f>
        <v>4</v>
      </c>
      <c r="R14" s="29">
        <f>VLOOKUP(tblRiskRegister322[[#This Row],[Asset Class]],tblInherentImpacts3046[],5,FALSE)</f>
        <v>5</v>
      </c>
      <c r="S14" s="29">
        <f>IFERROR(MAX(tblRiskRegister322[[#This Row],[Impact to Mission]:[Impact to Obligations]])*tblRiskRegister322[[#This Row],[Expectancy Score]],"")</f>
        <v>15</v>
      </c>
      <c r="T14" s="29">
        <f>tblRiskRegister322[[#This Row],[Risk Score]]</f>
        <v>15</v>
      </c>
      <c r="U14" s="17" t="s">
        <v>827</v>
      </c>
      <c r="V14" s="100">
        <v>2.2000000000000002</v>
      </c>
      <c r="W14" s="15" t="s">
        <v>80</v>
      </c>
      <c r="X14" s="15" t="s">
        <v>420</v>
      </c>
      <c r="Y14" s="30"/>
      <c r="Z14" s="16"/>
      <c r="AA14" s="27" t="str">
        <f>IFERROR(VLOOKUP(10*tblRiskRegister322[[#This Row],[Risk Treatment Safeguard Maturity Score]]+tblRiskRegister322[[#This Row],[VCDB Index]],tblHITIndexWeightTable[],4,FALSE),"")</f>
        <v/>
      </c>
      <c r="AB14" s="136">
        <f>VLOOKUP(tblRiskRegister322[[#This Row],[Asset Class]],tblInherentImpacts3046[],2,FALSE)</f>
        <v>4</v>
      </c>
      <c r="AC14" s="136">
        <f>VLOOKUP(tblRiskRegister322[[#This Row],[Asset Class]],tblInherentImpacts3046[],3,FALSE)</f>
        <v>2</v>
      </c>
      <c r="AD14" s="136">
        <f>VLOOKUP(tblRiskRegister322[[#This Row],[Asset Class]],tblInherentImpacts3046[],4,FALSE)</f>
        <v>4</v>
      </c>
      <c r="AE14" s="136">
        <f>VLOOKUP(tblRiskRegister322[[#This Row],[Asset Class]],tblInherentImpacts3046[],5,FALSE)</f>
        <v>5</v>
      </c>
      <c r="AF14" s="25" t="str">
        <f>IFERROR(MAX(tblRiskRegister322[[#This Row],[Risk Treatment Safeguard Impact to Mission]:[Risk Treatment Safeguard Impact to Obligations]])*tblRiskRegister322[[#This Row],[Risk Treatment
Safeguard Expectancy Score]],"")</f>
        <v/>
      </c>
      <c r="AG14" s="27" t="str">
        <f>IF(tblRiskRegister322[[#This Row],[Risk Score]]&gt;AcceptableRisk1,IF(tblRiskRegister322[[#This Row],[Risk Treatment Safeguard Risk Score]]&lt;AcceptableRisk1, IF(tblRiskRegister322[[#This Row],[Risk Treatment Safeguard Risk Score]]&lt;=tblRiskRegister322[[#This Row],[Risk Score]],"Yes","No"),"No"),"Yes")</f>
        <v>No</v>
      </c>
      <c r="AH14" s="18"/>
      <c r="AI14" s="18"/>
      <c r="AJ14" s="19"/>
      <c r="AL14" s="20">
        <f>SUMIF(tblRiskRegister322[[#All],[Implementation Year]],"="&amp;tblCostImpacts335[[#This Row],[Year]],tblRiskRegister322[[#All],[Risk Treatment Safeguard Cost]])</f>
        <v>0</v>
      </c>
      <c r="AM14" s="6">
        <v>2024</v>
      </c>
      <c r="AN14" s="6" t="str">
        <f>IF(tblCostImpacts335[[#This Row],[Impact to Financial Objectives]]&lt;='Enterprise Parameters  -EXAMPLE'!$F$13,"Yes","No")</f>
        <v>Yes</v>
      </c>
    </row>
    <row r="15" spans="2:40" ht="127.5" x14ac:dyDescent="0.2">
      <c r="B15" s="15" t="s">
        <v>132</v>
      </c>
      <c r="C15" s="15" t="s">
        <v>824</v>
      </c>
      <c r="D15" s="13">
        <v>2.2999999999999998</v>
      </c>
      <c r="E15" s="14" t="s">
        <v>81</v>
      </c>
      <c r="F15" s="17" t="s">
        <v>785</v>
      </c>
      <c r="G15" s="17" t="s">
        <v>785</v>
      </c>
      <c r="H15" s="17" t="s">
        <v>927</v>
      </c>
      <c r="I15" s="14" t="s">
        <v>821</v>
      </c>
      <c r="J15" s="14" t="s">
        <v>907</v>
      </c>
      <c r="K15" s="14" t="s">
        <v>814</v>
      </c>
      <c r="L15" s="137">
        <v>4</v>
      </c>
      <c r="M15" s="26">
        <f>IFERROR(VLOOKUP(tblRiskRegister322[[#This Row],[Asset Class]],tblVCDBIndex[],4,FALSE),"")</f>
        <v>2</v>
      </c>
      <c r="N15" s="26">
        <f>IFERROR(VLOOKUP(10*tblRiskRegister322[[#This Row],[Safeguard Maturity Score]]+tblRiskRegister322[[#This Row],[VCDB Index]],tblHITIndexWeightTable[],4,FALSE),"")</f>
        <v>2</v>
      </c>
      <c r="O15" s="26">
        <f>VLOOKUP(tblRiskRegister322[[#This Row],[Asset Class]],tblInherentImpacts3046[],2,FALSE)</f>
        <v>4</v>
      </c>
      <c r="P15" s="26">
        <f>VLOOKUP(tblRiskRegister322[[#This Row],[Asset Class]],tblInherentImpacts3046[],3,FALSE)</f>
        <v>2</v>
      </c>
      <c r="Q15" s="26">
        <f>VLOOKUP(tblRiskRegister322[[#This Row],[Asset Class]],tblInherentImpacts3046[],4,FALSE)</f>
        <v>4</v>
      </c>
      <c r="R15" s="26">
        <f>VLOOKUP(tblRiskRegister322[[#This Row],[Asset Class]],tblInherentImpacts3046[],5,FALSE)</f>
        <v>5</v>
      </c>
      <c r="S15" s="26">
        <f>IFERROR(MAX(tblRiskRegister322[[#This Row],[Impact to Mission]:[Impact to Obligations]])*tblRiskRegister322[[#This Row],[Expectancy Score]],"")</f>
        <v>10</v>
      </c>
      <c r="T15" s="26">
        <f>tblRiskRegister322[[#This Row],[Risk Score]]</f>
        <v>10</v>
      </c>
      <c r="U15" s="17" t="s">
        <v>827</v>
      </c>
      <c r="V15" s="100">
        <v>2.2999999999999998</v>
      </c>
      <c r="W15" s="15" t="s">
        <v>81</v>
      </c>
      <c r="X15" s="15" t="s">
        <v>421</v>
      </c>
      <c r="Y15" s="160" t="s">
        <v>825</v>
      </c>
      <c r="Z15" s="16">
        <v>5</v>
      </c>
      <c r="AA15" s="25">
        <f>IFERROR(VLOOKUP(10*tblRiskRegister322[[#This Row],[Risk Treatment Safeguard Maturity Score]]+tblRiskRegister322[[#This Row],[VCDB Index]],tblHITIndexWeightTable[],4,FALSE),"")</f>
        <v>1</v>
      </c>
      <c r="AB15" s="136">
        <f>VLOOKUP(tblRiskRegister322[[#This Row],[Asset Class]],tblInherentImpacts3046[],2,FALSE)</f>
        <v>4</v>
      </c>
      <c r="AC15" s="136">
        <f>VLOOKUP(tblRiskRegister322[[#This Row],[Asset Class]],tblInherentImpacts3046[],3,FALSE)</f>
        <v>2</v>
      </c>
      <c r="AD15" s="136">
        <f>VLOOKUP(tblRiskRegister322[[#This Row],[Asset Class]],tblInherentImpacts3046[],4,FALSE)</f>
        <v>4</v>
      </c>
      <c r="AE15" s="136">
        <f>VLOOKUP(tblRiskRegister322[[#This Row],[Asset Class]],tblInherentImpacts3046[],5,FALSE)</f>
        <v>5</v>
      </c>
      <c r="AF15" s="25">
        <f>IFERROR(MAX(tblRiskRegister322[[#This Row],[Risk Treatment Safeguard Impact to Mission]:[Risk Treatment Safeguard Impact to Obligations]])*tblRiskRegister322[[#This Row],[Risk Treatment
Safeguard Expectancy Score]],"")</f>
        <v>5</v>
      </c>
      <c r="AG15" s="27" t="str">
        <f>IF(tblRiskRegister322[[#This Row],[Risk Score]]&gt;AcceptableRisk1,IF(tblRiskRegister322[[#This Row],[Risk Treatment Safeguard Risk Score]]&lt;AcceptableRisk1, IF(tblRiskRegister322[[#This Row],[Risk Treatment Safeguard Risk Score]]&lt;=tblRiskRegister322[[#This Row],[Risk Score]],"Yes","No"),"No"),"Yes")</f>
        <v>Yes</v>
      </c>
      <c r="AH15" s="18">
        <v>0</v>
      </c>
      <c r="AI15" s="18" t="s">
        <v>826</v>
      </c>
      <c r="AJ15" s="19">
        <v>2022</v>
      </c>
      <c r="AL15" s="20">
        <f>SUMIF(tblRiskRegister322[[#All],[Implementation Year]],"="&amp;tblCostImpacts335[[#This Row],[Year]],tblRiskRegister322[[#All],[Risk Treatment Safeguard Cost]])</f>
        <v>0</v>
      </c>
      <c r="AM15" s="6">
        <v>2025</v>
      </c>
      <c r="AN15" s="6" t="str">
        <f>IF(tblCostImpacts335[[#This Row],[Impact to Financial Objectives]]&lt;='Enterprise Parameters  -EXAMPLE'!$F$13,"Yes","No")</f>
        <v>Yes</v>
      </c>
    </row>
    <row r="16" spans="2:40" ht="51" x14ac:dyDescent="0.2">
      <c r="B16" s="15" t="s">
        <v>132</v>
      </c>
      <c r="C16" s="15" t="s">
        <v>824</v>
      </c>
      <c r="D16" s="13">
        <v>2.4</v>
      </c>
      <c r="E16" s="14" t="s">
        <v>226</v>
      </c>
      <c r="F16" s="17"/>
      <c r="G16" s="17" t="s">
        <v>785</v>
      </c>
      <c r="H16" s="17" t="s">
        <v>929</v>
      </c>
      <c r="I16" s="14" t="s">
        <v>819</v>
      </c>
      <c r="J16" s="14" t="s">
        <v>906</v>
      </c>
      <c r="K16" s="14" t="s">
        <v>813</v>
      </c>
      <c r="L16" s="137">
        <v>5</v>
      </c>
      <c r="M16" s="26">
        <f>IFERROR(VLOOKUP(tblRiskRegister322[[#This Row],[Asset Class]],tblVCDBIndex[],4,FALSE),"")</f>
        <v>2</v>
      </c>
      <c r="N16" s="26">
        <f>IFERROR(VLOOKUP(10*tblRiskRegister322[[#This Row],[Safeguard Maturity Score]]+tblRiskRegister322[[#This Row],[VCDB Index]],tblHITIndexWeightTable[],4,FALSE),"")</f>
        <v>1</v>
      </c>
      <c r="O16" s="26">
        <f>VLOOKUP(tblRiskRegister322[[#This Row],[Asset Class]],tblInherentImpacts3046[],2,FALSE)</f>
        <v>4</v>
      </c>
      <c r="P16" s="26">
        <f>VLOOKUP(tblRiskRegister322[[#This Row],[Asset Class]],tblInherentImpacts3046[],3,FALSE)</f>
        <v>2</v>
      </c>
      <c r="Q16" s="26">
        <f>VLOOKUP(tblRiskRegister322[[#This Row],[Asset Class]],tblInherentImpacts3046[],4,FALSE)</f>
        <v>4</v>
      </c>
      <c r="R16" s="26">
        <f>VLOOKUP(tblRiskRegister322[[#This Row],[Asset Class]],tblInherentImpacts3046[],5,FALSE)</f>
        <v>5</v>
      </c>
      <c r="S16" s="26">
        <f>IFERROR(MAX(tblRiskRegister322[[#This Row],[Impact to Mission]:[Impact to Obligations]])*tblRiskRegister322[[#This Row],[Expectancy Score]],"")</f>
        <v>5</v>
      </c>
      <c r="T16" s="26">
        <f>tblRiskRegister322[[#This Row],[Risk Score]]</f>
        <v>5</v>
      </c>
      <c r="U16" s="17" t="s">
        <v>828</v>
      </c>
      <c r="V16" s="100">
        <v>2.4</v>
      </c>
      <c r="W16" s="15" t="s">
        <v>226</v>
      </c>
      <c r="X16" s="15" t="s">
        <v>422</v>
      </c>
      <c r="Y16" s="160"/>
      <c r="Z16" s="16"/>
      <c r="AA16" s="25" t="str">
        <f>IFERROR(VLOOKUP(10*tblRiskRegister322[[#This Row],[Risk Treatment Safeguard Maturity Score]]+tblRiskRegister322[[#This Row],[VCDB Index]],tblHITIndexWeightTable[],4,FALSE),"")</f>
        <v/>
      </c>
      <c r="AB16" s="136">
        <f>VLOOKUP(tblRiskRegister322[[#This Row],[Asset Class]],tblInherentImpacts3046[],2,FALSE)</f>
        <v>4</v>
      </c>
      <c r="AC16" s="136">
        <f>VLOOKUP(tblRiskRegister322[[#This Row],[Asset Class]],tblInherentImpacts3046[],3,FALSE)</f>
        <v>2</v>
      </c>
      <c r="AD16" s="136">
        <f>VLOOKUP(tblRiskRegister322[[#This Row],[Asset Class]],tblInherentImpacts3046[],4,FALSE)</f>
        <v>4</v>
      </c>
      <c r="AE16" s="136">
        <f>VLOOKUP(tblRiskRegister322[[#This Row],[Asset Class]],tblInherentImpacts3046[],5,FALSE)</f>
        <v>5</v>
      </c>
      <c r="AF16" s="25" t="str">
        <f>IFERROR(MAX(tblRiskRegister322[[#This Row],[Risk Treatment Safeguard Impact to Mission]:[Risk Treatment Safeguard Impact to Obligations]])*tblRiskRegister322[[#This Row],[Risk Treatment
Safeguard Expectancy Score]],"")</f>
        <v/>
      </c>
      <c r="AG16" s="27" t="str">
        <f>IF(tblRiskRegister322[[#This Row],[Risk Score]]&gt;AcceptableRisk1,IF(tblRiskRegister322[[#This Row],[Risk Treatment Safeguard Risk Score]]&lt;AcceptableRisk1, IF(tblRiskRegister322[[#This Row],[Risk Treatment Safeguard Risk Score]]&lt;=tblRiskRegister322[[#This Row],[Risk Score]],"Yes","No"),"No"),"Yes")</f>
        <v>Yes</v>
      </c>
      <c r="AH16" s="18"/>
      <c r="AI16" s="18"/>
      <c r="AJ16" s="19"/>
      <c r="AL16" s="20">
        <f>SUMIF(tblRiskRegister322[[#All],[Implementation Year]],"="&amp;tblCostImpacts335[[#This Row],[Year]],tblRiskRegister322[[#All],[Risk Treatment Safeguard Cost]])</f>
        <v>0</v>
      </c>
      <c r="AM16" s="6">
        <v>2026</v>
      </c>
      <c r="AN16" s="6" t="str">
        <f>IF(tblCostImpacts335[[#This Row],[Impact to Financial Objectives]]&lt;='Enterprise Parameters  -EXAMPLE'!$F$13,"Yes","No")</f>
        <v>Yes</v>
      </c>
    </row>
    <row r="17" spans="2:40" ht="63.75" x14ac:dyDescent="0.2">
      <c r="B17" s="15" t="s">
        <v>132</v>
      </c>
      <c r="C17" s="15" t="s">
        <v>824</v>
      </c>
      <c r="D17" s="13">
        <v>2.5</v>
      </c>
      <c r="E17" s="14" t="s">
        <v>227</v>
      </c>
      <c r="F17" s="17"/>
      <c r="G17" s="17" t="s">
        <v>785</v>
      </c>
      <c r="H17" s="17" t="s">
        <v>928</v>
      </c>
      <c r="I17" s="14" t="s">
        <v>908</v>
      </c>
      <c r="J17" s="14" t="s">
        <v>909</v>
      </c>
      <c r="K17" s="14" t="s">
        <v>822</v>
      </c>
      <c r="L17" s="137">
        <v>4</v>
      </c>
      <c r="M17" s="26">
        <f>IFERROR(VLOOKUP(tblRiskRegister322[[#This Row],[Asset Class]],tblVCDBIndex[],4,FALSE),"")</f>
        <v>2</v>
      </c>
      <c r="N17" s="26">
        <f>IFERROR(VLOOKUP(10*tblRiskRegister322[[#This Row],[Safeguard Maturity Score]]+tblRiskRegister322[[#This Row],[VCDB Index]],tblHITIndexWeightTable[],4,FALSE),"")</f>
        <v>2</v>
      </c>
      <c r="O17" s="26">
        <f>VLOOKUP(tblRiskRegister322[[#This Row],[Asset Class]],tblInherentImpacts3046[],2,FALSE)</f>
        <v>4</v>
      </c>
      <c r="P17" s="26">
        <f>VLOOKUP(tblRiskRegister322[[#This Row],[Asset Class]],tblInherentImpacts3046[],3,FALSE)</f>
        <v>2</v>
      </c>
      <c r="Q17" s="26">
        <f>VLOOKUP(tblRiskRegister322[[#This Row],[Asset Class]],tblInherentImpacts3046[],4,FALSE)</f>
        <v>4</v>
      </c>
      <c r="R17" s="26">
        <f>VLOOKUP(tblRiskRegister322[[#This Row],[Asset Class]],tblInherentImpacts3046[],5,FALSE)</f>
        <v>5</v>
      </c>
      <c r="S17" s="26">
        <f>IFERROR(MAX(tblRiskRegister322[[#This Row],[Impact to Mission]:[Impact to Obligations]])*tblRiskRegister322[[#This Row],[Expectancy Score]],"")</f>
        <v>10</v>
      </c>
      <c r="T17" s="26">
        <f>tblRiskRegister322[[#This Row],[Risk Score]]</f>
        <v>10</v>
      </c>
      <c r="U17" s="17" t="s">
        <v>827</v>
      </c>
      <c r="V17" s="100">
        <v>2.5</v>
      </c>
      <c r="W17" s="15" t="s">
        <v>227</v>
      </c>
      <c r="X17" s="15" t="s">
        <v>423</v>
      </c>
      <c r="Y17" s="160"/>
      <c r="Z17" s="16"/>
      <c r="AA17" s="25" t="str">
        <f>IFERROR(VLOOKUP(10*tblRiskRegister322[[#This Row],[Risk Treatment Safeguard Maturity Score]]+tblRiskRegister322[[#This Row],[VCDB Index]],tblHITIndexWeightTable[],4,FALSE),"")</f>
        <v/>
      </c>
      <c r="AB17" s="136">
        <f>VLOOKUP(tblRiskRegister322[[#This Row],[Asset Class]],tblInherentImpacts3046[],2,FALSE)</f>
        <v>4</v>
      </c>
      <c r="AC17" s="136">
        <f>VLOOKUP(tblRiskRegister322[[#This Row],[Asset Class]],tblInherentImpacts3046[],3,FALSE)</f>
        <v>2</v>
      </c>
      <c r="AD17" s="136">
        <f>VLOOKUP(tblRiskRegister322[[#This Row],[Asset Class]],tblInherentImpacts3046[],4,FALSE)</f>
        <v>4</v>
      </c>
      <c r="AE17" s="136">
        <f>VLOOKUP(tblRiskRegister322[[#This Row],[Asset Class]],tblInherentImpacts3046[],5,FALSE)</f>
        <v>5</v>
      </c>
      <c r="AF17" s="25" t="str">
        <f>IFERROR(MAX(tblRiskRegister322[[#This Row],[Risk Treatment Safeguard Impact to Mission]:[Risk Treatment Safeguard Impact to Obligations]])*tblRiskRegister322[[#This Row],[Risk Treatment
Safeguard Expectancy Score]],"")</f>
        <v/>
      </c>
      <c r="AG17" s="27" t="str">
        <f>IF(tblRiskRegister322[[#This Row],[Risk Score]]&gt;AcceptableRisk1,IF(tblRiskRegister322[[#This Row],[Risk Treatment Safeguard Risk Score]]&lt;AcceptableRisk1, IF(tblRiskRegister322[[#This Row],[Risk Treatment Safeguard Risk Score]]&lt;=tblRiskRegister322[[#This Row],[Risk Score]],"Yes","No"),"No"),"Yes")</f>
        <v>No</v>
      </c>
      <c r="AH17" s="18"/>
      <c r="AI17" s="18"/>
      <c r="AJ17" s="19"/>
      <c r="AL17" s="20">
        <f>SUMIF(tblRiskRegister322[[#All],[Implementation Year]],"="&amp;tblCostImpacts335[[#This Row],[Year]],tblRiskRegister322[[#All],[Risk Treatment Safeguard Cost]])</f>
        <v>0</v>
      </c>
      <c r="AM17" s="6">
        <v>2027</v>
      </c>
      <c r="AN17" s="6" t="str">
        <f>IF(tblCostImpacts335[[#This Row],[Impact to Financial Objectives]]&lt;='Enterprise Parameters  -EXAMPLE'!$F$13,"Yes","No")</f>
        <v>Yes</v>
      </c>
    </row>
    <row r="18" spans="2:40" ht="63.75" x14ac:dyDescent="0.2">
      <c r="B18" s="15" t="s">
        <v>132</v>
      </c>
      <c r="C18" s="15" t="s">
        <v>824</v>
      </c>
      <c r="D18" s="13">
        <v>2.6</v>
      </c>
      <c r="E18" s="14" t="s">
        <v>228</v>
      </c>
      <c r="F18" s="17"/>
      <c r="G18" s="17" t="s">
        <v>785</v>
      </c>
      <c r="H18" s="17" t="s">
        <v>928</v>
      </c>
      <c r="I18" s="14" t="s">
        <v>823</v>
      </c>
      <c r="J18" s="14" t="s">
        <v>909</v>
      </c>
      <c r="K18" s="14" t="s">
        <v>822</v>
      </c>
      <c r="L18" s="137">
        <v>5</v>
      </c>
      <c r="M18" s="26">
        <f>IFERROR(VLOOKUP(tblRiskRegister322[[#This Row],[Asset Class]],tblVCDBIndex[],4,FALSE),"")</f>
        <v>2</v>
      </c>
      <c r="N18" s="26">
        <f>IFERROR(VLOOKUP(10*tblRiskRegister322[[#This Row],[Safeguard Maturity Score]]+tblRiskRegister322[[#This Row],[VCDB Index]],tblHITIndexWeightTable[],4,FALSE),"")</f>
        <v>1</v>
      </c>
      <c r="O18" s="26">
        <f>VLOOKUP(tblRiskRegister322[[#This Row],[Asset Class]],tblInherentImpacts3046[],2,FALSE)</f>
        <v>4</v>
      </c>
      <c r="P18" s="26">
        <f>VLOOKUP(tblRiskRegister322[[#This Row],[Asset Class]],tblInherentImpacts3046[],3,FALSE)</f>
        <v>2</v>
      </c>
      <c r="Q18" s="26">
        <f>VLOOKUP(tblRiskRegister322[[#This Row],[Asset Class]],tblInherentImpacts3046[],4,FALSE)</f>
        <v>4</v>
      </c>
      <c r="R18" s="26">
        <f>VLOOKUP(tblRiskRegister322[[#This Row],[Asset Class]],tblInherentImpacts3046[],5,FALSE)</f>
        <v>5</v>
      </c>
      <c r="S18" s="26">
        <f>IFERROR(MAX(tblRiskRegister322[[#This Row],[Impact to Mission]:[Impact to Obligations]])*tblRiskRegister322[[#This Row],[Expectancy Score]],"")</f>
        <v>5</v>
      </c>
      <c r="T18" s="26">
        <f>tblRiskRegister322[[#This Row],[Risk Score]]</f>
        <v>5</v>
      </c>
      <c r="U18" s="17" t="s">
        <v>828</v>
      </c>
      <c r="V18" s="100">
        <v>2.6</v>
      </c>
      <c r="W18" s="15" t="s">
        <v>228</v>
      </c>
      <c r="X18" s="15" t="s">
        <v>424</v>
      </c>
      <c r="Y18" s="160"/>
      <c r="Z18" s="16"/>
      <c r="AA18" s="25" t="str">
        <f>IFERROR(VLOOKUP(10*tblRiskRegister322[[#This Row],[Risk Treatment Safeguard Maturity Score]]+tblRiskRegister322[[#This Row],[VCDB Index]],tblHITIndexWeightTable[],4,FALSE),"")</f>
        <v/>
      </c>
      <c r="AB18" s="136">
        <f>VLOOKUP(tblRiskRegister322[[#This Row],[Asset Class]],tblInherentImpacts3046[],2,FALSE)</f>
        <v>4</v>
      </c>
      <c r="AC18" s="136">
        <f>VLOOKUP(tblRiskRegister322[[#This Row],[Asset Class]],tblInherentImpacts3046[],3,FALSE)</f>
        <v>2</v>
      </c>
      <c r="AD18" s="136">
        <f>VLOOKUP(tblRiskRegister322[[#This Row],[Asset Class]],tblInherentImpacts3046[],4,FALSE)</f>
        <v>4</v>
      </c>
      <c r="AE18" s="136">
        <f>VLOOKUP(tblRiskRegister322[[#This Row],[Asset Class]],tblInherentImpacts3046[],5,FALSE)</f>
        <v>5</v>
      </c>
      <c r="AF18" s="25" t="str">
        <f>IFERROR(MAX(tblRiskRegister322[[#This Row],[Risk Treatment Safeguard Impact to Mission]:[Risk Treatment Safeguard Impact to Obligations]])*tblRiskRegister322[[#This Row],[Risk Treatment
Safeguard Expectancy Score]],"")</f>
        <v/>
      </c>
      <c r="AG18" s="27" t="str">
        <f>IF(tblRiskRegister322[[#This Row],[Risk Score]]&gt;AcceptableRisk1,IF(tblRiskRegister322[[#This Row],[Risk Treatment Safeguard Risk Score]]&lt;AcceptableRisk1, IF(tblRiskRegister322[[#This Row],[Risk Treatment Safeguard Risk Score]]&lt;=tblRiskRegister322[[#This Row],[Risk Score]],"Yes","No"),"No"),"Yes")</f>
        <v>Yes</v>
      </c>
      <c r="AH18" s="18"/>
      <c r="AI18" s="18"/>
      <c r="AJ18" s="19"/>
      <c r="AL18" s="20">
        <f>SUMIF(tblRiskRegister322[[#All],[Implementation Year]],"="&amp;tblCostImpacts335[[#This Row],[Year]],tblRiskRegister322[[#All],[Risk Treatment Safeguard Cost]])</f>
        <v>0</v>
      </c>
      <c r="AM18" s="6">
        <v>2028</v>
      </c>
      <c r="AN18" s="6" t="str">
        <f>IF(tblCostImpacts335[[#This Row],[Impact to Financial Objectives]]&lt;='Enterprise Parameters  -EXAMPLE'!$F$13,"Yes","No")</f>
        <v>Yes</v>
      </c>
    </row>
    <row r="19" spans="2:40" ht="102" x14ac:dyDescent="0.2">
      <c r="B19" s="15" t="s">
        <v>132</v>
      </c>
      <c r="C19" s="15" t="s">
        <v>824</v>
      </c>
      <c r="D19" s="13">
        <v>4.0999999999999996</v>
      </c>
      <c r="E19" s="14" t="s">
        <v>88</v>
      </c>
      <c r="F19" s="17" t="s">
        <v>785</v>
      </c>
      <c r="G19" s="17" t="s">
        <v>785</v>
      </c>
      <c r="H19" s="17" t="s">
        <v>928</v>
      </c>
      <c r="I19" s="14" t="s">
        <v>815</v>
      </c>
      <c r="J19" s="14" t="s">
        <v>911</v>
      </c>
      <c r="K19" s="14" t="s">
        <v>910</v>
      </c>
      <c r="L19" s="137">
        <v>2</v>
      </c>
      <c r="M19" s="26">
        <f>IFERROR(VLOOKUP(tblRiskRegister322[[#This Row],[Asset Class]],tblVCDBIndex[],4,FALSE),"")</f>
        <v>2</v>
      </c>
      <c r="N19" s="26">
        <f>IFERROR(VLOOKUP(10*tblRiskRegister322[[#This Row],[Safeguard Maturity Score]]+tblRiskRegister322[[#This Row],[VCDB Index]],tblHITIndexWeightTable[],4,FALSE),"")</f>
        <v>3</v>
      </c>
      <c r="O19" s="26">
        <f>VLOOKUP(tblRiskRegister322[[#This Row],[Asset Class]],tblInherentImpacts3046[],2,FALSE)</f>
        <v>4</v>
      </c>
      <c r="P19" s="26">
        <f>VLOOKUP(tblRiskRegister322[[#This Row],[Asset Class]],tblInherentImpacts3046[],3,FALSE)</f>
        <v>2</v>
      </c>
      <c r="Q19" s="26">
        <f>VLOOKUP(tblRiskRegister322[[#This Row],[Asset Class]],tblInherentImpacts3046[],4,FALSE)</f>
        <v>4</v>
      </c>
      <c r="R19" s="26">
        <f>VLOOKUP(tblRiskRegister322[[#This Row],[Asset Class]],tblInherentImpacts3046[],5,FALSE)</f>
        <v>5</v>
      </c>
      <c r="S19" s="26">
        <f>IFERROR(MAX(tblRiskRegister322[[#This Row],[Impact to Mission]:[Impact to Obligations]])*tblRiskRegister322[[#This Row],[Expectancy Score]],"")</f>
        <v>15</v>
      </c>
      <c r="T19" s="26">
        <f>tblRiskRegister322[[#This Row],[Risk Score]]</f>
        <v>15</v>
      </c>
      <c r="U19" s="17" t="s">
        <v>827</v>
      </c>
      <c r="V19" s="100">
        <v>4.0999999999999996</v>
      </c>
      <c r="W19" s="15" t="s">
        <v>88</v>
      </c>
      <c r="X19" s="15" t="s">
        <v>437</v>
      </c>
      <c r="Y19" s="160" t="s">
        <v>874</v>
      </c>
      <c r="Z19" s="16">
        <v>4</v>
      </c>
      <c r="AA19" s="25">
        <f>IFERROR(VLOOKUP(10*tblRiskRegister322[[#This Row],[Risk Treatment Safeguard Maturity Score]]+tblRiskRegister322[[#This Row],[VCDB Index]],tblHITIndexWeightTable[],4,FALSE),"")</f>
        <v>2</v>
      </c>
      <c r="AB19" s="136">
        <f>VLOOKUP(tblRiskRegister322[[#This Row],[Asset Class]],tblInherentImpacts3046[],2,FALSE)</f>
        <v>4</v>
      </c>
      <c r="AC19" s="136">
        <f>VLOOKUP(tblRiskRegister322[[#This Row],[Asset Class]],tblInherentImpacts3046[],3,FALSE)</f>
        <v>2</v>
      </c>
      <c r="AD19" s="136">
        <f>VLOOKUP(tblRiskRegister322[[#This Row],[Asset Class]],tblInherentImpacts3046[],4,FALSE)</f>
        <v>4</v>
      </c>
      <c r="AE19" s="136">
        <f>VLOOKUP(tblRiskRegister322[[#This Row],[Asset Class]],tblInherentImpacts3046[],5,FALSE)</f>
        <v>5</v>
      </c>
      <c r="AF19" s="25">
        <f>IFERROR(MAX(tblRiskRegister322[[#This Row],[Risk Treatment Safeguard Impact to Mission]:[Risk Treatment Safeguard Impact to Obligations]])*tblRiskRegister322[[#This Row],[Risk Treatment
Safeguard Expectancy Score]],"")</f>
        <v>10</v>
      </c>
      <c r="AG19" s="27" t="str">
        <f>IF(tblRiskRegister322[[#This Row],[Risk Score]]&gt;AcceptableRisk1,IF(tblRiskRegister322[[#This Row],[Risk Treatment Safeguard Risk Score]]&lt;AcceptableRisk1, IF(tblRiskRegister322[[#This Row],[Risk Treatment Safeguard Risk Score]]&lt;=tblRiskRegister322[[#This Row],[Risk Score]],"Yes","No"),"No"),"Yes")</f>
        <v>No</v>
      </c>
      <c r="AH19" s="18">
        <v>501000</v>
      </c>
      <c r="AI19" s="18" t="s">
        <v>826</v>
      </c>
      <c r="AJ19" s="19">
        <v>2022</v>
      </c>
      <c r="AL19" s="20">
        <f>SUMIF(tblRiskRegister322[[#All],[Implementation Year]],"="&amp;tblCostImpacts335[[#This Row],[Year]],tblRiskRegister322[[#All],[Risk Treatment Safeguard Cost]])</f>
        <v>0</v>
      </c>
      <c r="AM19" s="6">
        <v>2029</v>
      </c>
      <c r="AN19" s="6" t="str">
        <f>IF(tblCostImpacts335[[#This Row],[Impact to Financial Objectives]]&lt;='Enterprise Parameters  -EXAMPLE'!$F$13,"Yes","No")</f>
        <v>Yes</v>
      </c>
    </row>
    <row r="20" spans="2:40" ht="63.75" x14ac:dyDescent="0.2">
      <c r="B20" s="15" t="s">
        <v>132</v>
      </c>
      <c r="C20" s="15" t="s">
        <v>824</v>
      </c>
      <c r="D20" s="13">
        <v>7.1</v>
      </c>
      <c r="E20" s="14" t="s">
        <v>102</v>
      </c>
      <c r="F20" s="17" t="s">
        <v>785</v>
      </c>
      <c r="G20" s="17" t="s">
        <v>785</v>
      </c>
      <c r="H20" s="17" t="s">
        <v>928</v>
      </c>
      <c r="I20" s="14" t="s">
        <v>816</v>
      </c>
      <c r="J20" s="14"/>
      <c r="K20" s="14" t="s">
        <v>817</v>
      </c>
      <c r="L20" s="16">
        <v>3</v>
      </c>
      <c r="M20" s="26">
        <f>IFERROR(VLOOKUP(tblRiskRegister322[[#This Row],[Asset Class]],tblVCDBIndex[],4,FALSE),"")</f>
        <v>2</v>
      </c>
      <c r="N20" s="26">
        <f>IFERROR(VLOOKUP(10*tblRiskRegister322[[#This Row],[Safeguard Maturity Score]]+tblRiskRegister322[[#This Row],[VCDB Index]],tblHITIndexWeightTable[],4,FALSE),"")</f>
        <v>2</v>
      </c>
      <c r="O20" s="26">
        <f>VLOOKUP(tblRiskRegister322[[#This Row],[Asset Class]],tblInherentImpacts3046[],2,FALSE)</f>
        <v>4</v>
      </c>
      <c r="P20" s="26">
        <f>VLOOKUP(tblRiskRegister322[[#This Row],[Asset Class]],tblInherentImpacts3046[],3,FALSE)</f>
        <v>2</v>
      </c>
      <c r="Q20" s="26">
        <f>VLOOKUP(tblRiskRegister322[[#This Row],[Asset Class]],tblInherentImpacts3046[],4,FALSE)</f>
        <v>4</v>
      </c>
      <c r="R20" s="26">
        <f>VLOOKUP(tblRiskRegister322[[#This Row],[Asset Class]],tblInherentImpacts3046[],5,FALSE)</f>
        <v>5</v>
      </c>
      <c r="S20" s="26">
        <f>IFERROR(MAX(tblRiskRegister322[[#This Row],[Impact to Mission]:[Impact to Obligations]])*tblRiskRegister322[[#This Row],[Expectancy Score]],"")</f>
        <v>10</v>
      </c>
      <c r="T20" s="26">
        <f>tblRiskRegister322[[#This Row],[Risk Score]]</f>
        <v>10</v>
      </c>
      <c r="U20" s="17" t="s">
        <v>827</v>
      </c>
      <c r="V20" s="100">
        <v>7.1</v>
      </c>
      <c r="W20" s="15" t="s">
        <v>102</v>
      </c>
      <c r="X20" s="15" t="s">
        <v>461</v>
      </c>
      <c r="Y20" s="160" t="s">
        <v>875</v>
      </c>
      <c r="Z20" s="16">
        <v>4</v>
      </c>
      <c r="AA20" s="25">
        <f>IFERROR(VLOOKUP(10*tblRiskRegister322[[#This Row],[Risk Treatment Safeguard Maturity Score]]+tblRiskRegister322[[#This Row],[VCDB Index]],tblHITIndexWeightTable[],4,FALSE),"")</f>
        <v>2</v>
      </c>
      <c r="AB20" s="136">
        <f>VLOOKUP(tblRiskRegister322[[#This Row],[Asset Class]],tblInherentImpacts3046[],2,FALSE)</f>
        <v>4</v>
      </c>
      <c r="AC20" s="136">
        <f>VLOOKUP(tblRiskRegister322[[#This Row],[Asset Class]],tblInherentImpacts3046[],3,FALSE)</f>
        <v>2</v>
      </c>
      <c r="AD20" s="136">
        <f>VLOOKUP(tblRiskRegister322[[#This Row],[Asset Class]],tblInherentImpacts3046[],4,FALSE)</f>
        <v>4</v>
      </c>
      <c r="AE20" s="136">
        <f>VLOOKUP(tblRiskRegister322[[#This Row],[Asset Class]],tblInherentImpacts3046[],5,FALSE)</f>
        <v>5</v>
      </c>
      <c r="AF20" s="25">
        <f>IFERROR(MAX(tblRiskRegister322[[#This Row],[Risk Treatment Safeguard Impact to Mission]:[Risk Treatment Safeguard Impact to Obligations]])*tblRiskRegister322[[#This Row],[Risk Treatment
Safeguard Expectancy Score]],"")</f>
        <v>10</v>
      </c>
      <c r="AG20" s="27" t="str">
        <f>IF(tblRiskRegister322[[#This Row],[Risk Score]]&gt;AcceptableRisk1,IF(tblRiskRegister322[[#This Row],[Risk Treatment Safeguard Risk Score]]&lt;AcceptableRisk1, IF(tblRiskRegister322[[#This Row],[Risk Treatment Safeguard Risk Score]]&lt;=tblRiskRegister322[[#This Row],[Risk Score]],"Yes","No"),"No"),"Yes")</f>
        <v>No</v>
      </c>
      <c r="AH20" s="18"/>
      <c r="AI20" s="18"/>
      <c r="AJ20" s="19"/>
      <c r="AL20" s="20">
        <f>SUMIF(tblRiskRegister322[[#All],[Implementation Year]],"="&amp;tblCostImpacts335[[#This Row],[Year]],tblRiskRegister322[[#All],[Risk Treatment Safeguard Cost]])</f>
        <v>0</v>
      </c>
      <c r="AM20" s="6">
        <v>2030</v>
      </c>
      <c r="AN20" s="6" t="str">
        <f>IF(tblCostImpacts335[[#This Row],[Impact to Financial Objectives]]&lt;='Enterprise Parameters  -EXAMPLE'!$F$13,"Yes","No")</f>
        <v>Yes</v>
      </c>
    </row>
    <row r="21" spans="2:40" ht="63.75" x14ac:dyDescent="0.2">
      <c r="B21" s="15" t="s">
        <v>132</v>
      </c>
      <c r="C21" s="15" t="s">
        <v>824</v>
      </c>
      <c r="D21" s="13">
        <v>7.2</v>
      </c>
      <c r="E21" s="14" t="s">
        <v>103</v>
      </c>
      <c r="F21" s="17" t="s">
        <v>785</v>
      </c>
      <c r="G21" s="17" t="s">
        <v>785</v>
      </c>
      <c r="H21" s="17" t="s">
        <v>927</v>
      </c>
      <c r="I21" s="14" t="s">
        <v>818</v>
      </c>
      <c r="J21" s="14"/>
      <c r="K21" s="14" t="s">
        <v>817</v>
      </c>
      <c r="L21" s="16">
        <v>2</v>
      </c>
      <c r="M21" s="26">
        <f>IFERROR(VLOOKUP(tblRiskRegister322[[#This Row],[Asset Class]],tblVCDBIndex[],4,FALSE),"")</f>
        <v>2</v>
      </c>
      <c r="N21" s="26">
        <f>IFERROR(VLOOKUP(10*tblRiskRegister322[[#This Row],[Safeguard Maturity Score]]+tblRiskRegister322[[#This Row],[VCDB Index]],tblHITIndexWeightTable[],4,FALSE),"")</f>
        <v>3</v>
      </c>
      <c r="O21" s="26">
        <f>VLOOKUP(tblRiskRegister322[[#This Row],[Asset Class]],tblInherentImpacts3046[],2,FALSE)</f>
        <v>4</v>
      </c>
      <c r="P21" s="26">
        <f>VLOOKUP(tblRiskRegister322[[#This Row],[Asset Class]],tblInherentImpacts3046[],3,FALSE)</f>
        <v>2</v>
      </c>
      <c r="Q21" s="26">
        <f>VLOOKUP(tblRiskRegister322[[#This Row],[Asset Class]],tblInherentImpacts3046[],4,FALSE)</f>
        <v>4</v>
      </c>
      <c r="R21" s="26">
        <f>VLOOKUP(tblRiskRegister322[[#This Row],[Asset Class]],tblInherentImpacts3046[],5,FALSE)</f>
        <v>5</v>
      </c>
      <c r="S21" s="26">
        <f>IFERROR(MAX(tblRiskRegister322[[#This Row],[Impact to Mission]:[Impact to Obligations]])*tblRiskRegister322[[#This Row],[Expectancy Score]],"")</f>
        <v>15</v>
      </c>
      <c r="T21" s="26">
        <f>tblRiskRegister322[[#This Row],[Risk Score]]</f>
        <v>15</v>
      </c>
      <c r="U21" s="17" t="s">
        <v>827</v>
      </c>
      <c r="V21" s="100">
        <v>7.2</v>
      </c>
      <c r="W21" s="15" t="s">
        <v>103</v>
      </c>
      <c r="X21" s="15" t="s">
        <v>462</v>
      </c>
      <c r="Y21" s="160" t="s">
        <v>876</v>
      </c>
      <c r="Z21" s="16">
        <v>5</v>
      </c>
      <c r="AA21" s="25">
        <f>IFERROR(VLOOKUP(10*tblRiskRegister322[[#This Row],[Risk Treatment Safeguard Maturity Score]]+tblRiskRegister322[[#This Row],[VCDB Index]],tblHITIndexWeightTable[],4,FALSE),"")</f>
        <v>1</v>
      </c>
      <c r="AB21" s="136">
        <f>VLOOKUP(tblRiskRegister322[[#This Row],[Asset Class]],tblInherentImpacts3046[],2,FALSE)</f>
        <v>4</v>
      </c>
      <c r="AC21" s="136">
        <f>VLOOKUP(tblRiskRegister322[[#This Row],[Asset Class]],tblInherentImpacts3046[],3,FALSE)</f>
        <v>2</v>
      </c>
      <c r="AD21" s="136">
        <f>VLOOKUP(tblRiskRegister322[[#This Row],[Asset Class]],tblInherentImpacts3046[],4,FALSE)</f>
        <v>4</v>
      </c>
      <c r="AE21" s="136">
        <f>VLOOKUP(tblRiskRegister322[[#This Row],[Asset Class]],tblInherentImpacts3046[],5,FALSE)</f>
        <v>5</v>
      </c>
      <c r="AF21" s="25">
        <f>IFERROR(MAX(tblRiskRegister322[[#This Row],[Risk Treatment Safeguard Impact to Mission]:[Risk Treatment Safeguard Impact to Obligations]])*tblRiskRegister322[[#This Row],[Risk Treatment
Safeguard Expectancy Score]],"")</f>
        <v>5</v>
      </c>
      <c r="AG21" s="27" t="str">
        <f>IF(tblRiskRegister322[[#This Row],[Risk Score]]&gt;AcceptableRisk1,IF(tblRiskRegister322[[#This Row],[Risk Treatment Safeguard Risk Score]]&lt;AcceptableRisk1, IF(tblRiskRegister322[[#This Row],[Risk Treatment Safeguard Risk Score]]&lt;=tblRiskRegister322[[#This Row],[Risk Score]],"Yes","No"),"No"),"Yes")</f>
        <v>Yes</v>
      </c>
      <c r="AH21" s="18"/>
      <c r="AI21" s="18"/>
      <c r="AJ21" s="19"/>
    </row>
    <row r="22" spans="2:40" ht="25.5" x14ac:dyDescent="0.2">
      <c r="B22" s="15" t="s">
        <v>132</v>
      </c>
      <c r="C22" s="15"/>
      <c r="D22" s="13">
        <v>7.3</v>
      </c>
      <c r="E22" s="14" t="s">
        <v>104</v>
      </c>
      <c r="F22" s="17" t="s">
        <v>785</v>
      </c>
      <c r="G22" s="17" t="s">
        <v>785</v>
      </c>
      <c r="H22" s="17" t="s">
        <v>928</v>
      </c>
      <c r="I22" s="14"/>
      <c r="J22" s="14"/>
      <c r="K22" s="14"/>
      <c r="L22" s="16"/>
      <c r="M22" s="26">
        <f>IFERROR(VLOOKUP(tblRiskRegister322[[#This Row],[Asset Class]],tblVCDBIndex[],4,FALSE),"")</f>
        <v>2</v>
      </c>
      <c r="N22" s="26" t="str">
        <f>IFERROR(VLOOKUP(10*tblRiskRegister322[[#This Row],[Safeguard Maturity Score]]+tblRiskRegister322[[#This Row],[VCDB Index]],tblHITIndexWeightTable[],4,FALSE),"")</f>
        <v/>
      </c>
      <c r="O22" s="26">
        <f>VLOOKUP(tblRiskRegister322[[#This Row],[Asset Class]],tblInherentImpacts3046[],2,FALSE)</f>
        <v>4</v>
      </c>
      <c r="P22" s="26">
        <f>VLOOKUP(tblRiskRegister322[[#This Row],[Asset Class]],tblInherentImpacts3046[],3,FALSE)</f>
        <v>2</v>
      </c>
      <c r="Q22" s="26">
        <f>VLOOKUP(tblRiskRegister322[[#This Row],[Asset Class]],tblInherentImpacts3046[],4,FALSE)</f>
        <v>4</v>
      </c>
      <c r="R22" s="26">
        <f>VLOOKUP(tblRiskRegister322[[#This Row],[Asset Class]],tblInherentImpacts3046[],5,FALSE)</f>
        <v>5</v>
      </c>
      <c r="S22" s="26" t="str">
        <f>IFERROR(MAX(tblRiskRegister322[[#This Row],[Impact to Mission]:[Impact to Obligations]])*tblRiskRegister322[[#This Row],[Expectancy Score]],"")</f>
        <v/>
      </c>
      <c r="T22" s="26" t="str">
        <f>tblRiskRegister322[[#This Row],[Risk Score]]</f>
        <v/>
      </c>
      <c r="U22" s="17"/>
      <c r="V22" s="100">
        <v>7.3</v>
      </c>
      <c r="W22" s="15" t="s">
        <v>104</v>
      </c>
      <c r="X22" s="15" t="s">
        <v>463</v>
      </c>
      <c r="Y22" s="15"/>
      <c r="Z22" s="16"/>
      <c r="AA22" s="25" t="str">
        <f>IFERROR(VLOOKUP(10*tblRiskRegister322[[#This Row],[Risk Treatment Safeguard Maturity Score]]+tblRiskRegister322[[#This Row],[VCDB Index]],tblHITIndexWeightTable[],4,FALSE),"")</f>
        <v/>
      </c>
      <c r="AB22" s="136"/>
      <c r="AC22" s="136"/>
      <c r="AD22" s="136"/>
      <c r="AE22" s="136"/>
      <c r="AF22" s="25" t="str">
        <f>IFERROR(MAX(tblRiskRegister322[[#This Row],[Risk Treatment Safeguard Impact to Mission]:[Risk Treatment Safeguard Impact to Obligations]])*tblRiskRegister322[[#This Row],[Risk Treatment
Safeguard Expectancy Score]],"")</f>
        <v/>
      </c>
      <c r="AG22" s="27" t="str">
        <f>IF(tblRiskRegister322[[#This Row],[Risk Score]]&gt;AcceptableRisk1,IF(tblRiskRegister322[[#This Row],[Risk Treatment Safeguard Risk Score]]&lt;AcceptableRisk1, IF(tblRiskRegister322[[#This Row],[Risk Treatment Safeguard Risk Score]]&lt;=tblRiskRegister322[[#This Row],[Risk Score]],"Yes","No"),"No"),"Yes")</f>
        <v>No</v>
      </c>
      <c r="AH22" s="18"/>
      <c r="AI22" s="18"/>
      <c r="AJ22" s="19"/>
    </row>
    <row r="23" spans="2:40" ht="25.5" x14ac:dyDescent="0.2">
      <c r="B23" s="15" t="s">
        <v>132</v>
      </c>
      <c r="C23" s="15"/>
      <c r="D23" s="13">
        <v>7.4</v>
      </c>
      <c r="E23" s="14" t="s">
        <v>105</v>
      </c>
      <c r="F23" s="17" t="s">
        <v>785</v>
      </c>
      <c r="G23" s="17" t="s">
        <v>785</v>
      </c>
      <c r="H23" s="17" t="s">
        <v>928</v>
      </c>
      <c r="I23" s="14"/>
      <c r="J23" s="14"/>
      <c r="K23" s="14"/>
      <c r="L23" s="16"/>
      <c r="M23" s="26">
        <f>IFERROR(VLOOKUP(tblRiskRegister322[[#This Row],[Asset Class]],tblVCDBIndex[],4,FALSE),"")</f>
        <v>2</v>
      </c>
      <c r="N23" s="26" t="str">
        <f>IFERROR(VLOOKUP(10*tblRiskRegister322[[#This Row],[Safeguard Maturity Score]]+tblRiskRegister322[[#This Row],[VCDB Index]],tblHITIndexWeightTable[],4,FALSE),"")</f>
        <v/>
      </c>
      <c r="O23" s="26">
        <f>VLOOKUP(tblRiskRegister322[[#This Row],[Asset Class]],tblInherentImpacts3046[],2,FALSE)</f>
        <v>4</v>
      </c>
      <c r="P23" s="26">
        <f>VLOOKUP(tblRiskRegister322[[#This Row],[Asset Class]],tblInherentImpacts3046[],3,FALSE)</f>
        <v>2</v>
      </c>
      <c r="Q23" s="26">
        <f>VLOOKUP(tblRiskRegister322[[#This Row],[Asset Class]],tblInherentImpacts3046[],4,FALSE)</f>
        <v>4</v>
      </c>
      <c r="R23" s="26">
        <f>VLOOKUP(tblRiskRegister322[[#This Row],[Asset Class]],tblInherentImpacts3046[],5,FALSE)</f>
        <v>5</v>
      </c>
      <c r="S23" s="26" t="str">
        <f>IFERROR(MAX(tblRiskRegister322[[#This Row],[Impact to Mission]:[Impact to Obligations]])*tblRiskRegister322[[#This Row],[Expectancy Score]],"")</f>
        <v/>
      </c>
      <c r="T23" s="26" t="str">
        <f>tblRiskRegister322[[#This Row],[Risk Score]]</f>
        <v/>
      </c>
      <c r="U23" s="17"/>
      <c r="V23" s="100">
        <v>7.4</v>
      </c>
      <c r="W23" s="15" t="s">
        <v>105</v>
      </c>
      <c r="X23" s="15" t="s">
        <v>464</v>
      </c>
      <c r="Y23" s="15"/>
      <c r="Z23" s="16"/>
      <c r="AA23" s="25" t="str">
        <f>IFERROR(VLOOKUP(10*tblRiskRegister322[[#This Row],[Risk Treatment Safeguard Maturity Score]]+tblRiskRegister322[[#This Row],[VCDB Index]],tblHITIndexWeightTable[],4,FALSE),"")</f>
        <v/>
      </c>
      <c r="AB23" s="136"/>
      <c r="AC23" s="136"/>
      <c r="AD23" s="136"/>
      <c r="AE23" s="136"/>
      <c r="AF23" s="25" t="str">
        <f>IFERROR(MAX(tblRiskRegister322[[#This Row],[Risk Treatment Safeguard Impact to Mission]:[Risk Treatment Safeguard Impact to Obligations]])*tblRiskRegister322[[#This Row],[Risk Treatment
Safeguard Expectancy Score]],"")</f>
        <v/>
      </c>
      <c r="AG23" s="27" t="str">
        <f>IF(tblRiskRegister322[[#This Row],[Risk Score]]&gt;AcceptableRisk1,IF(tblRiskRegister322[[#This Row],[Risk Treatment Safeguard Risk Score]]&lt;AcceptableRisk1, IF(tblRiskRegister322[[#This Row],[Risk Treatment Safeguard Risk Score]]&lt;=tblRiskRegister322[[#This Row],[Risk Score]],"Yes","No"),"No"),"Yes")</f>
        <v>No</v>
      </c>
      <c r="AH23" s="18"/>
      <c r="AI23" s="18"/>
      <c r="AJ23" s="19"/>
    </row>
    <row r="24" spans="2:40" ht="38.25" x14ac:dyDescent="0.2">
      <c r="B24" s="15" t="s">
        <v>132</v>
      </c>
      <c r="C24" s="15"/>
      <c r="D24" s="13">
        <v>7.5</v>
      </c>
      <c r="E24" s="14" t="s">
        <v>229</v>
      </c>
      <c r="F24" s="17"/>
      <c r="G24" s="17" t="s">
        <v>785</v>
      </c>
      <c r="H24" s="17" t="s">
        <v>926</v>
      </c>
      <c r="I24" s="14"/>
      <c r="J24" s="14"/>
      <c r="K24" s="14"/>
      <c r="L24" s="16"/>
      <c r="M24" s="26">
        <f>IFERROR(VLOOKUP(tblRiskRegister322[[#This Row],[Asset Class]],tblVCDBIndex[],4,FALSE),"")</f>
        <v>2</v>
      </c>
      <c r="N24" s="26" t="str">
        <f>IFERROR(VLOOKUP(10*tblRiskRegister322[[#This Row],[Safeguard Maturity Score]]+tblRiskRegister322[[#This Row],[VCDB Index]],tblHITIndexWeightTable[],4,FALSE),"")</f>
        <v/>
      </c>
      <c r="O24" s="26">
        <f>VLOOKUP(tblRiskRegister322[[#This Row],[Asset Class]],tblInherentImpacts3046[],2,FALSE)</f>
        <v>4</v>
      </c>
      <c r="P24" s="26">
        <f>VLOOKUP(tblRiskRegister322[[#This Row],[Asset Class]],tblInherentImpacts3046[],3,FALSE)</f>
        <v>2</v>
      </c>
      <c r="Q24" s="26">
        <f>VLOOKUP(tblRiskRegister322[[#This Row],[Asset Class]],tblInherentImpacts3046[],4,FALSE)</f>
        <v>4</v>
      </c>
      <c r="R24" s="26">
        <f>VLOOKUP(tblRiskRegister322[[#This Row],[Asset Class]],tblInherentImpacts3046[],5,FALSE)</f>
        <v>5</v>
      </c>
      <c r="S24" s="26" t="str">
        <f>IFERROR(MAX(tblRiskRegister322[[#This Row],[Impact to Mission]:[Impact to Obligations]])*tblRiskRegister322[[#This Row],[Expectancy Score]],"")</f>
        <v/>
      </c>
      <c r="T24" s="26" t="str">
        <f>tblRiskRegister322[[#This Row],[Risk Score]]</f>
        <v/>
      </c>
      <c r="U24" s="17"/>
      <c r="V24" s="100">
        <v>7.5</v>
      </c>
      <c r="W24" s="15" t="s">
        <v>229</v>
      </c>
      <c r="X24" s="15" t="s">
        <v>465</v>
      </c>
      <c r="Y24" s="15"/>
      <c r="Z24" s="16"/>
      <c r="AA24" s="25" t="str">
        <f>IFERROR(VLOOKUP(10*tblRiskRegister322[[#This Row],[Risk Treatment Safeguard Maturity Score]]+tblRiskRegister322[[#This Row],[VCDB Index]],tblHITIndexWeightTable[],4,FALSE),"")</f>
        <v/>
      </c>
      <c r="AB24" s="136"/>
      <c r="AC24" s="136"/>
      <c r="AD24" s="136"/>
      <c r="AE24" s="136"/>
      <c r="AF24" s="25" t="str">
        <f>IFERROR(MAX(tblRiskRegister322[[#This Row],[Risk Treatment Safeguard Impact to Mission]:[Risk Treatment Safeguard Impact to Obligations]])*tblRiskRegister322[[#This Row],[Risk Treatment
Safeguard Expectancy Score]],"")</f>
        <v/>
      </c>
      <c r="AG24" s="27" t="str">
        <f>IF(tblRiskRegister322[[#This Row],[Risk Score]]&gt;AcceptableRisk1,IF(tblRiskRegister322[[#This Row],[Risk Treatment Safeguard Risk Score]]&lt;AcceptableRisk1, IF(tblRiskRegister322[[#This Row],[Risk Treatment Safeguard Risk Score]]&lt;=tblRiskRegister322[[#This Row],[Risk Score]],"Yes","No"),"No"),"Yes")</f>
        <v>No</v>
      </c>
      <c r="AH24" s="18"/>
      <c r="AI24" s="18"/>
      <c r="AJ24" s="19"/>
    </row>
    <row r="25" spans="2:40" ht="38.25" x14ac:dyDescent="0.2">
      <c r="B25" s="15" t="s">
        <v>132</v>
      </c>
      <c r="C25" s="15"/>
      <c r="D25" s="13">
        <v>7.6</v>
      </c>
      <c r="E25" s="14" t="s">
        <v>230</v>
      </c>
      <c r="F25" s="17"/>
      <c r="G25" s="17" t="s">
        <v>785</v>
      </c>
      <c r="H25" s="17" t="s">
        <v>926</v>
      </c>
      <c r="I25" s="14"/>
      <c r="J25" s="14"/>
      <c r="K25" s="14"/>
      <c r="L25" s="16"/>
      <c r="M25" s="26">
        <f>IFERROR(VLOOKUP(tblRiskRegister322[[#This Row],[Asset Class]],tblVCDBIndex[],4,FALSE),"")</f>
        <v>2</v>
      </c>
      <c r="N25" s="26" t="str">
        <f>IFERROR(VLOOKUP(10*tblRiskRegister322[[#This Row],[Safeguard Maturity Score]]+tblRiskRegister322[[#This Row],[VCDB Index]],tblHITIndexWeightTable[],4,FALSE),"")</f>
        <v/>
      </c>
      <c r="O25" s="26">
        <f>VLOOKUP(tblRiskRegister322[[#This Row],[Asset Class]],tblInherentImpacts3046[],2,FALSE)</f>
        <v>4</v>
      </c>
      <c r="P25" s="26">
        <f>VLOOKUP(tblRiskRegister322[[#This Row],[Asset Class]],tblInherentImpacts3046[],3,FALSE)</f>
        <v>2</v>
      </c>
      <c r="Q25" s="26">
        <f>VLOOKUP(tblRiskRegister322[[#This Row],[Asset Class]],tblInherentImpacts3046[],4,FALSE)</f>
        <v>4</v>
      </c>
      <c r="R25" s="26">
        <f>VLOOKUP(tblRiskRegister322[[#This Row],[Asset Class]],tblInherentImpacts3046[],5,FALSE)</f>
        <v>5</v>
      </c>
      <c r="S25" s="26" t="str">
        <f>IFERROR(MAX(tblRiskRegister322[[#This Row],[Impact to Mission]:[Impact to Obligations]])*tblRiskRegister322[[#This Row],[Expectancy Score]],"")</f>
        <v/>
      </c>
      <c r="T25" s="26" t="str">
        <f>tblRiskRegister322[[#This Row],[Risk Score]]</f>
        <v/>
      </c>
      <c r="U25" s="17"/>
      <c r="V25" s="100">
        <v>7.6</v>
      </c>
      <c r="W25" s="15" t="s">
        <v>230</v>
      </c>
      <c r="X25" s="15" t="s">
        <v>466</v>
      </c>
      <c r="Y25" s="15"/>
      <c r="Z25" s="16"/>
      <c r="AA25" s="25" t="str">
        <f>IFERROR(VLOOKUP(10*tblRiskRegister322[[#This Row],[Risk Treatment Safeguard Maturity Score]]+tblRiskRegister322[[#This Row],[VCDB Index]],tblHITIndexWeightTable[],4,FALSE),"")</f>
        <v/>
      </c>
      <c r="AB25" s="136"/>
      <c r="AC25" s="136"/>
      <c r="AD25" s="136"/>
      <c r="AE25" s="136"/>
      <c r="AF25" s="25" t="str">
        <f>IFERROR(MAX(tblRiskRegister322[[#This Row],[Risk Treatment Safeguard Impact to Mission]:[Risk Treatment Safeguard Impact to Obligations]])*tblRiskRegister322[[#This Row],[Risk Treatment
Safeguard Expectancy Score]],"")</f>
        <v/>
      </c>
      <c r="AG25" s="27" t="str">
        <f>IF(tblRiskRegister322[[#This Row],[Risk Score]]&gt;AcceptableRisk1,IF(tblRiskRegister322[[#This Row],[Risk Treatment Safeguard Risk Score]]&lt;AcceptableRisk1, IF(tblRiskRegister322[[#This Row],[Risk Treatment Safeguard Risk Score]]&lt;=tblRiskRegister322[[#This Row],[Risk Score]],"Yes","No"),"No"),"Yes")</f>
        <v>No</v>
      </c>
      <c r="AH25" s="18"/>
      <c r="AI25" s="18"/>
      <c r="AJ25" s="19"/>
    </row>
    <row r="26" spans="2:40" ht="25.5" x14ac:dyDescent="0.2">
      <c r="B26" s="15" t="s">
        <v>132</v>
      </c>
      <c r="C26" s="15"/>
      <c r="D26" s="13">
        <v>7.7</v>
      </c>
      <c r="E26" s="14" t="s">
        <v>231</v>
      </c>
      <c r="F26" s="17"/>
      <c r="G26" s="17" t="s">
        <v>785</v>
      </c>
      <c r="H26" s="17" t="s">
        <v>927</v>
      </c>
      <c r="I26" s="14"/>
      <c r="J26" s="14"/>
      <c r="K26" s="14"/>
      <c r="L26" s="16"/>
      <c r="M26" s="26">
        <f>IFERROR(VLOOKUP(tblRiskRegister322[[#This Row],[Asset Class]],tblVCDBIndex[],4,FALSE),"")</f>
        <v>2</v>
      </c>
      <c r="N26" s="26" t="str">
        <f>IFERROR(VLOOKUP(10*tblRiskRegister322[[#This Row],[Safeguard Maturity Score]]+tblRiskRegister322[[#This Row],[VCDB Index]],tblHITIndexWeightTable[],4,FALSE),"")</f>
        <v/>
      </c>
      <c r="O26" s="26">
        <f>VLOOKUP(tblRiskRegister322[[#This Row],[Asset Class]],tblInherentImpacts3046[],2,FALSE)</f>
        <v>4</v>
      </c>
      <c r="P26" s="26">
        <f>VLOOKUP(tblRiskRegister322[[#This Row],[Asset Class]],tblInherentImpacts3046[],3,FALSE)</f>
        <v>2</v>
      </c>
      <c r="Q26" s="26">
        <f>VLOOKUP(tblRiskRegister322[[#This Row],[Asset Class]],tblInherentImpacts3046[],4,FALSE)</f>
        <v>4</v>
      </c>
      <c r="R26" s="26">
        <f>VLOOKUP(tblRiskRegister322[[#This Row],[Asset Class]],tblInherentImpacts3046[],5,FALSE)</f>
        <v>5</v>
      </c>
      <c r="S26" s="26" t="str">
        <f>IFERROR(MAX(tblRiskRegister322[[#This Row],[Impact to Mission]:[Impact to Obligations]])*tblRiskRegister322[[#This Row],[Expectancy Score]],"")</f>
        <v/>
      </c>
      <c r="T26" s="26" t="str">
        <f>tblRiskRegister322[[#This Row],[Risk Score]]</f>
        <v/>
      </c>
      <c r="U26" s="17"/>
      <c r="V26" s="100">
        <v>7.7</v>
      </c>
      <c r="W26" s="15" t="s">
        <v>231</v>
      </c>
      <c r="X26" s="15" t="s">
        <v>467</v>
      </c>
      <c r="Y26" s="15"/>
      <c r="Z26" s="16"/>
      <c r="AA26" s="25" t="str">
        <f>IFERROR(VLOOKUP(10*tblRiskRegister322[[#This Row],[Risk Treatment Safeguard Maturity Score]]+tblRiskRegister322[[#This Row],[VCDB Index]],tblHITIndexWeightTable[],4,FALSE),"")</f>
        <v/>
      </c>
      <c r="AB26" s="136"/>
      <c r="AC26" s="136"/>
      <c r="AD26" s="136"/>
      <c r="AE26" s="136"/>
      <c r="AF26" s="25" t="str">
        <f>IFERROR(MAX(tblRiskRegister322[[#This Row],[Risk Treatment Safeguard Impact to Mission]:[Risk Treatment Safeguard Impact to Obligations]])*tblRiskRegister322[[#This Row],[Risk Treatment
Safeguard Expectancy Score]],"")</f>
        <v/>
      </c>
      <c r="AG26" s="27" t="str">
        <f>IF(tblRiskRegister322[[#This Row],[Risk Score]]&gt;AcceptableRisk1,IF(tblRiskRegister322[[#This Row],[Risk Treatment Safeguard Risk Score]]&lt;AcceptableRisk1, IF(tblRiskRegister322[[#This Row],[Risk Treatment Safeguard Risk Score]]&lt;=tblRiskRegister322[[#This Row],[Risk Score]],"Yes","No"),"No"),"Yes")</f>
        <v>No</v>
      </c>
      <c r="AH26" s="18"/>
      <c r="AI26" s="18"/>
      <c r="AJ26" s="19"/>
    </row>
    <row r="27" spans="2:40" ht="38.25" x14ac:dyDescent="0.2">
      <c r="B27" s="15" t="s">
        <v>132</v>
      </c>
      <c r="C27" s="15"/>
      <c r="D27" s="13">
        <v>9.1</v>
      </c>
      <c r="E27" s="14" t="s">
        <v>24</v>
      </c>
      <c r="F27" s="17" t="s">
        <v>785</v>
      </c>
      <c r="G27" s="17" t="s">
        <v>785</v>
      </c>
      <c r="H27" s="17" t="s">
        <v>928</v>
      </c>
      <c r="I27" s="14"/>
      <c r="J27" s="14"/>
      <c r="K27" s="14"/>
      <c r="L27" s="16"/>
      <c r="M27" s="26">
        <f>IFERROR(VLOOKUP(tblRiskRegister322[[#This Row],[Asset Class]],tblVCDBIndex[],4,FALSE),"")</f>
        <v>2</v>
      </c>
      <c r="N27" s="26" t="str">
        <f>IFERROR(VLOOKUP(10*tblRiskRegister322[[#This Row],[Safeguard Maturity Score]]+tblRiskRegister322[[#This Row],[VCDB Index]],tblHITIndexWeightTable[],4,FALSE),"")</f>
        <v/>
      </c>
      <c r="O27" s="26">
        <f>VLOOKUP(tblRiskRegister322[[#This Row],[Asset Class]],tblInherentImpacts3046[],2,FALSE)</f>
        <v>4</v>
      </c>
      <c r="P27" s="26">
        <f>VLOOKUP(tblRiskRegister322[[#This Row],[Asset Class]],tblInherentImpacts3046[],3,FALSE)</f>
        <v>2</v>
      </c>
      <c r="Q27" s="26">
        <f>VLOOKUP(tblRiskRegister322[[#This Row],[Asset Class]],tblInherentImpacts3046[],4,FALSE)</f>
        <v>4</v>
      </c>
      <c r="R27" s="26">
        <f>VLOOKUP(tblRiskRegister322[[#This Row],[Asset Class]],tblInherentImpacts3046[],5,FALSE)</f>
        <v>5</v>
      </c>
      <c r="S27" s="26" t="str">
        <f>IFERROR(MAX(tblRiskRegister322[[#This Row],[Impact to Mission]:[Impact to Obligations]])*tblRiskRegister322[[#This Row],[Expectancy Score]],"")</f>
        <v/>
      </c>
      <c r="T27" s="26" t="str">
        <f>tblRiskRegister322[[#This Row],[Risk Score]]</f>
        <v/>
      </c>
      <c r="U27" s="17"/>
      <c r="V27" s="100">
        <v>9.1</v>
      </c>
      <c r="W27" s="15" t="s">
        <v>24</v>
      </c>
      <c r="X27" s="15" t="s">
        <v>479</v>
      </c>
      <c r="Y27" s="15"/>
      <c r="Z27" s="16"/>
      <c r="AA27" s="25" t="str">
        <f>IFERROR(VLOOKUP(10*tblRiskRegister322[[#This Row],[Risk Treatment Safeguard Maturity Score]]+tblRiskRegister322[[#This Row],[VCDB Index]],tblHITIndexWeightTable[],4,FALSE),"")</f>
        <v/>
      </c>
      <c r="AB27" s="136"/>
      <c r="AC27" s="136"/>
      <c r="AD27" s="136"/>
      <c r="AE27" s="136"/>
      <c r="AF27" s="25" t="str">
        <f>IFERROR(MAX(tblRiskRegister322[[#This Row],[Risk Treatment Safeguard Impact to Mission]:[Risk Treatment Safeguard Impact to Obligations]])*tblRiskRegister322[[#This Row],[Risk Treatment
Safeguard Expectancy Score]],"")</f>
        <v/>
      </c>
      <c r="AG27" s="27" t="str">
        <f>IF(tblRiskRegister322[[#This Row],[Risk Score]]&gt;AcceptableRisk1,IF(tblRiskRegister322[[#This Row],[Risk Treatment Safeguard Risk Score]]&lt;AcceptableRisk1, IF(tblRiskRegister322[[#This Row],[Risk Treatment Safeguard Risk Score]]&lt;=tblRiskRegister322[[#This Row],[Risk Score]],"Yes","No"),"No"),"Yes")</f>
        <v>No</v>
      </c>
      <c r="AH27" s="18"/>
      <c r="AI27" s="18"/>
      <c r="AJ27" s="19"/>
    </row>
    <row r="28" spans="2:40" ht="38.25" x14ac:dyDescent="0.2">
      <c r="B28" s="15" t="s">
        <v>132</v>
      </c>
      <c r="C28" s="15"/>
      <c r="D28" s="13">
        <v>9.4</v>
      </c>
      <c r="E28" s="14" t="s">
        <v>232</v>
      </c>
      <c r="F28" s="17"/>
      <c r="G28" s="17" t="s">
        <v>785</v>
      </c>
      <c r="H28" s="17" t="s">
        <v>928</v>
      </c>
      <c r="I28" s="14"/>
      <c r="J28" s="14"/>
      <c r="K28" s="14"/>
      <c r="L28" s="16"/>
      <c r="M28" s="26">
        <f>IFERROR(VLOOKUP(tblRiskRegister322[[#This Row],[Asset Class]],tblVCDBIndex[],4,FALSE),"")</f>
        <v>2</v>
      </c>
      <c r="N28" s="26" t="str">
        <f>IFERROR(VLOOKUP(10*tblRiskRegister322[[#This Row],[Safeguard Maturity Score]]+tblRiskRegister322[[#This Row],[VCDB Index]],tblHITIndexWeightTable[],4,FALSE),"")</f>
        <v/>
      </c>
      <c r="O28" s="26">
        <f>VLOOKUP(tblRiskRegister322[[#This Row],[Asset Class]],tblInherentImpacts3046[],2,FALSE)</f>
        <v>4</v>
      </c>
      <c r="P28" s="26">
        <f>VLOOKUP(tblRiskRegister322[[#This Row],[Asset Class]],tblInherentImpacts3046[],3,FALSE)</f>
        <v>2</v>
      </c>
      <c r="Q28" s="26">
        <f>VLOOKUP(tblRiskRegister322[[#This Row],[Asset Class]],tblInherentImpacts3046[],4,FALSE)</f>
        <v>4</v>
      </c>
      <c r="R28" s="26">
        <f>VLOOKUP(tblRiskRegister322[[#This Row],[Asset Class]],tblInherentImpacts3046[],5,FALSE)</f>
        <v>5</v>
      </c>
      <c r="S28" s="26" t="str">
        <f>IFERROR(MAX(tblRiskRegister322[[#This Row],[Impact to Mission]:[Impact to Obligations]])*tblRiskRegister322[[#This Row],[Expectancy Score]],"")</f>
        <v/>
      </c>
      <c r="T28" s="26" t="str">
        <f>tblRiskRegister322[[#This Row],[Risk Score]]</f>
        <v/>
      </c>
      <c r="U28" s="17"/>
      <c r="V28" s="100">
        <v>9.4</v>
      </c>
      <c r="W28" s="15" t="s">
        <v>232</v>
      </c>
      <c r="X28" s="15" t="s">
        <v>482</v>
      </c>
      <c r="Y28" s="15"/>
      <c r="Z28" s="16"/>
      <c r="AA28" s="25" t="str">
        <f>IFERROR(VLOOKUP(10*tblRiskRegister322[[#This Row],[Risk Treatment Safeguard Maturity Score]]+tblRiskRegister322[[#This Row],[VCDB Index]],tblHITIndexWeightTable[],4,FALSE),"")</f>
        <v/>
      </c>
      <c r="AB28" s="136"/>
      <c r="AC28" s="136"/>
      <c r="AD28" s="136"/>
      <c r="AE28" s="136"/>
      <c r="AF28" s="25" t="str">
        <f>IFERROR(MAX(tblRiskRegister322[[#This Row],[Risk Treatment Safeguard Impact to Mission]:[Risk Treatment Safeguard Impact to Obligations]])*tblRiskRegister322[[#This Row],[Risk Treatment
Safeguard Expectancy Score]],"")</f>
        <v/>
      </c>
      <c r="AG28" s="27" t="str">
        <f>IF(tblRiskRegister322[[#This Row],[Risk Score]]&gt;AcceptableRisk1,IF(tblRiskRegister322[[#This Row],[Risk Treatment Safeguard Risk Score]]&lt;AcceptableRisk1, IF(tblRiskRegister322[[#This Row],[Risk Treatment Safeguard Risk Score]]&lt;=tblRiskRegister322[[#This Row],[Risk Score]],"Yes","No"),"No"),"Yes")</f>
        <v>No</v>
      </c>
      <c r="AH28" s="18"/>
      <c r="AI28" s="18"/>
      <c r="AJ28" s="19"/>
    </row>
    <row r="29" spans="2:40" ht="63.75" x14ac:dyDescent="0.2">
      <c r="B29" s="15" t="s">
        <v>132</v>
      </c>
      <c r="C29" s="15"/>
      <c r="D29" s="13">
        <v>16.100000000000001</v>
      </c>
      <c r="E29" s="14" t="s">
        <v>233</v>
      </c>
      <c r="F29" s="17"/>
      <c r="G29" s="17" t="s">
        <v>785</v>
      </c>
      <c r="H29" s="17" t="s">
        <v>928</v>
      </c>
      <c r="I29" s="14"/>
      <c r="J29" s="14"/>
      <c r="K29" s="14"/>
      <c r="L29" s="16"/>
      <c r="M29" s="26">
        <f>IFERROR(VLOOKUP(tblRiskRegister322[[#This Row],[Asset Class]],tblVCDBIndex[],4,FALSE),"")</f>
        <v>2</v>
      </c>
      <c r="N29" s="26" t="str">
        <f>IFERROR(VLOOKUP(10*tblRiskRegister322[[#This Row],[Safeguard Maturity Score]]+tblRiskRegister322[[#This Row],[VCDB Index]],tblHITIndexWeightTable[],4,FALSE),"")</f>
        <v/>
      </c>
      <c r="O29" s="26">
        <f>VLOOKUP(tblRiskRegister322[[#This Row],[Asset Class]],tblInherentImpacts3046[],2,FALSE)</f>
        <v>4</v>
      </c>
      <c r="P29" s="26">
        <f>VLOOKUP(tblRiskRegister322[[#This Row],[Asset Class]],tblInherentImpacts3046[],3,FALSE)</f>
        <v>2</v>
      </c>
      <c r="Q29" s="26">
        <f>VLOOKUP(tblRiskRegister322[[#This Row],[Asset Class]],tblInherentImpacts3046[],4,FALSE)</f>
        <v>4</v>
      </c>
      <c r="R29" s="26">
        <f>VLOOKUP(tblRiskRegister322[[#This Row],[Asset Class]],tblInherentImpacts3046[],5,FALSE)</f>
        <v>5</v>
      </c>
      <c r="S29" s="26" t="str">
        <f>IFERROR(MAX(tblRiskRegister322[[#This Row],[Impact to Mission]:[Impact to Obligations]])*tblRiskRegister322[[#This Row],[Expectancy Score]],"")</f>
        <v/>
      </c>
      <c r="T29" s="26" t="str">
        <f>tblRiskRegister322[[#This Row],[Risk Score]]</f>
        <v/>
      </c>
      <c r="U29" s="17"/>
      <c r="V29" s="100">
        <v>16.100000000000001</v>
      </c>
      <c r="W29" s="15" t="s">
        <v>233</v>
      </c>
      <c r="X29" s="15" t="s">
        <v>523</v>
      </c>
      <c r="Y29" s="15"/>
      <c r="Z29" s="16"/>
      <c r="AA29" s="25" t="str">
        <f>IFERROR(VLOOKUP(10*tblRiskRegister322[[#This Row],[Risk Treatment Safeguard Maturity Score]]+tblRiskRegister322[[#This Row],[VCDB Index]],tblHITIndexWeightTable[],4,FALSE),"")</f>
        <v/>
      </c>
      <c r="AB29" s="136"/>
      <c r="AC29" s="136"/>
      <c r="AD29" s="136"/>
      <c r="AE29" s="136"/>
      <c r="AF29" s="25" t="str">
        <f>IFERROR(MAX(tblRiskRegister322[[#This Row],[Risk Treatment Safeguard Impact to Mission]:[Risk Treatment Safeguard Impact to Obligations]])*tblRiskRegister322[[#This Row],[Risk Treatment
Safeguard Expectancy Score]],"")</f>
        <v/>
      </c>
      <c r="AG29" s="27" t="str">
        <f>IF(tblRiskRegister322[[#This Row],[Risk Score]]&gt;AcceptableRisk1,IF(tblRiskRegister322[[#This Row],[Risk Treatment Safeguard Risk Score]]&lt;AcceptableRisk1, IF(tblRiskRegister322[[#This Row],[Risk Treatment Safeguard Risk Score]]&lt;=tblRiskRegister322[[#This Row],[Risk Score]],"Yes","No"),"No"),"Yes")</f>
        <v>No</v>
      </c>
      <c r="AH29" s="18"/>
      <c r="AI29" s="18"/>
      <c r="AJ29" s="19"/>
    </row>
    <row r="30" spans="2:40" ht="140.25" x14ac:dyDescent="0.2">
      <c r="B30" s="15" t="s">
        <v>132</v>
      </c>
      <c r="C30" s="15"/>
      <c r="D30" s="13">
        <v>16.2</v>
      </c>
      <c r="E30" s="14" t="s">
        <v>234</v>
      </c>
      <c r="F30" s="17"/>
      <c r="G30" s="17" t="s">
        <v>785</v>
      </c>
      <c r="H30" s="17" t="s">
        <v>928</v>
      </c>
      <c r="I30" s="14"/>
      <c r="J30" s="14"/>
      <c r="K30" s="14"/>
      <c r="L30" s="16"/>
      <c r="M30" s="26">
        <f>IFERROR(VLOOKUP(tblRiskRegister322[[#This Row],[Asset Class]],tblVCDBIndex[],4,FALSE),"")</f>
        <v>2</v>
      </c>
      <c r="N30" s="26" t="str">
        <f>IFERROR(VLOOKUP(10*tblRiskRegister322[[#This Row],[Safeguard Maturity Score]]+tblRiskRegister322[[#This Row],[VCDB Index]],tblHITIndexWeightTable[],4,FALSE),"")</f>
        <v/>
      </c>
      <c r="O30" s="26">
        <f>VLOOKUP(tblRiskRegister322[[#This Row],[Asset Class]],tblInherentImpacts3046[],2,FALSE)</f>
        <v>4</v>
      </c>
      <c r="P30" s="26">
        <f>VLOOKUP(tblRiskRegister322[[#This Row],[Asset Class]],tblInherentImpacts3046[],3,FALSE)</f>
        <v>2</v>
      </c>
      <c r="Q30" s="26">
        <f>VLOOKUP(tblRiskRegister322[[#This Row],[Asset Class]],tblInherentImpacts3046[],4,FALSE)</f>
        <v>4</v>
      </c>
      <c r="R30" s="26">
        <f>VLOOKUP(tblRiskRegister322[[#This Row],[Asset Class]],tblInherentImpacts3046[],5,FALSE)</f>
        <v>5</v>
      </c>
      <c r="S30" s="26" t="str">
        <f>IFERROR(MAX(tblRiskRegister322[[#This Row],[Impact to Mission]:[Impact to Obligations]])*tblRiskRegister322[[#This Row],[Expectancy Score]],"")</f>
        <v/>
      </c>
      <c r="T30" s="26" t="str">
        <f>tblRiskRegister322[[#This Row],[Risk Score]]</f>
        <v/>
      </c>
      <c r="U30" s="17"/>
      <c r="V30" s="100">
        <v>16.2</v>
      </c>
      <c r="W30" s="15" t="s">
        <v>234</v>
      </c>
      <c r="X30" s="15" t="s">
        <v>524</v>
      </c>
      <c r="Y30" s="15"/>
      <c r="Z30" s="16"/>
      <c r="AA30" s="25" t="str">
        <f>IFERROR(VLOOKUP(10*tblRiskRegister322[[#This Row],[Risk Treatment Safeguard Maturity Score]]+tblRiskRegister322[[#This Row],[VCDB Index]],tblHITIndexWeightTable[],4,FALSE),"")</f>
        <v/>
      </c>
      <c r="AB30" s="136"/>
      <c r="AC30" s="136"/>
      <c r="AD30" s="136"/>
      <c r="AE30" s="136"/>
      <c r="AF30" s="25" t="str">
        <f>IFERROR(MAX(tblRiskRegister322[[#This Row],[Risk Treatment Safeguard Impact to Mission]:[Risk Treatment Safeguard Impact to Obligations]])*tblRiskRegister322[[#This Row],[Risk Treatment
Safeguard Expectancy Score]],"")</f>
        <v/>
      </c>
      <c r="AG30" s="27" t="str">
        <f>IF(tblRiskRegister322[[#This Row],[Risk Score]]&gt;AcceptableRisk1,IF(tblRiskRegister322[[#This Row],[Risk Treatment Safeguard Risk Score]]&lt;AcceptableRisk1, IF(tblRiskRegister322[[#This Row],[Risk Treatment Safeguard Risk Score]]&lt;=tblRiskRegister322[[#This Row],[Risk Score]],"Yes","No"),"No"),"Yes")</f>
        <v>No</v>
      </c>
      <c r="AH30" s="18"/>
      <c r="AI30" s="18"/>
      <c r="AJ30" s="19"/>
    </row>
    <row r="31" spans="2:40" ht="51" x14ac:dyDescent="0.2">
      <c r="B31" s="15" t="s">
        <v>132</v>
      </c>
      <c r="C31" s="15"/>
      <c r="D31" s="13">
        <v>16.3</v>
      </c>
      <c r="E31" s="14" t="s">
        <v>235</v>
      </c>
      <c r="F31" s="17"/>
      <c r="G31" s="17" t="s">
        <v>785</v>
      </c>
      <c r="H31" s="17" t="s">
        <v>928</v>
      </c>
      <c r="I31" s="14"/>
      <c r="J31" s="14"/>
      <c r="K31" s="14"/>
      <c r="L31" s="16"/>
      <c r="M31" s="26">
        <f>IFERROR(VLOOKUP(tblRiskRegister322[[#This Row],[Asset Class]],tblVCDBIndex[],4,FALSE),"")</f>
        <v>2</v>
      </c>
      <c r="N31" s="26" t="str">
        <f>IFERROR(VLOOKUP(10*tblRiskRegister322[[#This Row],[Safeguard Maturity Score]]+tblRiskRegister322[[#This Row],[VCDB Index]],tblHITIndexWeightTable[],4,FALSE),"")</f>
        <v/>
      </c>
      <c r="O31" s="26">
        <f>VLOOKUP(tblRiskRegister322[[#This Row],[Asset Class]],tblInherentImpacts3046[],2,FALSE)</f>
        <v>4</v>
      </c>
      <c r="P31" s="26">
        <f>VLOOKUP(tblRiskRegister322[[#This Row],[Asset Class]],tblInherentImpacts3046[],3,FALSE)</f>
        <v>2</v>
      </c>
      <c r="Q31" s="26">
        <f>VLOOKUP(tblRiskRegister322[[#This Row],[Asset Class]],tblInherentImpacts3046[],4,FALSE)</f>
        <v>4</v>
      </c>
      <c r="R31" s="26">
        <f>VLOOKUP(tblRiskRegister322[[#This Row],[Asset Class]],tblInherentImpacts3046[],5,FALSE)</f>
        <v>5</v>
      </c>
      <c r="S31" s="26" t="str">
        <f>IFERROR(MAX(tblRiskRegister322[[#This Row],[Impact to Mission]:[Impact to Obligations]])*tblRiskRegister322[[#This Row],[Expectancy Score]],"")</f>
        <v/>
      </c>
      <c r="T31" s="26" t="str">
        <f>tblRiskRegister322[[#This Row],[Risk Score]]</f>
        <v/>
      </c>
      <c r="U31" s="17"/>
      <c r="V31" s="100">
        <v>16.3</v>
      </c>
      <c r="W31" s="15" t="s">
        <v>235</v>
      </c>
      <c r="X31" s="15" t="s">
        <v>525</v>
      </c>
      <c r="Y31" s="15"/>
      <c r="Z31" s="16"/>
      <c r="AA31" s="25" t="str">
        <f>IFERROR(VLOOKUP(10*tblRiskRegister322[[#This Row],[Risk Treatment Safeguard Maturity Score]]+tblRiskRegister322[[#This Row],[VCDB Index]],tblHITIndexWeightTable[],4,FALSE),"")</f>
        <v/>
      </c>
      <c r="AB31" s="136"/>
      <c r="AC31" s="136"/>
      <c r="AD31" s="136"/>
      <c r="AE31" s="136"/>
      <c r="AF31" s="25" t="str">
        <f>IFERROR(MAX(tblRiskRegister322[[#This Row],[Risk Treatment Safeguard Impact to Mission]:[Risk Treatment Safeguard Impact to Obligations]])*tblRiskRegister322[[#This Row],[Risk Treatment
Safeguard Expectancy Score]],"")</f>
        <v/>
      </c>
      <c r="AG31" s="27" t="str">
        <f>IF(tblRiskRegister322[[#This Row],[Risk Score]]&gt;AcceptableRisk1,IF(tblRiskRegister322[[#This Row],[Risk Treatment Safeguard Risk Score]]&lt;AcceptableRisk1, IF(tblRiskRegister322[[#This Row],[Risk Treatment Safeguard Risk Score]]&lt;=tblRiskRegister322[[#This Row],[Risk Score]],"Yes","No"),"No"),"Yes")</f>
        <v>No</v>
      </c>
      <c r="AH31" s="18"/>
      <c r="AI31" s="18"/>
      <c r="AJ31" s="19"/>
    </row>
    <row r="32" spans="2:40" ht="63.75" x14ac:dyDescent="0.2">
      <c r="B32" s="15" t="s">
        <v>132</v>
      </c>
      <c r="C32" s="15"/>
      <c r="D32" s="13">
        <v>16.399999999999999</v>
      </c>
      <c r="E32" s="14" t="s">
        <v>299</v>
      </c>
      <c r="F32" s="17"/>
      <c r="G32" s="17" t="s">
        <v>785</v>
      </c>
      <c r="H32" s="17" t="s">
        <v>928</v>
      </c>
      <c r="I32" s="14"/>
      <c r="J32" s="14"/>
      <c r="K32" s="14"/>
      <c r="L32" s="16"/>
      <c r="M32" s="26">
        <f>IFERROR(VLOOKUP(tblRiskRegister322[[#This Row],[Asset Class]],tblVCDBIndex[],4,FALSE),"")</f>
        <v>2</v>
      </c>
      <c r="N32" s="26" t="str">
        <f>IFERROR(VLOOKUP(10*tblRiskRegister322[[#This Row],[Safeguard Maturity Score]]+tblRiskRegister322[[#This Row],[VCDB Index]],tblHITIndexWeightTable[],4,FALSE),"")</f>
        <v/>
      </c>
      <c r="O32" s="26">
        <f>VLOOKUP(tblRiskRegister322[[#This Row],[Asset Class]],tblInherentImpacts3046[],2,FALSE)</f>
        <v>4</v>
      </c>
      <c r="P32" s="26">
        <f>VLOOKUP(tblRiskRegister322[[#This Row],[Asset Class]],tblInherentImpacts3046[],3,FALSE)</f>
        <v>2</v>
      </c>
      <c r="Q32" s="26">
        <f>VLOOKUP(tblRiskRegister322[[#This Row],[Asset Class]],tblInherentImpacts3046[],4,FALSE)</f>
        <v>4</v>
      </c>
      <c r="R32" s="26">
        <f>VLOOKUP(tblRiskRegister322[[#This Row],[Asset Class]],tblInherentImpacts3046[],5,FALSE)</f>
        <v>5</v>
      </c>
      <c r="S32" s="26" t="str">
        <f>IFERROR(MAX(tblRiskRegister322[[#This Row],[Impact to Mission]:[Impact to Obligations]])*tblRiskRegister322[[#This Row],[Expectancy Score]],"")</f>
        <v/>
      </c>
      <c r="T32" s="26" t="str">
        <f>tblRiskRegister322[[#This Row],[Risk Score]]</f>
        <v/>
      </c>
      <c r="U32" s="17"/>
      <c r="V32" s="100">
        <v>16.399999999999999</v>
      </c>
      <c r="W32" s="15" t="s">
        <v>299</v>
      </c>
      <c r="X32" s="15" t="s">
        <v>526</v>
      </c>
      <c r="Y32" s="15"/>
      <c r="Z32" s="16"/>
      <c r="AA32" s="25" t="str">
        <f>IFERROR(VLOOKUP(10*tblRiskRegister322[[#This Row],[Risk Treatment Safeguard Maturity Score]]+tblRiskRegister322[[#This Row],[VCDB Index]],tblHITIndexWeightTable[],4,FALSE),"")</f>
        <v/>
      </c>
      <c r="AB32" s="136"/>
      <c r="AC32" s="136"/>
      <c r="AD32" s="136"/>
      <c r="AE32" s="136"/>
      <c r="AF32" s="25" t="str">
        <f>IFERROR(MAX(tblRiskRegister322[[#This Row],[Risk Treatment Safeguard Impact to Mission]:[Risk Treatment Safeguard Impact to Obligations]])*tblRiskRegister322[[#This Row],[Risk Treatment
Safeguard Expectancy Score]],"")</f>
        <v/>
      </c>
      <c r="AG32" s="27" t="str">
        <f>IF(tblRiskRegister322[[#This Row],[Risk Score]]&gt;AcceptableRisk1,IF(tblRiskRegister322[[#This Row],[Risk Treatment Safeguard Risk Score]]&lt;AcceptableRisk1, IF(tblRiskRegister322[[#This Row],[Risk Treatment Safeguard Risk Score]]&lt;=tblRiskRegister322[[#This Row],[Risk Score]],"Yes","No"),"No"),"Yes")</f>
        <v>No</v>
      </c>
      <c r="AH32" s="18"/>
      <c r="AI32" s="18"/>
      <c r="AJ32" s="19"/>
    </row>
    <row r="33" spans="2:36" ht="51" x14ac:dyDescent="0.2">
      <c r="B33" s="15" t="s">
        <v>132</v>
      </c>
      <c r="C33" s="15"/>
      <c r="D33" s="13">
        <v>16.5</v>
      </c>
      <c r="E33" s="14" t="s">
        <v>236</v>
      </c>
      <c r="F33" s="17"/>
      <c r="G33" s="17" t="s">
        <v>785</v>
      </c>
      <c r="H33" s="17" t="s">
        <v>928</v>
      </c>
      <c r="I33" s="14"/>
      <c r="J33" s="14"/>
      <c r="K33" s="14"/>
      <c r="L33" s="16"/>
      <c r="M33" s="26">
        <f>IFERROR(VLOOKUP(tblRiskRegister322[[#This Row],[Asset Class]],tblVCDBIndex[],4,FALSE),"")</f>
        <v>2</v>
      </c>
      <c r="N33" s="26" t="str">
        <f>IFERROR(VLOOKUP(10*tblRiskRegister322[[#This Row],[Safeguard Maturity Score]]+tblRiskRegister322[[#This Row],[VCDB Index]],tblHITIndexWeightTable[],4,FALSE),"")</f>
        <v/>
      </c>
      <c r="O33" s="26">
        <f>VLOOKUP(tblRiskRegister322[[#This Row],[Asset Class]],tblInherentImpacts3046[],2,FALSE)</f>
        <v>4</v>
      </c>
      <c r="P33" s="26">
        <f>VLOOKUP(tblRiskRegister322[[#This Row],[Asset Class]],tblInherentImpacts3046[],3,FALSE)</f>
        <v>2</v>
      </c>
      <c r="Q33" s="26">
        <f>VLOOKUP(tblRiskRegister322[[#This Row],[Asset Class]],tblInherentImpacts3046[],4,FALSE)</f>
        <v>4</v>
      </c>
      <c r="R33" s="26">
        <f>VLOOKUP(tblRiskRegister322[[#This Row],[Asset Class]],tblInherentImpacts3046[],5,FALSE)</f>
        <v>5</v>
      </c>
      <c r="S33" s="26" t="str">
        <f>IFERROR(MAX(tblRiskRegister322[[#This Row],[Impact to Mission]:[Impact to Obligations]])*tblRiskRegister322[[#This Row],[Expectancy Score]],"")</f>
        <v/>
      </c>
      <c r="T33" s="26" t="str">
        <f>tblRiskRegister322[[#This Row],[Risk Score]]</f>
        <v/>
      </c>
      <c r="U33" s="17"/>
      <c r="V33" s="100">
        <v>16.5</v>
      </c>
      <c r="W33" s="15" t="s">
        <v>236</v>
      </c>
      <c r="X33" s="15" t="s">
        <v>527</v>
      </c>
      <c r="Y33" s="15"/>
      <c r="Z33" s="16"/>
      <c r="AA33" s="25" t="str">
        <f>IFERROR(VLOOKUP(10*tblRiskRegister322[[#This Row],[Risk Treatment Safeguard Maturity Score]]+tblRiskRegister322[[#This Row],[VCDB Index]],tblHITIndexWeightTable[],4,FALSE),"")</f>
        <v/>
      </c>
      <c r="AB33" s="136"/>
      <c r="AC33" s="136"/>
      <c r="AD33" s="136"/>
      <c r="AE33" s="136"/>
      <c r="AF33" s="25" t="str">
        <f>IFERROR(MAX(tblRiskRegister322[[#This Row],[Risk Treatment Safeguard Impact to Mission]:[Risk Treatment Safeguard Impact to Obligations]])*tblRiskRegister322[[#This Row],[Risk Treatment
Safeguard Expectancy Score]],"")</f>
        <v/>
      </c>
      <c r="AG33" s="27" t="str">
        <f>IF(tblRiskRegister322[[#This Row],[Risk Score]]&gt;AcceptableRisk1,IF(tblRiskRegister322[[#This Row],[Risk Treatment Safeguard Risk Score]]&lt;AcceptableRisk1, IF(tblRiskRegister322[[#This Row],[Risk Treatment Safeguard Risk Score]]&lt;=tblRiskRegister322[[#This Row],[Risk Score]],"Yes","No"),"No"),"Yes")</f>
        <v>No</v>
      </c>
      <c r="AH33" s="18"/>
      <c r="AI33" s="18"/>
      <c r="AJ33" s="19"/>
    </row>
    <row r="34" spans="2:36" ht="76.5" x14ac:dyDescent="0.2">
      <c r="B34" s="15" t="s">
        <v>132</v>
      </c>
      <c r="C34" s="15"/>
      <c r="D34" s="13">
        <v>16.600000000000001</v>
      </c>
      <c r="E34" s="14" t="s">
        <v>237</v>
      </c>
      <c r="F34" s="17"/>
      <c r="G34" s="17" t="s">
        <v>785</v>
      </c>
      <c r="H34" s="17" t="s">
        <v>928</v>
      </c>
      <c r="I34" s="14"/>
      <c r="J34" s="14"/>
      <c r="K34" s="14"/>
      <c r="L34" s="16"/>
      <c r="M34" s="26">
        <f>IFERROR(VLOOKUP(tblRiskRegister322[[#This Row],[Asset Class]],tblVCDBIndex[],4,FALSE),"")</f>
        <v>2</v>
      </c>
      <c r="N34" s="26" t="str">
        <f>IFERROR(VLOOKUP(10*tblRiskRegister322[[#This Row],[Safeguard Maturity Score]]+tblRiskRegister322[[#This Row],[VCDB Index]],tblHITIndexWeightTable[],4,FALSE),"")</f>
        <v/>
      </c>
      <c r="O34" s="26">
        <f>VLOOKUP(tblRiskRegister322[[#This Row],[Asset Class]],tblInherentImpacts3046[],2,FALSE)</f>
        <v>4</v>
      </c>
      <c r="P34" s="26">
        <f>VLOOKUP(tblRiskRegister322[[#This Row],[Asset Class]],tblInherentImpacts3046[],3,FALSE)</f>
        <v>2</v>
      </c>
      <c r="Q34" s="26">
        <f>VLOOKUP(tblRiskRegister322[[#This Row],[Asset Class]],tblInherentImpacts3046[],4,FALSE)</f>
        <v>4</v>
      </c>
      <c r="R34" s="26">
        <f>VLOOKUP(tblRiskRegister322[[#This Row],[Asset Class]],tblInherentImpacts3046[],5,FALSE)</f>
        <v>5</v>
      </c>
      <c r="S34" s="26" t="str">
        <f>IFERROR(MAX(tblRiskRegister322[[#This Row],[Impact to Mission]:[Impact to Obligations]])*tblRiskRegister322[[#This Row],[Expectancy Score]],"")</f>
        <v/>
      </c>
      <c r="T34" s="26" t="str">
        <f>tblRiskRegister322[[#This Row],[Risk Score]]</f>
        <v/>
      </c>
      <c r="U34" s="17"/>
      <c r="V34" s="100">
        <v>16.600000000000001</v>
      </c>
      <c r="W34" s="15" t="s">
        <v>237</v>
      </c>
      <c r="X34" s="15" t="s">
        <v>528</v>
      </c>
      <c r="Y34" s="15"/>
      <c r="Z34" s="16"/>
      <c r="AA34" s="25" t="str">
        <f>IFERROR(VLOOKUP(10*tblRiskRegister322[[#This Row],[Risk Treatment Safeguard Maturity Score]]+tblRiskRegister322[[#This Row],[VCDB Index]],tblHITIndexWeightTable[],4,FALSE),"")</f>
        <v/>
      </c>
      <c r="AB34" s="136"/>
      <c r="AC34" s="136"/>
      <c r="AD34" s="136"/>
      <c r="AE34" s="136"/>
      <c r="AF34" s="25" t="str">
        <f>IFERROR(MAX(tblRiskRegister322[[#This Row],[Risk Treatment Safeguard Impact to Mission]:[Risk Treatment Safeguard Impact to Obligations]])*tblRiskRegister322[[#This Row],[Risk Treatment
Safeguard Expectancy Score]],"")</f>
        <v/>
      </c>
      <c r="AG34" s="27" t="str">
        <f>IF(tblRiskRegister322[[#This Row],[Risk Score]]&gt;AcceptableRisk1,IF(tblRiskRegister322[[#This Row],[Risk Treatment Safeguard Risk Score]]&lt;AcceptableRisk1, IF(tblRiskRegister322[[#This Row],[Risk Treatment Safeguard Risk Score]]&lt;=tblRiskRegister322[[#This Row],[Risk Score]],"Yes","No"),"No"),"Yes")</f>
        <v>No</v>
      </c>
      <c r="AH34" s="18"/>
      <c r="AI34" s="18"/>
      <c r="AJ34" s="19"/>
    </row>
    <row r="35" spans="2:36" ht="51" x14ac:dyDescent="0.2">
      <c r="B35" s="15" t="s">
        <v>132</v>
      </c>
      <c r="C35" s="15"/>
      <c r="D35" s="13">
        <v>16.7</v>
      </c>
      <c r="E35" s="14" t="s">
        <v>238</v>
      </c>
      <c r="F35" s="17"/>
      <c r="G35" s="17" t="s">
        <v>785</v>
      </c>
      <c r="H35" s="17" t="s">
        <v>928</v>
      </c>
      <c r="I35" s="14"/>
      <c r="J35" s="14"/>
      <c r="K35" s="14"/>
      <c r="L35" s="16"/>
      <c r="M35" s="26">
        <f>IFERROR(VLOOKUP(tblRiskRegister322[[#This Row],[Asset Class]],tblVCDBIndex[],4,FALSE),"")</f>
        <v>2</v>
      </c>
      <c r="N35" s="26" t="str">
        <f>IFERROR(VLOOKUP(10*tblRiskRegister322[[#This Row],[Safeguard Maturity Score]]+tblRiskRegister322[[#This Row],[VCDB Index]],tblHITIndexWeightTable[],4,FALSE),"")</f>
        <v/>
      </c>
      <c r="O35" s="26">
        <f>VLOOKUP(tblRiskRegister322[[#This Row],[Asset Class]],tblInherentImpacts3046[],2,FALSE)</f>
        <v>4</v>
      </c>
      <c r="P35" s="26">
        <f>VLOOKUP(tblRiskRegister322[[#This Row],[Asset Class]],tblInherentImpacts3046[],3,FALSE)</f>
        <v>2</v>
      </c>
      <c r="Q35" s="26">
        <f>VLOOKUP(tblRiskRegister322[[#This Row],[Asset Class]],tblInherentImpacts3046[],4,FALSE)</f>
        <v>4</v>
      </c>
      <c r="R35" s="26">
        <f>VLOOKUP(tblRiskRegister322[[#This Row],[Asset Class]],tblInherentImpacts3046[],5,FALSE)</f>
        <v>5</v>
      </c>
      <c r="S35" s="26" t="str">
        <f>IFERROR(MAX(tblRiskRegister322[[#This Row],[Impact to Mission]:[Impact to Obligations]])*tblRiskRegister322[[#This Row],[Expectancy Score]],"")</f>
        <v/>
      </c>
      <c r="T35" s="26" t="str">
        <f>tblRiskRegister322[[#This Row],[Risk Score]]</f>
        <v/>
      </c>
      <c r="U35" s="17"/>
      <c r="V35" s="100">
        <v>16.7</v>
      </c>
      <c r="W35" s="15" t="s">
        <v>238</v>
      </c>
      <c r="X35" s="15" t="s">
        <v>529</v>
      </c>
      <c r="Y35" s="15"/>
      <c r="Z35" s="16"/>
      <c r="AA35" s="25" t="str">
        <f>IFERROR(VLOOKUP(10*tblRiskRegister322[[#This Row],[Risk Treatment Safeguard Maturity Score]]+tblRiskRegister322[[#This Row],[VCDB Index]],tblHITIndexWeightTable[],4,FALSE),"")</f>
        <v/>
      </c>
      <c r="AB35" s="136"/>
      <c r="AC35" s="136"/>
      <c r="AD35" s="136"/>
      <c r="AE35" s="136"/>
      <c r="AF35" s="25" t="str">
        <f>IFERROR(MAX(tblRiskRegister322[[#This Row],[Risk Treatment Safeguard Impact to Mission]:[Risk Treatment Safeguard Impact to Obligations]])*tblRiskRegister322[[#This Row],[Risk Treatment
Safeguard Expectancy Score]],"")</f>
        <v/>
      </c>
      <c r="AG35" s="27" t="str">
        <f>IF(tblRiskRegister322[[#This Row],[Risk Score]]&gt;AcceptableRisk1,IF(tblRiskRegister322[[#This Row],[Risk Treatment Safeguard Risk Score]]&lt;AcceptableRisk1, IF(tblRiskRegister322[[#This Row],[Risk Treatment Safeguard Risk Score]]&lt;=tblRiskRegister322[[#This Row],[Risk Score]],"Yes","No"),"No"),"Yes")</f>
        <v>No</v>
      </c>
      <c r="AH35" s="18"/>
      <c r="AI35" s="18"/>
      <c r="AJ35" s="19"/>
    </row>
    <row r="36" spans="2:36" ht="25.5" x14ac:dyDescent="0.2">
      <c r="B36" s="15" t="s">
        <v>132</v>
      </c>
      <c r="C36" s="15"/>
      <c r="D36" s="13">
        <v>16.8</v>
      </c>
      <c r="E36" s="14" t="s">
        <v>239</v>
      </c>
      <c r="F36" s="17"/>
      <c r="G36" s="17" t="s">
        <v>785</v>
      </c>
      <c r="H36" s="17" t="s">
        <v>928</v>
      </c>
      <c r="I36" s="14"/>
      <c r="J36" s="14"/>
      <c r="K36" s="14"/>
      <c r="L36" s="16"/>
      <c r="M36" s="26">
        <f>IFERROR(VLOOKUP(tblRiskRegister322[[#This Row],[Asset Class]],tblVCDBIndex[],4,FALSE),"")</f>
        <v>2</v>
      </c>
      <c r="N36" s="26" t="str">
        <f>IFERROR(VLOOKUP(10*tblRiskRegister322[[#This Row],[Safeguard Maturity Score]]+tblRiskRegister322[[#This Row],[VCDB Index]],tblHITIndexWeightTable[],4,FALSE),"")</f>
        <v/>
      </c>
      <c r="O36" s="26">
        <f>VLOOKUP(tblRiskRegister322[[#This Row],[Asset Class]],tblInherentImpacts3046[],2,FALSE)</f>
        <v>4</v>
      </c>
      <c r="P36" s="26">
        <f>VLOOKUP(tblRiskRegister322[[#This Row],[Asset Class]],tblInherentImpacts3046[],3,FALSE)</f>
        <v>2</v>
      </c>
      <c r="Q36" s="26">
        <f>VLOOKUP(tblRiskRegister322[[#This Row],[Asset Class]],tblInherentImpacts3046[],4,FALSE)</f>
        <v>4</v>
      </c>
      <c r="R36" s="26">
        <f>VLOOKUP(tblRiskRegister322[[#This Row],[Asset Class]],tblInherentImpacts3046[],5,FALSE)</f>
        <v>5</v>
      </c>
      <c r="S36" s="26" t="str">
        <f>IFERROR(MAX(tblRiskRegister322[[#This Row],[Impact to Mission]:[Impact to Obligations]])*tblRiskRegister322[[#This Row],[Expectancy Score]],"")</f>
        <v/>
      </c>
      <c r="T36" s="26" t="str">
        <f>tblRiskRegister322[[#This Row],[Risk Score]]</f>
        <v/>
      </c>
      <c r="U36" s="17"/>
      <c r="V36" s="100">
        <v>16.8</v>
      </c>
      <c r="W36" s="15" t="s">
        <v>239</v>
      </c>
      <c r="X36" s="15" t="s">
        <v>530</v>
      </c>
      <c r="Y36" s="15"/>
      <c r="Z36" s="16"/>
      <c r="AA36" s="25" t="str">
        <f>IFERROR(VLOOKUP(10*tblRiskRegister322[[#This Row],[Risk Treatment Safeguard Maturity Score]]+tblRiskRegister322[[#This Row],[VCDB Index]],tblHITIndexWeightTable[],4,FALSE),"")</f>
        <v/>
      </c>
      <c r="AB36" s="136"/>
      <c r="AC36" s="136"/>
      <c r="AD36" s="136"/>
      <c r="AE36" s="136"/>
      <c r="AF36" s="25" t="str">
        <f>IFERROR(MAX(tblRiskRegister322[[#This Row],[Risk Treatment Safeguard Impact to Mission]:[Risk Treatment Safeguard Impact to Obligations]])*tblRiskRegister322[[#This Row],[Risk Treatment
Safeguard Expectancy Score]],"")</f>
        <v/>
      </c>
      <c r="AG36" s="27" t="str">
        <f>IF(tblRiskRegister322[[#This Row],[Risk Score]]&gt;AcceptableRisk1,IF(tblRiskRegister322[[#This Row],[Risk Treatment Safeguard Risk Score]]&lt;AcceptableRisk1, IF(tblRiskRegister322[[#This Row],[Risk Treatment Safeguard Risk Score]]&lt;=tblRiskRegister322[[#This Row],[Risk Score]],"Yes","No"),"No"),"Yes")</f>
        <v>No</v>
      </c>
      <c r="AH36" s="18"/>
      <c r="AI36" s="18"/>
      <c r="AJ36" s="19"/>
    </row>
    <row r="37" spans="2:36" ht="63.75" x14ac:dyDescent="0.2">
      <c r="B37" s="15" t="s">
        <v>132</v>
      </c>
      <c r="C37" s="15"/>
      <c r="D37" s="13">
        <v>16.899999999999999</v>
      </c>
      <c r="E37" s="14" t="s">
        <v>240</v>
      </c>
      <c r="F37" s="17"/>
      <c r="G37" s="17" t="s">
        <v>785</v>
      </c>
      <c r="H37" s="17" t="s">
        <v>928</v>
      </c>
      <c r="I37" s="14"/>
      <c r="J37" s="14"/>
      <c r="K37" s="14"/>
      <c r="L37" s="16"/>
      <c r="M37" s="26">
        <f>IFERROR(VLOOKUP(tblRiskRegister322[[#This Row],[Asset Class]],tblVCDBIndex[],4,FALSE),"")</f>
        <v>2</v>
      </c>
      <c r="N37" s="26" t="str">
        <f>IFERROR(VLOOKUP(10*tblRiskRegister322[[#This Row],[Safeguard Maturity Score]]+tblRiskRegister322[[#This Row],[VCDB Index]],tblHITIndexWeightTable[],4,FALSE),"")</f>
        <v/>
      </c>
      <c r="O37" s="26">
        <f>VLOOKUP(tblRiskRegister322[[#This Row],[Asset Class]],tblInherentImpacts3046[],2,FALSE)</f>
        <v>4</v>
      </c>
      <c r="P37" s="26">
        <f>VLOOKUP(tblRiskRegister322[[#This Row],[Asset Class]],tblInherentImpacts3046[],3,FALSE)</f>
        <v>2</v>
      </c>
      <c r="Q37" s="26">
        <f>VLOOKUP(tblRiskRegister322[[#This Row],[Asset Class]],tblInherentImpacts3046[],4,FALSE)</f>
        <v>4</v>
      </c>
      <c r="R37" s="26">
        <f>VLOOKUP(tblRiskRegister322[[#This Row],[Asset Class]],tblInherentImpacts3046[],5,FALSE)</f>
        <v>5</v>
      </c>
      <c r="S37" s="26" t="str">
        <f>IFERROR(MAX(tblRiskRegister322[[#This Row],[Impact to Mission]:[Impact to Obligations]])*tblRiskRegister322[[#This Row],[Expectancy Score]],"")</f>
        <v/>
      </c>
      <c r="T37" s="26" t="str">
        <f>tblRiskRegister322[[#This Row],[Risk Score]]</f>
        <v/>
      </c>
      <c r="U37" s="17"/>
      <c r="V37" s="100">
        <v>16.899999999999999</v>
      </c>
      <c r="W37" s="15" t="s">
        <v>240</v>
      </c>
      <c r="X37" s="15" t="s">
        <v>531</v>
      </c>
      <c r="Y37" s="15"/>
      <c r="Z37" s="16"/>
      <c r="AA37" s="25" t="str">
        <f>IFERROR(VLOOKUP(10*tblRiskRegister322[[#This Row],[Risk Treatment Safeguard Maturity Score]]+tblRiskRegister322[[#This Row],[VCDB Index]],tblHITIndexWeightTable[],4,FALSE),"")</f>
        <v/>
      </c>
      <c r="AB37" s="136"/>
      <c r="AC37" s="136"/>
      <c r="AD37" s="136"/>
      <c r="AE37" s="136"/>
      <c r="AF37" s="25" t="str">
        <f>IFERROR(MAX(tblRiskRegister322[[#This Row],[Risk Treatment Safeguard Impact to Mission]:[Risk Treatment Safeguard Impact to Obligations]])*tblRiskRegister322[[#This Row],[Risk Treatment
Safeguard Expectancy Score]],"")</f>
        <v/>
      </c>
      <c r="AG37" s="27" t="str">
        <f>IF(tblRiskRegister322[[#This Row],[Risk Score]]&gt;AcceptableRisk1,IF(tblRiskRegister322[[#This Row],[Risk Treatment Safeguard Risk Score]]&lt;AcceptableRisk1, IF(tblRiskRegister322[[#This Row],[Risk Treatment Safeguard Risk Score]]&lt;=tblRiskRegister322[[#This Row],[Risk Score]],"Yes","No"),"No"),"Yes")</f>
        <v>No</v>
      </c>
      <c r="AH37" s="18"/>
      <c r="AI37" s="18"/>
      <c r="AJ37" s="19"/>
    </row>
    <row r="38" spans="2:36" ht="102" x14ac:dyDescent="0.2">
      <c r="B38" s="15" t="s">
        <v>132</v>
      </c>
      <c r="C38" s="15"/>
      <c r="D38" s="117">
        <v>16.100000000000001</v>
      </c>
      <c r="E38" s="14" t="s">
        <v>241</v>
      </c>
      <c r="F38" s="17"/>
      <c r="G38" s="17" t="s">
        <v>785</v>
      </c>
      <c r="H38" s="17" t="s">
        <v>928</v>
      </c>
      <c r="I38" s="14"/>
      <c r="J38" s="14"/>
      <c r="K38" s="14"/>
      <c r="L38" s="16"/>
      <c r="M38" s="26">
        <f>IFERROR(VLOOKUP(tblRiskRegister322[[#This Row],[Asset Class]],tblVCDBIndex[],4,FALSE),"")</f>
        <v>2</v>
      </c>
      <c r="N38" s="26" t="str">
        <f>IFERROR(VLOOKUP(10*tblRiskRegister322[[#This Row],[Safeguard Maturity Score]]+tblRiskRegister322[[#This Row],[VCDB Index]],tblHITIndexWeightTable[],4,FALSE),"")</f>
        <v/>
      </c>
      <c r="O38" s="26">
        <f>VLOOKUP(tblRiskRegister322[[#This Row],[Asset Class]],tblInherentImpacts3046[],2,FALSE)</f>
        <v>4</v>
      </c>
      <c r="P38" s="26">
        <f>VLOOKUP(tblRiskRegister322[[#This Row],[Asset Class]],tblInherentImpacts3046[],3,FALSE)</f>
        <v>2</v>
      </c>
      <c r="Q38" s="26">
        <f>VLOOKUP(tblRiskRegister322[[#This Row],[Asset Class]],tblInherentImpacts3046[],4,FALSE)</f>
        <v>4</v>
      </c>
      <c r="R38" s="26">
        <f>VLOOKUP(tblRiskRegister322[[#This Row],[Asset Class]],tblInherentImpacts3046[],5,FALSE)</f>
        <v>5</v>
      </c>
      <c r="S38" s="26" t="str">
        <f>IFERROR(MAX(tblRiskRegister322[[#This Row],[Impact to Mission]:[Impact to Obligations]])*tblRiskRegister322[[#This Row],[Expectancy Score]],"")</f>
        <v/>
      </c>
      <c r="T38" s="26" t="str">
        <f>tblRiskRegister322[[#This Row],[Risk Score]]</f>
        <v/>
      </c>
      <c r="U38" s="17"/>
      <c r="V38" s="100">
        <v>16.100000000000001</v>
      </c>
      <c r="W38" s="15" t="s">
        <v>241</v>
      </c>
      <c r="X38" s="15" t="s">
        <v>532</v>
      </c>
      <c r="Y38" s="15"/>
      <c r="Z38" s="16"/>
      <c r="AA38" s="25" t="str">
        <f>IFERROR(VLOOKUP(10*tblRiskRegister322[[#This Row],[Risk Treatment Safeguard Maturity Score]]+tblRiskRegister322[[#This Row],[VCDB Index]],tblHITIndexWeightTable[],4,FALSE),"")</f>
        <v/>
      </c>
      <c r="AB38" s="136"/>
      <c r="AC38" s="136"/>
      <c r="AD38" s="136"/>
      <c r="AE38" s="136"/>
      <c r="AF38" s="25" t="str">
        <f>IFERROR(MAX(tblRiskRegister322[[#This Row],[Risk Treatment Safeguard Impact to Mission]:[Risk Treatment Safeguard Impact to Obligations]])*tblRiskRegister322[[#This Row],[Risk Treatment
Safeguard Expectancy Score]],"")</f>
        <v/>
      </c>
      <c r="AG38" s="27" t="str">
        <f>IF(tblRiskRegister322[[#This Row],[Risk Score]]&gt;AcceptableRisk1,IF(tblRiskRegister322[[#This Row],[Risk Treatment Safeguard Risk Score]]&lt;AcceptableRisk1, IF(tblRiskRegister322[[#This Row],[Risk Treatment Safeguard Risk Score]]&lt;=tblRiskRegister322[[#This Row],[Risk Score]],"Yes","No"),"No"),"Yes")</f>
        <v>No</v>
      </c>
      <c r="AH38" s="18"/>
      <c r="AI38" s="18"/>
      <c r="AJ38" s="19"/>
    </row>
    <row r="39" spans="2:36" ht="102" x14ac:dyDescent="0.2">
      <c r="B39" s="15" t="s">
        <v>132</v>
      </c>
      <c r="C39" s="15"/>
      <c r="D39" s="13">
        <v>16.11</v>
      </c>
      <c r="E39" s="14" t="s">
        <v>242</v>
      </c>
      <c r="F39" s="17"/>
      <c r="G39" s="17" t="s">
        <v>785</v>
      </c>
      <c r="H39" s="17" t="s">
        <v>928</v>
      </c>
      <c r="I39" s="14"/>
      <c r="J39" s="14"/>
      <c r="K39" s="14"/>
      <c r="L39" s="16"/>
      <c r="M39" s="26">
        <f>IFERROR(VLOOKUP(tblRiskRegister322[[#This Row],[Asset Class]],tblVCDBIndex[],4,FALSE),"")</f>
        <v>2</v>
      </c>
      <c r="N39" s="26" t="str">
        <f>IFERROR(VLOOKUP(10*tblRiskRegister322[[#This Row],[Safeguard Maturity Score]]+tblRiskRegister322[[#This Row],[VCDB Index]],tblHITIndexWeightTable[],4,FALSE),"")</f>
        <v/>
      </c>
      <c r="O39" s="26">
        <f>VLOOKUP(tblRiskRegister322[[#This Row],[Asset Class]],tblInherentImpacts3046[],2,FALSE)</f>
        <v>4</v>
      </c>
      <c r="P39" s="26">
        <f>VLOOKUP(tblRiskRegister322[[#This Row],[Asset Class]],tblInherentImpacts3046[],3,FALSE)</f>
        <v>2</v>
      </c>
      <c r="Q39" s="26">
        <f>VLOOKUP(tblRiskRegister322[[#This Row],[Asset Class]],tblInherentImpacts3046[],4,FALSE)</f>
        <v>4</v>
      </c>
      <c r="R39" s="26">
        <f>VLOOKUP(tblRiskRegister322[[#This Row],[Asset Class]],tblInherentImpacts3046[],5,FALSE)</f>
        <v>5</v>
      </c>
      <c r="S39" s="26" t="str">
        <f>IFERROR(MAX(tblRiskRegister322[[#This Row],[Impact to Mission]:[Impact to Obligations]])*tblRiskRegister322[[#This Row],[Expectancy Score]],"")</f>
        <v/>
      </c>
      <c r="T39" s="26" t="str">
        <f>tblRiskRegister322[[#This Row],[Risk Score]]</f>
        <v/>
      </c>
      <c r="U39" s="17"/>
      <c r="V39" s="100">
        <v>16.11</v>
      </c>
      <c r="W39" s="15" t="s">
        <v>242</v>
      </c>
      <c r="X39" s="15" t="s">
        <v>533</v>
      </c>
      <c r="Y39" s="15"/>
      <c r="Z39" s="16"/>
      <c r="AA39" s="25" t="str">
        <f>IFERROR(VLOOKUP(10*tblRiskRegister322[[#This Row],[Risk Treatment Safeguard Maturity Score]]+tblRiskRegister322[[#This Row],[VCDB Index]],tblHITIndexWeightTable[],4,FALSE),"")</f>
        <v/>
      </c>
      <c r="AB39" s="136"/>
      <c r="AC39" s="136"/>
      <c r="AD39" s="136"/>
      <c r="AE39" s="136"/>
      <c r="AF39" s="25" t="str">
        <f>IFERROR(MAX(tblRiskRegister322[[#This Row],[Risk Treatment Safeguard Impact to Mission]:[Risk Treatment Safeguard Impact to Obligations]])*tblRiskRegister322[[#This Row],[Risk Treatment
Safeguard Expectancy Score]],"")</f>
        <v/>
      </c>
      <c r="AG39" s="27" t="str">
        <f>IF(tblRiskRegister322[[#This Row],[Risk Score]]&gt;AcceptableRisk1,IF(tblRiskRegister322[[#This Row],[Risk Treatment Safeguard Risk Score]]&lt;AcceptableRisk1, IF(tblRiskRegister322[[#This Row],[Risk Treatment Safeguard Risk Score]]&lt;=tblRiskRegister322[[#This Row],[Risk Score]],"Yes","No"),"No"),"Yes")</f>
        <v>No</v>
      </c>
      <c r="AH39" s="18"/>
      <c r="AI39" s="18"/>
      <c r="AJ39" s="19"/>
    </row>
    <row r="40" spans="2:36" ht="63.75" x14ac:dyDescent="0.2">
      <c r="B40" s="15" t="s">
        <v>130</v>
      </c>
      <c r="C40" s="15"/>
      <c r="D40" s="13">
        <v>3.1</v>
      </c>
      <c r="E40" s="14" t="s">
        <v>82</v>
      </c>
      <c r="F40" s="17" t="s">
        <v>785</v>
      </c>
      <c r="G40" s="17" t="s">
        <v>785</v>
      </c>
      <c r="H40" s="17" t="s">
        <v>926</v>
      </c>
      <c r="I40" s="14"/>
      <c r="J40" s="14"/>
      <c r="K40" s="14"/>
      <c r="L40" s="137">
        <v>2</v>
      </c>
      <c r="M40" s="26">
        <f>IFERROR(VLOOKUP(tblRiskRegister322[[#This Row],[Asset Class]],tblVCDBIndex[],4,FALSE),"")</f>
        <v>3</v>
      </c>
      <c r="N40" s="26">
        <f>IFERROR(VLOOKUP(10*tblRiskRegister322[[#This Row],[Safeguard Maturity Score]]+tblRiskRegister322[[#This Row],[VCDB Index]],tblHITIndexWeightTable[],4,FALSE),"")</f>
        <v>4</v>
      </c>
      <c r="O40" s="26">
        <f>VLOOKUP(tblRiskRegister322[[#This Row],[Asset Class]],tblInherentImpacts3046[],2,FALSE)</f>
        <v>3</v>
      </c>
      <c r="P40" s="26">
        <f>VLOOKUP(tblRiskRegister322[[#This Row],[Asset Class]],tblInherentImpacts3046[],3,FALSE)</f>
        <v>4</v>
      </c>
      <c r="Q40" s="26">
        <f>VLOOKUP(tblRiskRegister322[[#This Row],[Asset Class]],tblInherentImpacts3046[],4,FALSE)</f>
        <v>5</v>
      </c>
      <c r="R40" s="26">
        <f>VLOOKUP(tblRiskRegister322[[#This Row],[Asset Class]],tblInherentImpacts3046[],5,FALSE)</f>
        <v>2</v>
      </c>
      <c r="S40" s="26">
        <f>IFERROR(MAX(tblRiskRegister322[[#This Row],[Impact to Mission]:[Impact to Obligations]])*tblRiskRegister322[[#This Row],[Expectancy Score]],"")</f>
        <v>20</v>
      </c>
      <c r="T40" s="26">
        <f>tblRiskRegister322[[#This Row],[Risk Score]]</f>
        <v>20</v>
      </c>
      <c r="U40" s="17"/>
      <c r="V40" s="100">
        <v>3.1</v>
      </c>
      <c r="W40" s="15" t="s">
        <v>82</v>
      </c>
      <c r="X40" s="15" t="s">
        <v>425</v>
      </c>
      <c r="Y40" s="15"/>
      <c r="Z40" s="16"/>
      <c r="AA40" s="25" t="str">
        <f>IFERROR(VLOOKUP(10*tblRiskRegister322[[#This Row],[Risk Treatment Safeguard Maturity Score]]+tblRiskRegister322[[#This Row],[VCDB Index]],tblHITIndexWeightTable[],4,FALSE),"")</f>
        <v/>
      </c>
      <c r="AB40" s="136"/>
      <c r="AC40" s="136"/>
      <c r="AD40" s="136"/>
      <c r="AE40" s="136"/>
      <c r="AF40" s="25" t="str">
        <f>IFERROR(MAX(tblRiskRegister322[[#This Row],[Risk Treatment Safeguard Impact to Mission]:[Risk Treatment Safeguard Impact to Obligations]])*tblRiskRegister322[[#This Row],[Risk Treatment
Safeguard Expectancy Score]],"")</f>
        <v/>
      </c>
      <c r="AG40" s="27" t="str">
        <f>IF(tblRiskRegister322[[#This Row],[Risk Score]]&gt;AcceptableRisk1,IF(tblRiskRegister322[[#This Row],[Risk Treatment Safeguard Risk Score]]&lt;AcceptableRisk1, IF(tblRiskRegister322[[#This Row],[Risk Treatment Safeguard Risk Score]]&lt;=tblRiskRegister322[[#This Row],[Risk Score]],"Yes","No"),"No"),"Yes")</f>
        <v>No</v>
      </c>
      <c r="AH40" s="18"/>
      <c r="AI40" s="18"/>
      <c r="AJ40" s="19"/>
    </row>
    <row r="41" spans="2:36" ht="38.25" x14ac:dyDescent="0.2">
      <c r="B41" s="15" t="s">
        <v>130</v>
      </c>
      <c r="C41" s="15"/>
      <c r="D41" s="13">
        <v>3.2</v>
      </c>
      <c r="E41" s="14" t="s">
        <v>83</v>
      </c>
      <c r="F41" s="17" t="s">
        <v>785</v>
      </c>
      <c r="G41" s="17" t="s">
        <v>785</v>
      </c>
      <c r="H41" s="17" t="s">
        <v>926</v>
      </c>
      <c r="I41" s="14"/>
      <c r="J41" s="14"/>
      <c r="K41" s="14"/>
      <c r="L41" s="137">
        <v>2</v>
      </c>
      <c r="M41" s="26">
        <f>IFERROR(VLOOKUP(tblRiskRegister322[[#This Row],[Asset Class]],tblVCDBIndex[],4,FALSE),"")</f>
        <v>3</v>
      </c>
      <c r="N41" s="26">
        <f>IFERROR(VLOOKUP(10*tblRiskRegister322[[#This Row],[Safeguard Maturity Score]]+tblRiskRegister322[[#This Row],[VCDB Index]],tblHITIndexWeightTable[],4,FALSE),"")</f>
        <v>4</v>
      </c>
      <c r="O41" s="26">
        <f>VLOOKUP(tblRiskRegister322[[#This Row],[Asset Class]],tblInherentImpacts3046[],2,FALSE)</f>
        <v>3</v>
      </c>
      <c r="P41" s="26">
        <f>VLOOKUP(tblRiskRegister322[[#This Row],[Asset Class]],tblInherentImpacts3046[],3,FALSE)</f>
        <v>4</v>
      </c>
      <c r="Q41" s="26">
        <f>VLOOKUP(tblRiskRegister322[[#This Row],[Asset Class]],tblInherentImpacts3046[],4,FALSE)</f>
        <v>5</v>
      </c>
      <c r="R41" s="26">
        <f>VLOOKUP(tblRiskRegister322[[#This Row],[Asset Class]],tblInherentImpacts3046[],5,FALSE)</f>
        <v>2</v>
      </c>
      <c r="S41" s="26">
        <f>IFERROR(MAX(tblRiskRegister322[[#This Row],[Impact to Mission]:[Impact to Obligations]])*tblRiskRegister322[[#This Row],[Expectancy Score]],"")</f>
        <v>20</v>
      </c>
      <c r="T41" s="26">
        <f>tblRiskRegister322[[#This Row],[Risk Score]]</f>
        <v>20</v>
      </c>
      <c r="U41" s="17"/>
      <c r="V41" s="100">
        <v>3.2</v>
      </c>
      <c r="W41" s="15" t="s">
        <v>83</v>
      </c>
      <c r="X41" s="15" t="s">
        <v>426</v>
      </c>
      <c r="Y41" s="15"/>
      <c r="Z41" s="16"/>
      <c r="AA41" s="25" t="str">
        <f>IFERROR(VLOOKUP(10*tblRiskRegister322[[#This Row],[Risk Treatment Safeguard Maturity Score]]+tblRiskRegister322[[#This Row],[VCDB Index]],tblHITIndexWeightTable[],4,FALSE),"")</f>
        <v/>
      </c>
      <c r="AB41" s="136"/>
      <c r="AC41" s="136"/>
      <c r="AD41" s="136"/>
      <c r="AE41" s="136"/>
      <c r="AF41" s="25" t="str">
        <f>IFERROR(MAX(tblRiskRegister322[[#This Row],[Risk Treatment Safeguard Impact to Mission]:[Risk Treatment Safeguard Impact to Obligations]])*tblRiskRegister322[[#This Row],[Risk Treatment
Safeguard Expectancy Score]],"")</f>
        <v/>
      </c>
      <c r="AG41" s="27" t="str">
        <f>IF(tblRiskRegister322[[#This Row],[Risk Score]]&gt;AcceptableRisk1,IF(tblRiskRegister322[[#This Row],[Risk Treatment Safeguard Risk Score]]&lt;AcceptableRisk1, IF(tblRiskRegister322[[#This Row],[Risk Treatment Safeguard Risk Score]]&lt;=tblRiskRegister322[[#This Row],[Risk Score]],"Yes","No"),"No"),"Yes")</f>
        <v>No</v>
      </c>
      <c r="AH41" s="18"/>
      <c r="AI41" s="18"/>
      <c r="AJ41" s="19"/>
    </row>
    <row r="42" spans="2:36" ht="38.25" x14ac:dyDescent="0.2">
      <c r="B42" s="15" t="s">
        <v>130</v>
      </c>
      <c r="C42" s="15"/>
      <c r="D42" s="13">
        <v>3.3</v>
      </c>
      <c r="E42" s="14" t="s">
        <v>84</v>
      </c>
      <c r="F42" s="17" t="s">
        <v>785</v>
      </c>
      <c r="G42" s="17" t="s">
        <v>785</v>
      </c>
      <c r="H42" s="17" t="s">
        <v>928</v>
      </c>
      <c r="I42" s="14"/>
      <c r="J42" s="14"/>
      <c r="K42" s="14"/>
      <c r="L42" s="137">
        <v>1</v>
      </c>
      <c r="M42" s="26">
        <f>IFERROR(VLOOKUP(tblRiskRegister322[[#This Row],[Asset Class]],tblVCDBIndex[],4,FALSE),"")</f>
        <v>3</v>
      </c>
      <c r="N42" s="26">
        <f>IFERROR(VLOOKUP(10*tblRiskRegister322[[#This Row],[Safeguard Maturity Score]]+tblRiskRegister322[[#This Row],[VCDB Index]],tblHITIndexWeightTable[],4,FALSE),"")</f>
        <v>5</v>
      </c>
      <c r="O42" s="26">
        <f>VLOOKUP(tblRiskRegister322[[#This Row],[Asset Class]],tblInherentImpacts3046[],2,FALSE)</f>
        <v>3</v>
      </c>
      <c r="P42" s="26">
        <f>VLOOKUP(tblRiskRegister322[[#This Row],[Asset Class]],tblInherentImpacts3046[],3,FALSE)</f>
        <v>4</v>
      </c>
      <c r="Q42" s="26">
        <f>VLOOKUP(tblRiskRegister322[[#This Row],[Asset Class]],tblInherentImpacts3046[],4,FALSE)</f>
        <v>5</v>
      </c>
      <c r="R42" s="26">
        <f>VLOOKUP(tblRiskRegister322[[#This Row],[Asset Class]],tblInherentImpacts3046[],5,FALSE)</f>
        <v>2</v>
      </c>
      <c r="S42" s="26">
        <f>IFERROR(MAX(tblRiskRegister322[[#This Row],[Impact to Mission]:[Impact to Obligations]])*tblRiskRegister322[[#This Row],[Expectancy Score]],"")</f>
        <v>25</v>
      </c>
      <c r="T42" s="26">
        <f>tblRiskRegister322[[#This Row],[Risk Score]]</f>
        <v>25</v>
      </c>
      <c r="U42" s="17"/>
      <c r="V42" s="100">
        <v>3.3</v>
      </c>
      <c r="W42" s="15" t="s">
        <v>84</v>
      </c>
      <c r="X42" s="15" t="s">
        <v>427</v>
      </c>
      <c r="Y42" s="15"/>
      <c r="Z42" s="16"/>
      <c r="AA42" s="25" t="str">
        <f>IFERROR(VLOOKUP(10*tblRiskRegister322[[#This Row],[Risk Treatment Safeguard Maturity Score]]+tblRiskRegister322[[#This Row],[VCDB Index]],tblHITIndexWeightTable[],4,FALSE),"")</f>
        <v/>
      </c>
      <c r="AB42" s="136"/>
      <c r="AC42" s="136"/>
      <c r="AD42" s="136"/>
      <c r="AE42" s="136"/>
      <c r="AF42" s="25" t="str">
        <f>IFERROR(MAX(tblRiskRegister322[[#This Row],[Risk Treatment Safeguard Impact to Mission]:[Risk Treatment Safeguard Impact to Obligations]])*tblRiskRegister322[[#This Row],[Risk Treatment
Safeguard Expectancy Score]],"")</f>
        <v/>
      </c>
      <c r="AG42" s="27" t="str">
        <f>IF(tblRiskRegister322[[#This Row],[Risk Score]]&gt;AcceptableRisk1,IF(tblRiskRegister322[[#This Row],[Risk Treatment Safeguard Risk Score]]&lt;AcceptableRisk1, IF(tblRiskRegister322[[#This Row],[Risk Treatment Safeguard Risk Score]]&lt;=tblRiskRegister322[[#This Row],[Risk Score]],"Yes","No"),"No"),"Yes")</f>
        <v>No</v>
      </c>
      <c r="AH42" s="18"/>
      <c r="AI42" s="18"/>
      <c r="AJ42" s="19"/>
    </row>
    <row r="43" spans="2:36" ht="25.5" x14ac:dyDescent="0.2">
      <c r="B43" s="15" t="s">
        <v>130</v>
      </c>
      <c r="C43" s="15"/>
      <c r="D43" s="13">
        <v>3.4</v>
      </c>
      <c r="E43" s="14" t="s">
        <v>85</v>
      </c>
      <c r="F43" s="17" t="s">
        <v>785</v>
      </c>
      <c r="G43" s="17" t="s">
        <v>785</v>
      </c>
      <c r="H43" s="17" t="s">
        <v>928</v>
      </c>
      <c r="I43" s="14"/>
      <c r="J43" s="14"/>
      <c r="K43" s="14"/>
      <c r="L43" s="137">
        <v>2</v>
      </c>
      <c r="M43" s="26">
        <f>IFERROR(VLOOKUP(tblRiskRegister322[[#This Row],[Asset Class]],tblVCDBIndex[],4,FALSE),"")</f>
        <v>3</v>
      </c>
      <c r="N43" s="26">
        <f>IFERROR(VLOOKUP(10*tblRiskRegister322[[#This Row],[Safeguard Maturity Score]]+tblRiskRegister322[[#This Row],[VCDB Index]],tblHITIndexWeightTable[],4,FALSE),"")</f>
        <v>4</v>
      </c>
      <c r="O43" s="26">
        <f>VLOOKUP(tblRiskRegister322[[#This Row],[Asset Class]],tblInherentImpacts3046[],2,FALSE)</f>
        <v>3</v>
      </c>
      <c r="P43" s="26">
        <f>VLOOKUP(tblRiskRegister322[[#This Row],[Asset Class]],tblInherentImpacts3046[],3,FALSE)</f>
        <v>4</v>
      </c>
      <c r="Q43" s="26">
        <f>VLOOKUP(tblRiskRegister322[[#This Row],[Asset Class]],tblInherentImpacts3046[],4,FALSE)</f>
        <v>5</v>
      </c>
      <c r="R43" s="26">
        <f>VLOOKUP(tblRiskRegister322[[#This Row],[Asset Class]],tblInherentImpacts3046[],5,FALSE)</f>
        <v>2</v>
      </c>
      <c r="S43" s="26">
        <f>IFERROR(MAX(tblRiskRegister322[[#This Row],[Impact to Mission]:[Impact to Obligations]])*tblRiskRegister322[[#This Row],[Expectancy Score]],"")</f>
        <v>20</v>
      </c>
      <c r="T43" s="26">
        <f>tblRiskRegister322[[#This Row],[Risk Score]]</f>
        <v>20</v>
      </c>
      <c r="U43" s="17"/>
      <c r="V43" s="100">
        <v>3.4</v>
      </c>
      <c r="W43" s="15" t="s">
        <v>85</v>
      </c>
      <c r="X43" s="15" t="s">
        <v>428</v>
      </c>
      <c r="Y43" s="15"/>
      <c r="Z43" s="16"/>
      <c r="AA43" s="25" t="str">
        <f>IFERROR(VLOOKUP(10*tblRiskRegister322[[#This Row],[Risk Treatment Safeguard Maturity Score]]+tblRiskRegister322[[#This Row],[VCDB Index]],tblHITIndexWeightTable[],4,FALSE),"")</f>
        <v/>
      </c>
      <c r="AB43" s="136"/>
      <c r="AC43" s="136"/>
      <c r="AD43" s="136"/>
      <c r="AE43" s="136"/>
      <c r="AF43" s="25" t="str">
        <f>IFERROR(MAX(tblRiskRegister322[[#This Row],[Risk Treatment Safeguard Impact to Mission]:[Risk Treatment Safeguard Impact to Obligations]])*tblRiskRegister322[[#This Row],[Risk Treatment
Safeguard Expectancy Score]],"")</f>
        <v/>
      </c>
      <c r="AG43" s="27" t="str">
        <f>IF(tblRiskRegister322[[#This Row],[Risk Score]]&gt;AcceptableRisk1,IF(tblRiskRegister322[[#This Row],[Risk Treatment Safeguard Risk Score]]&lt;AcceptableRisk1, IF(tblRiskRegister322[[#This Row],[Risk Treatment Safeguard Risk Score]]&lt;=tblRiskRegister322[[#This Row],[Risk Score]],"Yes","No"),"No"),"Yes")</f>
        <v>No</v>
      </c>
      <c r="AH43" s="18"/>
      <c r="AI43" s="18"/>
      <c r="AJ43" s="19"/>
    </row>
    <row r="44" spans="2:36" ht="25.5" x14ac:dyDescent="0.2">
      <c r="B44" s="15" t="s">
        <v>130</v>
      </c>
      <c r="C44" s="15"/>
      <c r="D44" s="13">
        <v>3.5</v>
      </c>
      <c r="E44" s="14" t="s">
        <v>86</v>
      </c>
      <c r="F44" s="17" t="s">
        <v>785</v>
      </c>
      <c r="G44" s="17" t="s">
        <v>785</v>
      </c>
      <c r="H44" s="17" t="s">
        <v>928</v>
      </c>
      <c r="I44" s="14"/>
      <c r="J44" s="14"/>
      <c r="K44" s="14"/>
      <c r="L44" s="137">
        <v>4</v>
      </c>
      <c r="M44" s="26">
        <f>IFERROR(VLOOKUP(tblRiskRegister322[[#This Row],[Asset Class]],tblVCDBIndex[],4,FALSE),"")</f>
        <v>3</v>
      </c>
      <c r="N44" s="26">
        <f>IFERROR(VLOOKUP(10*tblRiskRegister322[[#This Row],[Safeguard Maturity Score]]+tblRiskRegister322[[#This Row],[VCDB Index]],tblHITIndexWeightTable[],4,FALSE),"")</f>
        <v>2</v>
      </c>
      <c r="O44" s="26">
        <f>VLOOKUP(tblRiskRegister322[[#This Row],[Asset Class]],tblInherentImpacts3046[],2,FALSE)</f>
        <v>3</v>
      </c>
      <c r="P44" s="26">
        <f>VLOOKUP(tblRiskRegister322[[#This Row],[Asset Class]],tblInherentImpacts3046[],3,FALSE)</f>
        <v>4</v>
      </c>
      <c r="Q44" s="26">
        <f>VLOOKUP(tblRiskRegister322[[#This Row],[Asset Class]],tblInherentImpacts3046[],4,FALSE)</f>
        <v>5</v>
      </c>
      <c r="R44" s="26">
        <f>VLOOKUP(tblRiskRegister322[[#This Row],[Asset Class]],tblInherentImpacts3046[],5,FALSE)</f>
        <v>2</v>
      </c>
      <c r="S44" s="26">
        <f>IFERROR(MAX(tblRiskRegister322[[#This Row],[Impact to Mission]:[Impact to Obligations]])*tblRiskRegister322[[#This Row],[Expectancy Score]],"")</f>
        <v>10</v>
      </c>
      <c r="T44" s="26">
        <f>tblRiskRegister322[[#This Row],[Risk Score]]</f>
        <v>10</v>
      </c>
      <c r="U44" s="17"/>
      <c r="V44" s="100">
        <v>3.5</v>
      </c>
      <c r="W44" s="15" t="s">
        <v>86</v>
      </c>
      <c r="X44" s="15" t="s">
        <v>429</v>
      </c>
      <c r="Y44" s="15"/>
      <c r="Z44" s="16"/>
      <c r="AA44" s="25" t="str">
        <f>IFERROR(VLOOKUP(10*tblRiskRegister322[[#This Row],[Risk Treatment Safeguard Maturity Score]]+tblRiskRegister322[[#This Row],[VCDB Index]],tblHITIndexWeightTable[],4,FALSE),"")</f>
        <v/>
      </c>
      <c r="AB44" s="136"/>
      <c r="AC44" s="136"/>
      <c r="AD44" s="136"/>
      <c r="AE44" s="136"/>
      <c r="AF44" s="25" t="str">
        <f>IFERROR(MAX(tblRiskRegister322[[#This Row],[Risk Treatment Safeguard Impact to Mission]:[Risk Treatment Safeguard Impact to Obligations]])*tblRiskRegister322[[#This Row],[Risk Treatment
Safeguard Expectancy Score]],"")</f>
        <v/>
      </c>
      <c r="AG44" s="27" t="str">
        <f>IF(tblRiskRegister322[[#This Row],[Risk Score]]&gt;AcceptableRisk1,IF(tblRiskRegister322[[#This Row],[Risk Treatment Safeguard Risk Score]]&lt;AcceptableRisk1, IF(tblRiskRegister322[[#This Row],[Risk Treatment Safeguard Risk Score]]&lt;=tblRiskRegister322[[#This Row],[Risk Score]],"Yes","No"),"No"),"Yes")</f>
        <v>No</v>
      </c>
      <c r="AH44" s="18"/>
      <c r="AI44" s="18"/>
      <c r="AJ44" s="19"/>
    </row>
    <row r="45" spans="2:36" ht="51" x14ac:dyDescent="0.2">
      <c r="B45" s="15" t="s">
        <v>130</v>
      </c>
      <c r="C45" s="15"/>
      <c r="D45" s="13">
        <v>3.7</v>
      </c>
      <c r="E45" s="14" t="s">
        <v>243</v>
      </c>
      <c r="F45" s="17"/>
      <c r="G45" s="17" t="s">
        <v>785</v>
      </c>
      <c r="H45" s="17" t="s">
        <v>926</v>
      </c>
      <c r="I45" s="14"/>
      <c r="J45" s="14"/>
      <c r="K45" s="14"/>
      <c r="L45" s="137">
        <v>3</v>
      </c>
      <c r="M45" s="26">
        <f>IFERROR(VLOOKUP(tblRiskRegister322[[#This Row],[Asset Class]],tblVCDBIndex[],4,FALSE),"")</f>
        <v>3</v>
      </c>
      <c r="N45" s="26">
        <f>IFERROR(VLOOKUP(10*tblRiskRegister322[[#This Row],[Safeguard Maturity Score]]+tblRiskRegister322[[#This Row],[VCDB Index]],tblHITIndexWeightTable[],4,FALSE),"")</f>
        <v>3</v>
      </c>
      <c r="O45" s="26">
        <f>VLOOKUP(tblRiskRegister322[[#This Row],[Asset Class]],tblInherentImpacts3046[],2,FALSE)</f>
        <v>3</v>
      </c>
      <c r="P45" s="26">
        <f>VLOOKUP(tblRiskRegister322[[#This Row],[Asset Class]],tblInherentImpacts3046[],3,FALSE)</f>
        <v>4</v>
      </c>
      <c r="Q45" s="26">
        <f>VLOOKUP(tblRiskRegister322[[#This Row],[Asset Class]],tblInherentImpacts3046[],4,FALSE)</f>
        <v>5</v>
      </c>
      <c r="R45" s="26">
        <f>VLOOKUP(tblRiskRegister322[[#This Row],[Asset Class]],tblInherentImpacts3046[],5,FALSE)</f>
        <v>2</v>
      </c>
      <c r="S45" s="26">
        <f>IFERROR(MAX(tblRiskRegister322[[#This Row],[Impact to Mission]:[Impact to Obligations]])*tblRiskRegister322[[#This Row],[Expectancy Score]],"")</f>
        <v>15</v>
      </c>
      <c r="T45" s="26">
        <f>tblRiskRegister322[[#This Row],[Risk Score]]</f>
        <v>15</v>
      </c>
      <c r="U45" s="17"/>
      <c r="V45" s="100">
        <v>3.7</v>
      </c>
      <c r="W45" s="15" t="s">
        <v>243</v>
      </c>
      <c r="X45" s="15" t="s">
        <v>431</v>
      </c>
      <c r="Y45" s="15"/>
      <c r="Z45" s="16"/>
      <c r="AA45" s="25" t="str">
        <f>IFERROR(VLOOKUP(10*tblRiskRegister322[[#This Row],[Risk Treatment Safeguard Maturity Score]]+tblRiskRegister322[[#This Row],[VCDB Index]],tblHITIndexWeightTable[],4,FALSE),"")</f>
        <v/>
      </c>
      <c r="AB45" s="136"/>
      <c r="AC45" s="136"/>
      <c r="AD45" s="136"/>
      <c r="AE45" s="136"/>
      <c r="AF45" s="25" t="str">
        <f>IFERROR(MAX(tblRiskRegister322[[#This Row],[Risk Treatment Safeguard Impact to Mission]:[Risk Treatment Safeguard Impact to Obligations]])*tblRiskRegister322[[#This Row],[Risk Treatment
Safeguard Expectancy Score]],"")</f>
        <v/>
      </c>
      <c r="AG45" s="27" t="str">
        <f>IF(tblRiskRegister322[[#This Row],[Risk Score]]&gt;AcceptableRisk1,IF(tblRiskRegister322[[#This Row],[Risk Treatment Safeguard Risk Score]]&lt;AcceptableRisk1, IF(tblRiskRegister322[[#This Row],[Risk Treatment Safeguard Risk Score]]&lt;=tblRiskRegister322[[#This Row],[Risk Score]],"Yes","No"),"No"),"Yes")</f>
        <v>No</v>
      </c>
      <c r="AH45" s="18"/>
      <c r="AI45" s="18"/>
      <c r="AJ45" s="19"/>
    </row>
    <row r="46" spans="2:36" ht="51" x14ac:dyDescent="0.2">
      <c r="B46" s="15" t="s">
        <v>130</v>
      </c>
      <c r="C46" s="15"/>
      <c r="D46" s="13">
        <v>3.8</v>
      </c>
      <c r="E46" s="14" t="s">
        <v>244</v>
      </c>
      <c r="F46" s="17"/>
      <c r="G46" s="17" t="s">
        <v>785</v>
      </c>
      <c r="H46" s="17" t="s">
        <v>926</v>
      </c>
      <c r="I46" s="14"/>
      <c r="J46" s="14"/>
      <c r="K46" s="14"/>
      <c r="L46" s="137">
        <v>3</v>
      </c>
      <c r="M46" s="26">
        <f>IFERROR(VLOOKUP(tblRiskRegister322[[#This Row],[Asset Class]],tblVCDBIndex[],4,FALSE),"")</f>
        <v>3</v>
      </c>
      <c r="N46" s="26">
        <f>IFERROR(VLOOKUP(10*tblRiskRegister322[[#This Row],[Safeguard Maturity Score]]+tblRiskRegister322[[#This Row],[VCDB Index]],tblHITIndexWeightTable[],4,FALSE),"")</f>
        <v>3</v>
      </c>
      <c r="O46" s="26">
        <f>VLOOKUP(tblRiskRegister322[[#This Row],[Asset Class]],tblInherentImpacts3046[],2,FALSE)</f>
        <v>3</v>
      </c>
      <c r="P46" s="26">
        <f>VLOOKUP(tblRiskRegister322[[#This Row],[Asset Class]],tblInherentImpacts3046[],3,FALSE)</f>
        <v>4</v>
      </c>
      <c r="Q46" s="26">
        <f>VLOOKUP(tblRiskRegister322[[#This Row],[Asset Class]],tblInherentImpacts3046[],4,FALSE)</f>
        <v>5</v>
      </c>
      <c r="R46" s="26">
        <f>VLOOKUP(tblRiskRegister322[[#This Row],[Asset Class]],tblInherentImpacts3046[],5,FALSE)</f>
        <v>2</v>
      </c>
      <c r="S46" s="26">
        <f>IFERROR(MAX(tblRiskRegister322[[#This Row],[Impact to Mission]:[Impact to Obligations]])*tblRiskRegister322[[#This Row],[Expectancy Score]],"")</f>
        <v>15</v>
      </c>
      <c r="T46" s="26">
        <f>tblRiskRegister322[[#This Row],[Risk Score]]</f>
        <v>15</v>
      </c>
      <c r="U46" s="17"/>
      <c r="V46" s="100">
        <v>3.8</v>
      </c>
      <c r="W46" s="15" t="s">
        <v>244</v>
      </c>
      <c r="X46" s="15" t="s">
        <v>432</v>
      </c>
      <c r="Y46" s="15"/>
      <c r="Z46" s="16"/>
      <c r="AA46" s="25" t="str">
        <f>IFERROR(VLOOKUP(10*tblRiskRegister322[[#This Row],[Risk Treatment Safeguard Maturity Score]]+tblRiskRegister322[[#This Row],[VCDB Index]],tblHITIndexWeightTable[],4,FALSE),"")</f>
        <v/>
      </c>
      <c r="AB46" s="136"/>
      <c r="AC46" s="136"/>
      <c r="AD46" s="136"/>
      <c r="AE46" s="136"/>
      <c r="AF46" s="25" t="str">
        <f>IFERROR(MAX(tblRiskRegister322[[#This Row],[Risk Treatment Safeguard Impact to Mission]:[Risk Treatment Safeguard Impact to Obligations]])*tblRiskRegister322[[#This Row],[Risk Treatment
Safeguard Expectancy Score]],"")</f>
        <v/>
      </c>
      <c r="AG46" s="27" t="str">
        <f>IF(tblRiskRegister322[[#This Row],[Risk Score]]&gt;AcceptableRisk1,IF(tblRiskRegister322[[#This Row],[Risk Treatment Safeguard Risk Score]]&lt;AcceptableRisk1, IF(tblRiskRegister322[[#This Row],[Risk Treatment Safeguard Risk Score]]&lt;=tblRiskRegister322[[#This Row],[Risk Score]],"Yes","No"),"No"),"Yes")</f>
        <v>No</v>
      </c>
      <c r="AH46" s="18"/>
      <c r="AI46" s="18"/>
      <c r="AJ46" s="19"/>
    </row>
    <row r="47" spans="2:36" x14ac:dyDescent="0.2">
      <c r="B47" s="15" t="s">
        <v>130</v>
      </c>
      <c r="C47" s="15"/>
      <c r="D47" s="13">
        <v>3.9</v>
      </c>
      <c r="E47" s="14" t="s">
        <v>245</v>
      </c>
      <c r="F47" s="17"/>
      <c r="G47" s="17" t="s">
        <v>785</v>
      </c>
      <c r="H47" s="17" t="s">
        <v>928</v>
      </c>
      <c r="I47" s="14"/>
      <c r="J47" s="14"/>
      <c r="K47" s="14"/>
      <c r="L47" s="137">
        <v>1</v>
      </c>
      <c r="M47" s="26">
        <f>IFERROR(VLOOKUP(tblRiskRegister322[[#This Row],[Asset Class]],tblVCDBIndex[],4,FALSE),"")</f>
        <v>3</v>
      </c>
      <c r="N47" s="26">
        <f>IFERROR(VLOOKUP(10*tblRiskRegister322[[#This Row],[Safeguard Maturity Score]]+tblRiskRegister322[[#This Row],[VCDB Index]],tblHITIndexWeightTable[],4,FALSE),"")</f>
        <v>5</v>
      </c>
      <c r="O47" s="26">
        <f>VLOOKUP(tblRiskRegister322[[#This Row],[Asset Class]],tblInherentImpacts3046[],2,FALSE)</f>
        <v>3</v>
      </c>
      <c r="P47" s="26">
        <f>VLOOKUP(tblRiskRegister322[[#This Row],[Asset Class]],tblInherentImpacts3046[],3,FALSE)</f>
        <v>4</v>
      </c>
      <c r="Q47" s="26">
        <f>VLOOKUP(tblRiskRegister322[[#This Row],[Asset Class]],tblInherentImpacts3046[],4,FALSE)</f>
        <v>5</v>
      </c>
      <c r="R47" s="26">
        <f>VLOOKUP(tblRiskRegister322[[#This Row],[Asset Class]],tblInherentImpacts3046[],5,FALSE)</f>
        <v>2</v>
      </c>
      <c r="S47" s="26">
        <f>IFERROR(MAX(tblRiskRegister322[[#This Row],[Impact to Mission]:[Impact to Obligations]])*tblRiskRegister322[[#This Row],[Expectancy Score]],"")</f>
        <v>25</v>
      </c>
      <c r="T47" s="26">
        <f>tblRiskRegister322[[#This Row],[Risk Score]]</f>
        <v>25</v>
      </c>
      <c r="U47" s="17"/>
      <c r="V47" s="100">
        <v>3.9</v>
      </c>
      <c r="W47" s="15" t="s">
        <v>245</v>
      </c>
      <c r="X47" s="15" t="s">
        <v>433</v>
      </c>
      <c r="Y47" s="15"/>
      <c r="Z47" s="16"/>
      <c r="AA47" s="25" t="str">
        <f>IFERROR(VLOOKUP(10*tblRiskRegister322[[#This Row],[Risk Treatment Safeguard Maturity Score]]+tblRiskRegister322[[#This Row],[VCDB Index]],tblHITIndexWeightTable[],4,FALSE),"")</f>
        <v/>
      </c>
      <c r="AB47" s="136"/>
      <c r="AC47" s="136"/>
      <c r="AD47" s="136"/>
      <c r="AE47" s="136"/>
      <c r="AF47" s="25" t="str">
        <f>IFERROR(MAX(tblRiskRegister322[[#This Row],[Risk Treatment Safeguard Impact to Mission]:[Risk Treatment Safeguard Impact to Obligations]])*tblRiskRegister322[[#This Row],[Risk Treatment
Safeguard Expectancy Score]],"")</f>
        <v/>
      </c>
      <c r="AG47" s="27" t="str">
        <f>IF(tblRiskRegister322[[#This Row],[Risk Score]]&gt;AcceptableRisk1,IF(tblRiskRegister322[[#This Row],[Risk Treatment Safeguard Risk Score]]&lt;AcceptableRisk1, IF(tblRiskRegister322[[#This Row],[Risk Treatment Safeguard Risk Score]]&lt;=tblRiskRegister322[[#This Row],[Risk Score]],"Yes","No"),"No"),"Yes")</f>
        <v>No</v>
      </c>
      <c r="AH47" s="18"/>
      <c r="AI47" s="18"/>
      <c r="AJ47" s="19"/>
    </row>
    <row r="48" spans="2:36" ht="25.5" x14ac:dyDescent="0.2">
      <c r="B48" s="15" t="s">
        <v>130</v>
      </c>
      <c r="C48" s="15"/>
      <c r="D48" s="117">
        <v>3.1</v>
      </c>
      <c r="E48" s="14" t="s">
        <v>246</v>
      </c>
      <c r="F48" s="17"/>
      <c r="G48" s="17" t="s">
        <v>785</v>
      </c>
      <c r="H48" s="17" t="s">
        <v>928</v>
      </c>
      <c r="I48" s="14"/>
      <c r="J48" s="14"/>
      <c r="K48" s="14"/>
      <c r="L48" s="137">
        <v>1</v>
      </c>
      <c r="M48" s="26">
        <f>IFERROR(VLOOKUP(tblRiskRegister322[[#This Row],[Asset Class]],tblVCDBIndex[],4,FALSE),"")</f>
        <v>3</v>
      </c>
      <c r="N48" s="26">
        <f>IFERROR(VLOOKUP(10*tblRiskRegister322[[#This Row],[Safeguard Maturity Score]]+tblRiskRegister322[[#This Row],[VCDB Index]],tblHITIndexWeightTable[],4,FALSE),"")</f>
        <v>5</v>
      </c>
      <c r="O48" s="26">
        <f>VLOOKUP(tblRiskRegister322[[#This Row],[Asset Class]],tblInherentImpacts3046[],2,FALSE)</f>
        <v>3</v>
      </c>
      <c r="P48" s="26">
        <f>VLOOKUP(tblRiskRegister322[[#This Row],[Asset Class]],tblInherentImpacts3046[],3,FALSE)</f>
        <v>4</v>
      </c>
      <c r="Q48" s="26">
        <f>VLOOKUP(tblRiskRegister322[[#This Row],[Asset Class]],tblInherentImpacts3046[],4,FALSE)</f>
        <v>5</v>
      </c>
      <c r="R48" s="26">
        <f>VLOOKUP(tblRiskRegister322[[#This Row],[Asset Class]],tblInherentImpacts3046[],5,FALSE)</f>
        <v>2</v>
      </c>
      <c r="S48" s="26">
        <f>IFERROR(MAX(tblRiskRegister322[[#This Row],[Impact to Mission]:[Impact to Obligations]])*tblRiskRegister322[[#This Row],[Expectancy Score]],"")</f>
        <v>25</v>
      </c>
      <c r="T48" s="26">
        <f>tblRiskRegister322[[#This Row],[Risk Score]]</f>
        <v>25</v>
      </c>
      <c r="U48" s="17"/>
      <c r="V48" s="100">
        <v>3.1</v>
      </c>
      <c r="W48" s="15" t="s">
        <v>246</v>
      </c>
      <c r="X48" s="15" t="s">
        <v>434</v>
      </c>
      <c r="Y48" s="15"/>
      <c r="Z48" s="16"/>
      <c r="AA48" s="25" t="str">
        <f>IFERROR(VLOOKUP(10*tblRiskRegister322[[#This Row],[Risk Treatment Safeguard Maturity Score]]+tblRiskRegister322[[#This Row],[VCDB Index]],tblHITIndexWeightTable[],4,FALSE),"")</f>
        <v/>
      </c>
      <c r="AB48" s="136"/>
      <c r="AC48" s="136"/>
      <c r="AD48" s="136"/>
      <c r="AE48" s="136"/>
      <c r="AF48" s="25" t="str">
        <f>IFERROR(MAX(tblRiskRegister322[[#This Row],[Risk Treatment Safeguard Impact to Mission]:[Risk Treatment Safeguard Impact to Obligations]])*tblRiskRegister322[[#This Row],[Risk Treatment
Safeguard Expectancy Score]],"")</f>
        <v/>
      </c>
      <c r="AG48" s="27" t="str">
        <f>IF(tblRiskRegister322[[#This Row],[Risk Score]]&gt;AcceptableRisk1,IF(tblRiskRegister322[[#This Row],[Risk Treatment Safeguard Risk Score]]&lt;AcceptableRisk1, IF(tblRiskRegister322[[#This Row],[Risk Treatment Safeguard Risk Score]]&lt;=tblRiskRegister322[[#This Row],[Risk Score]],"Yes","No"),"No"),"Yes")</f>
        <v>No</v>
      </c>
      <c r="AH48" s="18"/>
      <c r="AI48" s="18"/>
      <c r="AJ48" s="19"/>
    </row>
    <row r="49" spans="2:36" ht="63.75" x14ac:dyDescent="0.2">
      <c r="B49" s="15" t="s">
        <v>130</v>
      </c>
      <c r="C49" s="15"/>
      <c r="D49" s="13">
        <v>3.11</v>
      </c>
      <c r="E49" s="14" t="s">
        <v>247</v>
      </c>
      <c r="F49" s="17"/>
      <c r="G49" s="17" t="s">
        <v>785</v>
      </c>
      <c r="H49" s="17" t="s">
        <v>928</v>
      </c>
      <c r="I49" s="14"/>
      <c r="J49" s="14"/>
      <c r="K49" s="14"/>
      <c r="L49" s="137">
        <v>2</v>
      </c>
      <c r="M49" s="26">
        <f>IFERROR(VLOOKUP(tblRiskRegister322[[#This Row],[Asset Class]],tblVCDBIndex[],4,FALSE),"")</f>
        <v>3</v>
      </c>
      <c r="N49" s="26">
        <f>IFERROR(VLOOKUP(10*tblRiskRegister322[[#This Row],[Safeguard Maturity Score]]+tblRiskRegister322[[#This Row],[VCDB Index]],tblHITIndexWeightTable[],4,FALSE),"")</f>
        <v>4</v>
      </c>
      <c r="O49" s="26">
        <f>VLOOKUP(tblRiskRegister322[[#This Row],[Asset Class]],tblInherentImpacts3046[],2,FALSE)</f>
        <v>3</v>
      </c>
      <c r="P49" s="26">
        <f>VLOOKUP(tblRiskRegister322[[#This Row],[Asset Class]],tblInherentImpacts3046[],3,FALSE)</f>
        <v>4</v>
      </c>
      <c r="Q49" s="26">
        <f>VLOOKUP(tblRiskRegister322[[#This Row],[Asset Class]],tblInherentImpacts3046[],4,FALSE)</f>
        <v>5</v>
      </c>
      <c r="R49" s="26">
        <f>VLOOKUP(tblRiskRegister322[[#This Row],[Asset Class]],tblInherentImpacts3046[],5,FALSE)</f>
        <v>2</v>
      </c>
      <c r="S49" s="26">
        <f>IFERROR(MAX(tblRiskRegister322[[#This Row],[Impact to Mission]:[Impact to Obligations]])*tblRiskRegister322[[#This Row],[Expectancy Score]],"")</f>
        <v>20</v>
      </c>
      <c r="T49" s="26">
        <f>tblRiskRegister322[[#This Row],[Risk Score]]</f>
        <v>20</v>
      </c>
      <c r="U49" s="17"/>
      <c r="V49" s="100">
        <v>3.11</v>
      </c>
      <c r="W49" s="15" t="s">
        <v>247</v>
      </c>
      <c r="X49" s="15" t="s">
        <v>435</v>
      </c>
      <c r="Y49" s="15"/>
      <c r="Z49" s="16"/>
      <c r="AA49" s="25" t="str">
        <f>IFERROR(VLOOKUP(10*tblRiskRegister322[[#This Row],[Risk Treatment Safeguard Maturity Score]]+tblRiskRegister322[[#This Row],[VCDB Index]],tblHITIndexWeightTable[],4,FALSE),"")</f>
        <v/>
      </c>
      <c r="AB49" s="136"/>
      <c r="AC49" s="136"/>
      <c r="AD49" s="136"/>
      <c r="AE49" s="136"/>
      <c r="AF49" s="25" t="str">
        <f>IFERROR(MAX(tblRiskRegister322[[#This Row],[Risk Treatment Safeguard Impact to Mission]:[Risk Treatment Safeguard Impact to Obligations]])*tblRiskRegister322[[#This Row],[Risk Treatment
Safeguard Expectancy Score]],"")</f>
        <v/>
      </c>
      <c r="AG49" s="27" t="str">
        <f>IF(tblRiskRegister322[[#This Row],[Risk Score]]&gt;AcceptableRisk1,IF(tblRiskRegister322[[#This Row],[Risk Treatment Safeguard Risk Score]]&lt;AcceptableRisk1, IF(tblRiskRegister322[[#This Row],[Risk Treatment Safeguard Risk Score]]&lt;=tblRiskRegister322[[#This Row],[Risk Score]],"Yes","No"),"No"),"Yes")</f>
        <v>No</v>
      </c>
      <c r="AH49" s="18"/>
      <c r="AI49" s="18"/>
      <c r="AJ49" s="19"/>
    </row>
    <row r="50" spans="2:36" ht="51" x14ac:dyDescent="0.2">
      <c r="B50" s="15" t="s">
        <v>130</v>
      </c>
      <c r="C50" s="15"/>
      <c r="D50" s="13">
        <v>11.1</v>
      </c>
      <c r="E50" s="14" t="s">
        <v>113</v>
      </c>
      <c r="F50" s="17" t="s">
        <v>785</v>
      </c>
      <c r="G50" s="17" t="s">
        <v>785</v>
      </c>
      <c r="H50" s="17" t="s">
        <v>931</v>
      </c>
      <c r="I50" s="14"/>
      <c r="J50" s="14"/>
      <c r="K50" s="14"/>
      <c r="L50" s="16"/>
      <c r="M50" s="26">
        <f>IFERROR(VLOOKUP(tblRiskRegister322[[#This Row],[Asset Class]],tblVCDBIndex[],4,FALSE),"")</f>
        <v>3</v>
      </c>
      <c r="N50" s="26" t="str">
        <f>IFERROR(VLOOKUP(10*tblRiskRegister322[[#This Row],[Safeguard Maturity Score]]+tblRiskRegister322[[#This Row],[VCDB Index]],tblHITIndexWeightTable[],4,FALSE),"")</f>
        <v/>
      </c>
      <c r="O50" s="26">
        <f>VLOOKUP(tblRiskRegister322[[#This Row],[Asset Class]],tblInherentImpacts3046[],2,FALSE)</f>
        <v>3</v>
      </c>
      <c r="P50" s="26">
        <f>VLOOKUP(tblRiskRegister322[[#This Row],[Asset Class]],tblInherentImpacts3046[],3,FALSE)</f>
        <v>4</v>
      </c>
      <c r="Q50" s="26">
        <f>VLOOKUP(tblRiskRegister322[[#This Row],[Asset Class]],tblInherentImpacts3046[],4,FALSE)</f>
        <v>5</v>
      </c>
      <c r="R50" s="26">
        <f>VLOOKUP(tblRiskRegister322[[#This Row],[Asset Class]],tblInherentImpacts3046[],5,FALSE)</f>
        <v>2</v>
      </c>
      <c r="S50" s="26" t="str">
        <f>IFERROR(MAX(tblRiskRegister322[[#This Row],[Impact to Mission]:[Impact to Obligations]])*tblRiskRegister322[[#This Row],[Expectancy Score]],"")</f>
        <v/>
      </c>
      <c r="T50" s="26" t="str">
        <f>tblRiskRegister322[[#This Row],[Risk Score]]</f>
        <v/>
      </c>
      <c r="U50" s="17"/>
      <c r="V50" s="100">
        <v>11.1</v>
      </c>
      <c r="W50" s="15" t="s">
        <v>113</v>
      </c>
      <c r="X50" s="15" t="s">
        <v>492</v>
      </c>
      <c r="Y50" s="15"/>
      <c r="Z50" s="16"/>
      <c r="AA50" s="25" t="str">
        <f>IFERROR(VLOOKUP(10*tblRiskRegister322[[#This Row],[Risk Treatment Safeguard Maturity Score]]+tblRiskRegister322[[#This Row],[VCDB Index]],tblHITIndexWeightTable[],4,FALSE),"")</f>
        <v/>
      </c>
      <c r="AB50" s="136"/>
      <c r="AC50" s="136"/>
      <c r="AD50" s="136"/>
      <c r="AE50" s="136"/>
      <c r="AF50" s="25" t="str">
        <f>IFERROR(MAX(tblRiskRegister322[[#This Row],[Risk Treatment Safeguard Impact to Mission]:[Risk Treatment Safeguard Impact to Obligations]])*tblRiskRegister322[[#This Row],[Risk Treatment
Safeguard Expectancy Score]],"")</f>
        <v/>
      </c>
      <c r="AG50" s="27" t="str">
        <f>IF(tblRiskRegister322[[#This Row],[Risk Score]]&gt;AcceptableRisk1,IF(tblRiskRegister322[[#This Row],[Risk Treatment Safeguard Risk Score]]&lt;AcceptableRisk1, IF(tblRiskRegister322[[#This Row],[Risk Treatment Safeguard Risk Score]]&lt;=tblRiskRegister322[[#This Row],[Risk Score]],"Yes","No"),"No"),"Yes")</f>
        <v>No</v>
      </c>
      <c r="AH50" s="18"/>
      <c r="AI50" s="18"/>
      <c r="AJ50" s="19"/>
    </row>
    <row r="51" spans="2:36" ht="25.5" x14ac:dyDescent="0.2">
      <c r="B51" s="15" t="s">
        <v>130</v>
      </c>
      <c r="C51" s="15"/>
      <c r="D51" s="13">
        <v>11.2</v>
      </c>
      <c r="E51" s="14" t="s">
        <v>114</v>
      </c>
      <c r="F51" s="17" t="s">
        <v>785</v>
      </c>
      <c r="G51" s="17" t="s">
        <v>785</v>
      </c>
      <c r="H51" s="17" t="s">
        <v>931</v>
      </c>
      <c r="I51" s="14"/>
      <c r="J51" s="14"/>
      <c r="K51" s="14"/>
      <c r="L51" s="16"/>
      <c r="M51" s="26">
        <f>IFERROR(VLOOKUP(tblRiskRegister322[[#This Row],[Asset Class]],tblVCDBIndex[],4,FALSE),"")</f>
        <v>3</v>
      </c>
      <c r="N51" s="26" t="str">
        <f>IFERROR(VLOOKUP(10*tblRiskRegister322[[#This Row],[Safeguard Maturity Score]]+tblRiskRegister322[[#This Row],[VCDB Index]],tblHITIndexWeightTable[],4,FALSE),"")</f>
        <v/>
      </c>
      <c r="O51" s="26">
        <f>VLOOKUP(tblRiskRegister322[[#This Row],[Asset Class]],tblInherentImpacts3046[],2,FALSE)</f>
        <v>3</v>
      </c>
      <c r="P51" s="26">
        <f>VLOOKUP(tblRiskRegister322[[#This Row],[Asset Class]],tblInherentImpacts3046[],3,FALSE)</f>
        <v>4</v>
      </c>
      <c r="Q51" s="26">
        <f>VLOOKUP(tblRiskRegister322[[#This Row],[Asset Class]],tblInherentImpacts3046[],4,FALSE)</f>
        <v>5</v>
      </c>
      <c r="R51" s="26">
        <f>VLOOKUP(tblRiskRegister322[[#This Row],[Asset Class]],tblInherentImpacts3046[],5,FALSE)</f>
        <v>2</v>
      </c>
      <c r="S51" s="26" t="str">
        <f>IFERROR(MAX(tblRiskRegister322[[#This Row],[Impact to Mission]:[Impact to Obligations]])*tblRiskRegister322[[#This Row],[Expectancy Score]],"")</f>
        <v/>
      </c>
      <c r="T51" s="26" t="str">
        <f>tblRiskRegister322[[#This Row],[Risk Score]]</f>
        <v/>
      </c>
      <c r="U51" s="17"/>
      <c r="V51" s="100">
        <v>11.2</v>
      </c>
      <c r="W51" s="15" t="s">
        <v>114</v>
      </c>
      <c r="X51" s="15" t="s">
        <v>493</v>
      </c>
      <c r="Y51" s="15"/>
      <c r="Z51" s="16"/>
      <c r="AA51" s="25" t="str">
        <f>IFERROR(VLOOKUP(10*tblRiskRegister322[[#This Row],[Risk Treatment Safeguard Maturity Score]]+tblRiskRegister322[[#This Row],[VCDB Index]],tblHITIndexWeightTable[],4,FALSE),"")</f>
        <v/>
      </c>
      <c r="AB51" s="136"/>
      <c r="AC51" s="136"/>
      <c r="AD51" s="136"/>
      <c r="AE51" s="136"/>
      <c r="AF51" s="25" t="str">
        <f>IFERROR(MAX(tblRiskRegister322[[#This Row],[Risk Treatment Safeguard Impact to Mission]:[Risk Treatment Safeguard Impact to Obligations]])*tblRiskRegister322[[#This Row],[Risk Treatment
Safeguard Expectancy Score]],"")</f>
        <v/>
      </c>
      <c r="AG51" s="27" t="str">
        <f>IF(tblRiskRegister322[[#This Row],[Risk Score]]&gt;AcceptableRisk1,IF(tblRiskRegister322[[#This Row],[Risk Treatment Safeguard Risk Score]]&lt;AcceptableRisk1, IF(tblRiskRegister322[[#This Row],[Risk Treatment Safeguard Risk Score]]&lt;=tblRiskRegister322[[#This Row],[Risk Score]],"Yes","No"),"No"),"Yes")</f>
        <v>No</v>
      </c>
      <c r="AH51" s="18"/>
      <c r="AI51" s="18"/>
      <c r="AJ51" s="19"/>
    </row>
    <row r="52" spans="2:36" ht="25.5" x14ac:dyDescent="0.2">
      <c r="B52" s="15" t="s">
        <v>130</v>
      </c>
      <c r="C52" s="15"/>
      <c r="D52" s="13">
        <v>11.3</v>
      </c>
      <c r="E52" s="14" t="s">
        <v>115</v>
      </c>
      <c r="F52" s="17" t="s">
        <v>785</v>
      </c>
      <c r="G52" s="17" t="s">
        <v>785</v>
      </c>
      <c r="H52" s="17" t="s">
        <v>928</v>
      </c>
      <c r="I52" s="14"/>
      <c r="J52" s="14"/>
      <c r="K52" s="14"/>
      <c r="L52" s="16"/>
      <c r="M52" s="26">
        <f>IFERROR(VLOOKUP(tblRiskRegister322[[#This Row],[Asset Class]],tblVCDBIndex[],4,FALSE),"")</f>
        <v>3</v>
      </c>
      <c r="N52" s="26" t="str">
        <f>IFERROR(VLOOKUP(10*tblRiskRegister322[[#This Row],[Safeguard Maturity Score]]+tblRiskRegister322[[#This Row],[VCDB Index]],tblHITIndexWeightTable[],4,FALSE),"")</f>
        <v/>
      </c>
      <c r="O52" s="26">
        <f>VLOOKUP(tblRiskRegister322[[#This Row],[Asset Class]],tblInherentImpacts3046[],2,FALSE)</f>
        <v>3</v>
      </c>
      <c r="P52" s="26">
        <f>VLOOKUP(tblRiskRegister322[[#This Row],[Asset Class]],tblInherentImpacts3046[],3,FALSE)</f>
        <v>4</v>
      </c>
      <c r="Q52" s="26">
        <f>VLOOKUP(tblRiskRegister322[[#This Row],[Asset Class]],tblInherentImpacts3046[],4,FALSE)</f>
        <v>5</v>
      </c>
      <c r="R52" s="26">
        <f>VLOOKUP(tblRiskRegister322[[#This Row],[Asset Class]],tblInherentImpacts3046[],5,FALSE)</f>
        <v>2</v>
      </c>
      <c r="S52" s="26" t="str">
        <f>IFERROR(MAX(tblRiskRegister322[[#This Row],[Impact to Mission]:[Impact to Obligations]])*tblRiskRegister322[[#This Row],[Expectancy Score]],"")</f>
        <v/>
      </c>
      <c r="T52" s="26" t="str">
        <f>tblRiskRegister322[[#This Row],[Risk Score]]</f>
        <v/>
      </c>
      <c r="U52" s="17"/>
      <c r="V52" s="100">
        <v>11.3</v>
      </c>
      <c r="W52" s="15" t="s">
        <v>115</v>
      </c>
      <c r="X52" s="15" t="s">
        <v>494</v>
      </c>
      <c r="Y52" s="15"/>
      <c r="Z52" s="16"/>
      <c r="AA52" s="25" t="str">
        <f>IFERROR(VLOOKUP(10*tblRiskRegister322[[#This Row],[Risk Treatment Safeguard Maturity Score]]+tblRiskRegister322[[#This Row],[VCDB Index]],tblHITIndexWeightTable[],4,FALSE),"")</f>
        <v/>
      </c>
      <c r="AB52" s="136"/>
      <c r="AC52" s="136"/>
      <c r="AD52" s="136"/>
      <c r="AE52" s="136"/>
      <c r="AF52" s="25" t="str">
        <f>IFERROR(MAX(tblRiskRegister322[[#This Row],[Risk Treatment Safeguard Impact to Mission]:[Risk Treatment Safeguard Impact to Obligations]])*tblRiskRegister322[[#This Row],[Risk Treatment
Safeguard Expectancy Score]],"")</f>
        <v/>
      </c>
      <c r="AG52" s="27" t="str">
        <f>IF(tblRiskRegister322[[#This Row],[Risk Score]]&gt;AcceptableRisk1,IF(tblRiskRegister322[[#This Row],[Risk Treatment Safeguard Risk Score]]&lt;AcceptableRisk1, IF(tblRiskRegister322[[#This Row],[Risk Treatment Safeguard Risk Score]]&lt;=tblRiskRegister322[[#This Row],[Risk Score]],"Yes","No"),"No"),"Yes")</f>
        <v>No</v>
      </c>
      <c r="AH52" s="18"/>
      <c r="AI52" s="18"/>
      <c r="AJ52" s="19"/>
    </row>
    <row r="53" spans="2:36" ht="38.25" x14ac:dyDescent="0.2">
      <c r="B53" s="15" t="s">
        <v>130</v>
      </c>
      <c r="C53" s="15"/>
      <c r="D53" s="13">
        <v>11.4</v>
      </c>
      <c r="E53" s="14" t="s">
        <v>116</v>
      </c>
      <c r="F53" s="17" t="s">
        <v>785</v>
      </c>
      <c r="G53" s="17" t="s">
        <v>785</v>
      </c>
      <c r="H53" s="17" t="s">
        <v>931</v>
      </c>
      <c r="I53" s="14"/>
      <c r="J53" s="14"/>
      <c r="K53" s="14"/>
      <c r="L53" s="16"/>
      <c r="M53" s="26">
        <f>IFERROR(VLOOKUP(tblRiskRegister322[[#This Row],[Asset Class]],tblVCDBIndex[],4,FALSE),"")</f>
        <v>3</v>
      </c>
      <c r="N53" s="26" t="str">
        <f>IFERROR(VLOOKUP(10*tblRiskRegister322[[#This Row],[Safeguard Maturity Score]]+tblRiskRegister322[[#This Row],[VCDB Index]],tblHITIndexWeightTable[],4,FALSE),"")</f>
        <v/>
      </c>
      <c r="O53" s="26">
        <f>VLOOKUP(tblRiskRegister322[[#This Row],[Asset Class]],tblInherentImpacts3046[],2,FALSE)</f>
        <v>3</v>
      </c>
      <c r="P53" s="26">
        <f>VLOOKUP(tblRiskRegister322[[#This Row],[Asset Class]],tblInherentImpacts3046[],3,FALSE)</f>
        <v>4</v>
      </c>
      <c r="Q53" s="26">
        <f>VLOOKUP(tblRiskRegister322[[#This Row],[Asset Class]],tblInherentImpacts3046[],4,FALSE)</f>
        <v>5</v>
      </c>
      <c r="R53" s="26">
        <f>VLOOKUP(tblRiskRegister322[[#This Row],[Asset Class]],tblInherentImpacts3046[],5,FALSE)</f>
        <v>2</v>
      </c>
      <c r="S53" s="26" t="str">
        <f>IFERROR(MAX(tblRiskRegister322[[#This Row],[Impact to Mission]:[Impact to Obligations]])*tblRiskRegister322[[#This Row],[Expectancy Score]],"")</f>
        <v/>
      </c>
      <c r="T53" s="26" t="str">
        <f>tblRiskRegister322[[#This Row],[Risk Score]]</f>
        <v/>
      </c>
      <c r="U53" s="17"/>
      <c r="V53" s="100">
        <v>11.4</v>
      </c>
      <c r="W53" s="15" t="s">
        <v>116</v>
      </c>
      <c r="X53" s="15" t="s">
        <v>495</v>
      </c>
      <c r="Y53" s="15"/>
      <c r="Z53" s="16"/>
      <c r="AA53" s="25" t="str">
        <f>IFERROR(VLOOKUP(10*tblRiskRegister322[[#This Row],[Risk Treatment Safeguard Maturity Score]]+tblRiskRegister322[[#This Row],[VCDB Index]],tblHITIndexWeightTable[],4,FALSE),"")</f>
        <v/>
      </c>
      <c r="AB53" s="136"/>
      <c r="AC53" s="136"/>
      <c r="AD53" s="136"/>
      <c r="AE53" s="136"/>
      <c r="AF53" s="25" t="str">
        <f>IFERROR(MAX(tblRiskRegister322[[#This Row],[Risk Treatment Safeguard Impact to Mission]:[Risk Treatment Safeguard Impact to Obligations]])*tblRiskRegister322[[#This Row],[Risk Treatment
Safeguard Expectancy Score]],"")</f>
        <v/>
      </c>
      <c r="AG53" s="27" t="str">
        <f>IF(tblRiskRegister322[[#This Row],[Risk Score]]&gt;AcceptableRisk1,IF(tblRiskRegister322[[#This Row],[Risk Treatment Safeguard Risk Score]]&lt;AcceptableRisk1, IF(tblRiskRegister322[[#This Row],[Risk Treatment Safeguard Risk Score]]&lt;=tblRiskRegister322[[#This Row],[Risk Score]],"Yes","No"),"No"),"Yes")</f>
        <v>No</v>
      </c>
      <c r="AH53" s="18"/>
      <c r="AI53" s="18"/>
      <c r="AJ53" s="19"/>
    </row>
    <row r="54" spans="2:36" ht="25.5" x14ac:dyDescent="0.2">
      <c r="B54" s="15" t="s">
        <v>130</v>
      </c>
      <c r="C54" s="15"/>
      <c r="D54" s="13">
        <v>11.5</v>
      </c>
      <c r="E54" s="14" t="s">
        <v>248</v>
      </c>
      <c r="F54" s="17"/>
      <c r="G54" s="17" t="s">
        <v>785</v>
      </c>
      <c r="H54" s="17" t="s">
        <v>931</v>
      </c>
      <c r="I54" s="14"/>
      <c r="J54" s="14"/>
      <c r="K54" s="14"/>
      <c r="L54" s="16"/>
      <c r="M54" s="26">
        <f>IFERROR(VLOOKUP(tblRiskRegister322[[#This Row],[Asset Class]],tblVCDBIndex[],4,FALSE),"")</f>
        <v>3</v>
      </c>
      <c r="N54" s="26" t="str">
        <f>IFERROR(VLOOKUP(10*tblRiskRegister322[[#This Row],[Safeguard Maturity Score]]+tblRiskRegister322[[#This Row],[VCDB Index]],tblHITIndexWeightTable[],4,FALSE),"")</f>
        <v/>
      </c>
      <c r="O54" s="26">
        <f>VLOOKUP(tblRiskRegister322[[#This Row],[Asset Class]],tblInherentImpacts3046[],2,FALSE)</f>
        <v>3</v>
      </c>
      <c r="P54" s="26">
        <f>VLOOKUP(tblRiskRegister322[[#This Row],[Asset Class]],tblInherentImpacts3046[],3,FALSE)</f>
        <v>4</v>
      </c>
      <c r="Q54" s="26">
        <f>VLOOKUP(tblRiskRegister322[[#This Row],[Asset Class]],tblInherentImpacts3046[],4,FALSE)</f>
        <v>5</v>
      </c>
      <c r="R54" s="26">
        <f>VLOOKUP(tblRiskRegister322[[#This Row],[Asset Class]],tblInherentImpacts3046[],5,FALSE)</f>
        <v>2</v>
      </c>
      <c r="S54" s="26" t="str">
        <f>IFERROR(MAX(tblRiskRegister322[[#This Row],[Impact to Mission]:[Impact to Obligations]])*tblRiskRegister322[[#This Row],[Expectancy Score]],"")</f>
        <v/>
      </c>
      <c r="T54" s="26" t="str">
        <f>tblRiskRegister322[[#This Row],[Risk Score]]</f>
        <v/>
      </c>
      <c r="U54" s="17"/>
      <c r="V54" s="100">
        <v>11.5</v>
      </c>
      <c r="W54" s="15" t="s">
        <v>248</v>
      </c>
      <c r="X54" s="15" t="s">
        <v>496</v>
      </c>
      <c r="Y54" s="15"/>
      <c r="Z54" s="16"/>
      <c r="AA54" s="25" t="str">
        <f>IFERROR(VLOOKUP(10*tblRiskRegister322[[#This Row],[Risk Treatment Safeguard Maturity Score]]+tblRiskRegister322[[#This Row],[VCDB Index]],tblHITIndexWeightTable[],4,FALSE),"")</f>
        <v/>
      </c>
      <c r="AB54" s="136"/>
      <c r="AC54" s="136"/>
      <c r="AD54" s="136"/>
      <c r="AE54" s="136"/>
      <c r="AF54" s="25" t="str">
        <f>IFERROR(MAX(tblRiskRegister322[[#This Row],[Risk Treatment Safeguard Impact to Mission]:[Risk Treatment Safeguard Impact to Obligations]])*tblRiskRegister322[[#This Row],[Risk Treatment
Safeguard Expectancy Score]],"")</f>
        <v/>
      </c>
      <c r="AG54" s="27" t="str">
        <f>IF(tblRiskRegister322[[#This Row],[Risk Score]]&gt;AcceptableRisk1,IF(tblRiskRegister322[[#This Row],[Risk Treatment Safeguard Risk Score]]&lt;AcceptableRisk1, IF(tblRiskRegister322[[#This Row],[Risk Treatment Safeguard Risk Score]]&lt;=tblRiskRegister322[[#This Row],[Risk Score]],"Yes","No"),"No"),"Yes")</f>
        <v>No</v>
      </c>
      <c r="AH54" s="18"/>
      <c r="AI54" s="18"/>
      <c r="AJ54" s="19"/>
    </row>
    <row r="55" spans="2:36" ht="140.25" x14ac:dyDescent="0.2">
      <c r="B55" s="15" t="s">
        <v>131</v>
      </c>
      <c r="C55" s="15"/>
      <c r="D55" s="13">
        <v>1.1000000000000001</v>
      </c>
      <c r="E55" s="14" t="s">
        <v>78</v>
      </c>
      <c r="F55" s="17" t="s">
        <v>785</v>
      </c>
      <c r="G55" s="17" t="s">
        <v>785</v>
      </c>
      <c r="H55" s="17" t="s">
        <v>926</v>
      </c>
      <c r="I55" s="14"/>
      <c r="J55" s="14"/>
      <c r="K55" s="14"/>
      <c r="L55" s="137">
        <v>5</v>
      </c>
      <c r="M55" s="26">
        <f>IFERROR(VLOOKUP(tblRiskRegister322[[#This Row],[Asset Class]],tblVCDBIndex[],4,FALSE),"")</f>
        <v>1</v>
      </c>
      <c r="N55" s="26">
        <f>IFERROR(VLOOKUP(10*tblRiskRegister322[[#This Row],[Safeguard Maturity Score]]+tblRiskRegister322[[#This Row],[VCDB Index]],tblHITIndexWeightTable[],4,FALSE),"")</f>
        <v>1</v>
      </c>
      <c r="O55" s="26">
        <f>VLOOKUP(tblRiskRegister322[[#This Row],[Asset Class]],tblInherentImpacts3046[],2,FALSE)</f>
        <v>2</v>
      </c>
      <c r="P55" s="26">
        <f>VLOOKUP(tblRiskRegister322[[#This Row],[Asset Class]],tblInherentImpacts3046[],3,FALSE)</f>
        <v>1</v>
      </c>
      <c r="Q55" s="26">
        <f>VLOOKUP(tblRiskRegister322[[#This Row],[Asset Class]],tblInherentImpacts3046[],4,FALSE)</f>
        <v>3</v>
      </c>
      <c r="R55" s="26">
        <f>VLOOKUP(tblRiskRegister322[[#This Row],[Asset Class]],tblInherentImpacts3046[],5,FALSE)</f>
        <v>3</v>
      </c>
      <c r="S55" s="26">
        <f>IFERROR(MAX(tblRiskRegister322[[#This Row],[Impact to Mission]:[Impact to Obligations]])*tblRiskRegister322[[#This Row],[Expectancy Score]],"")</f>
        <v>3</v>
      </c>
      <c r="T55" s="26">
        <f>tblRiskRegister322[[#This Row],[Risk Score]]</f>
        <v>3</v>
      </c>
      <c r="U55" s="17"/>
      <c r="V55" s="100">
        <v>1.1000000000000001</v>
      </c>
      <c r="W55" s="15" t="s">
        <v>78</v>
      </c>
      <c r="X55" s="15" t="s">
        <v>415</v>
      </c>
      <c r="Y55" s="15"/>
      <c r="Z55" s="16"/>
      <c r="AA55" s="25" t="str">
        <f>IFERROR(VLOOKUP(10*tblRiskRegister322[[#This Row],[Risk Treatment Safeguard Maturity Score]]+tblRiskRegister322[[#This Row],[VCDB Index]],tblHITIndexWeightTable[],4,FALSE),"")</f>
        <v/>
      </c>
      <c r="AB55" s="136"/>
      <c r="AC55" s="136"/>
      <c r="AD55" s="136"/>
      <c r="AE55" s="136"/>
      <c r="AF55" s="25" t="str">
        <f>IFERROR(MAX(tblRiskRegister322[[#This Row],[Risk Treatment Safeguard Impact to Mission]:[Risk Treatment Safeguard Impact to Obligations]])*tblRiskRegister322[[#This Row],[Risk Treatment
Safeguard Expectancy Score]],"")</f>
        <v/>
      </c>
      <c r="AG55" s="27" t="str">
        <f>IF(tblRiskRegister322[[#This Row],[Risk Score]]&gt;AcceptableRisk1,IF(tblRiskRegister322[[#This Row],[Risk Treatment Safeguard Risk Score]]&lt;AcceptableRisk1, IF(tblRiskRegister322[[#This Row],[Risk Treatment Safeguard Risk Score]]&lt;=tblRiskRegister322[[#This Row],[Risk Score]],"Yes","No"),"No"),"Yes")</f>
        <v>Yes</v>
      </c>
      <c r="AH55" s="18"/>
      <c r="AI55" s="18"/>
      <c r="AJ55" s="19"/>
    </row>
    <row r="56" spans="2:36" ht="38.25" x14ac:dyDescent="0.2">
      <c r="B56" s="44" t="s">
        <v>131</v>
      </c>
      <c r="C56" s="44"/>
      <c r="D56" s="13">
        <v>1.2</v>
      </c>
      <c r="E56" s="14" t="s">
        <v>14</v>
      </c>
      <c r="F56" s="17" t="s">
        <v>785</v>
      </c>
      <c r="G56" s="17" t="s">
        <v>785</v>
      </c>
      <c r="H56" s="17" t="s">
        <v>927</v>
      </c>
      <c r="I56" s="14"/>
      <c r="J56" s="14"/>
      <c r="K56" s="14"/>
      <c r="L56" s="137">
        <v>3</v>
      </c>
      <c r="M56" s="26">
        <f>IFERROR(VLOOKUP(tblRiskRegister322[[#This Row],[Asset Class]],tblVCDBIndex[],4,FALSE),"")</f>
        <v>1</v>
      </c>
      <c r="N56" s="26">
        <f>IFERROR(VLOOKUP(10*tblRiskRegister322[[#This Row],[Safeguard Maturity Score]]+tblRiskRegister322[[#This Row],[VCDB Index]],tblHITIndexWeightTable[],4,FALSE),"")</f>
        <v>1</v>
      </c>
      <c r="O56" s="26">
        <f>VLOOKUP(tblRiskRegister322[[#This Row],[Asset Class]],tblInherentImpacts3046[],2,FALSE)</f>
        <v>2</v>
      </c>
      <c r="P56" s="26">
        <f>VLOOKUP(tblRiskRegister322[[#This Row],[Asset Class]],tblInherentImpacts3046[],3,FALSE)</f>
        <v>1</v>
      </c>
      <c r="Q56" s="26">
        <f>VLOOKUP(tblRiskRegister322[[#This Row],[Asset Class]],tblInherentImpacts3046[],4,FALSE)</f>
        <v>3</v>
      </c>
      <c r="R56" s="26">
        <f>VLOOKUP(tblRiskRegister322[[#This Row],[Asset Class]],tblInherentImpacts3046[],5,FALSE)</f>
        <v>3</v>
      </c>
      <c r="S56" s="26">
        <f>IFERROR(MAX(tblRiskRegister322[[#This Row],[Impact to Mission]:[Impact to Obligations]])*tblRiskRegister322[[#This Row],[Expectancy Score]],"")</f>
        <v>3</v>
      </c>
      <c r="T56" s="29">
        <f>tblRiskRegister322[[#This Row],[Risk Score]]</f>
        <v>3</v>
      </c>
      <c r="U56" s="17"/>
      <c r="V56" s="112">
        <v>1.2</v>
      </c>
      <c r="W56" s="44" t="s">
        <v>14</v>
      </c>
      <c r="X56" s="44" t="s">
        <v>416</v>
      </c>
      <c r="Y56" s="30"/>
      <c r="Z56" s="16"/>
      <c r="AA56" s="25" t="str">
        <f>IFERROR(VLOOKUP(10*tblRiskRegister322[[#This Row],[Risk Treatment Safeguard Maturity Score]]+tblRiskRegister322[[#This Row],[VCDB Index]],tblHITIndexWeightTable[],4,FALSE),"")</f>
        <v/>
      </c>
      <c r="AB56" s="136"/>
      <c r="AC56" s="136"/>
      <c r="AD56" s="136"/>
      <c r="AE56" s="136"/>
      <c r="AF56" s="25" t="str">
        <f>IFERROR(MAX(tblRiskRegister322[[#This Row],[Risk Treatment Safeguard Impact to Mission]:[Risk Treatment Safeguard Impact to Obligations]])*tblRiskRegister322[[#This Row],[Risk Treatment
Safeguard Expectancy Score]],"")</f>
        <v/>
      </c>
      <c r="AG56" s="27" t="str">
        <f>IF(tblRiskRegister322[[#This Row],[Risk Score]]&gt;AcceptableRisk1,IF(tblRiskRegister322[[#This Row],[Risk Treatment Safeguard Risk Score]]&lt;AcceptableRisk1, IF(tblRiskRegister322[[#This Row],[Risk Treatment Safeguard Risk Score]]&lt;=tblRiskRegister322[[#This Row],[Risk Score]],"Yes","No"),"No"),"Yes")</f>
        <v>Yes</v>
      </c>
      <c r="AH56" s="18"/>
      <c r="AI56" s="18"/>
      <c r="AJ56" s="19"/>
    </row>
    <row r="57" spans="2:36" ht="25.5" x14ac:dyDescent="0.2">
      <c r="B57" s="44" t="s">
        <v>131</v>
      </c>
      <c r="C57" s="44"/>
      <c r="D57" s="13">
        <v>1.3</v>
      </c>
      <c r="E57" s="14" t="s">
        <v>249</v>
      </c>
      <c r="F57" s="17"/>
      <c r="G57" s="17" t="s">
        <v>785</v>
      </c>
      <c r="H57" s="17" t="s">
        <v>929</v>
      </c>
      <c r="I57" s="14"/>
      <c r="J57" s="14"/>
      <c r="K57" s="14"/>
      <c r="L57" s="137">
        <v>2</v>
      </c>
      <c r="M57" s="26">
        <f>IFERROR(VLOOKUP(tblRiskRegister322[[#This Row],[Asset Class]],tblVCDBIndex[],4,FALSE),"")</f>
        <v>1</v>
      </c>
      <c r="N57" s="26">
        <f>IFERROR(VLOOKUP(10*tblRiskRegister322[[#This Row],[Safeguard Maturity Score]]+tblRiskRegister322[[#This Row],[VCDB Index]],tblHITIndexWeightTable[],4,FALSE),"")</f>
        <v>3</v>
      </c>
      <c r="O57" s="26">
        <f>VLOOKUP(tblRiskRegister322[[#This Row],[Asset Class]],tblInherentImpacts3046[],2,FALSE)</f>
        <v>2</v>
      </c>
      <c r="P57" s="26">
        <f>VLOOKUP(tblRiskRegister322[[#This Row],[Asset Class]],tblInherentImpacts3046[],3,FALSE)</f>
        <v>1</v>
      </c>
      <c r="Q57" s="26">
        <f>VLOOKUP(tblRiskRegister322[[#This Row],[Asset Class]],tblInherentImpacts3046[],4,FALSE)</f>
        <v>3</v>
      </c>
      <c r="R57" s="26">
        <f>VLOOKUP(tblRiskRegister322[[#This Row],[Asset Class]],tblInherentImpacts3046[],5,FALSE)</f>
        <v>3</v>
      </c>
      <c r="S57" s="26">
        <f>IFERROR(MAX(tblRiskRegister322[[#This Row],[Impact to Mission]:[Impact to Obligations]])*tblRiskRegister322[[#This Row],[Expectancy Score]],"")</f>
        <v>9</v>
      </c>
      <c r="T57" s="29">
        <f>tblRiskRegister322[[#This Row],[Risk Score]]</f>
        <v>9</v>
      </c>
      <c r="U57" s="17"/>
      <c r="V57" s="112">
        <v>1.3</v>
      </c>
      <c r="W57" s="44" t="s">
        <v>249</v>
      </c>
      <c r="X57" s="44" t="s">
        <v>417</v>
      </c>
      <c r="Y57" s="30"/>
      <c r="Z57" s="16"/>
      <c r="AA57" s="25" t="str">
        <f>IFERROR(VLOOKUP(10*tblRiskRegister322[[#This Row],[Risk Treatment Safeguard Maturity Score]]+tblRiskRegister322[[#This Row],[VCDB Index]],tblHITIndexWeightTable[],4,FALSE),"")</f>
        <v/>
      </c>
      <c r="AB57" s="136"/>
      <c r="AC57" s="136"/>
      <c r="AD57" s="136"/>
      <c r="AE57" s="136"/>
      <c r="AF57" s="25" t="str">
        <f>IFERROR(MAX(tblRiskRegister322[[#This Row],[Risk Treatment Safeguard Impact to Mission]:[Risk Treatment Safeguard Impact to Obligations]])*tblRiskRegister322[[#This Row],[Risk Treatment
Safeguard Expectancy Score]],"")</f>
        <v/>
      </c>
      <c r="AG57" s="27" t="str">
        <f>IF(tblRiskRegister322[[#This Row],[Risk Score]]&gt;AcceptableRisk1,IF(tblRiskRegister322[[#This Row],[Risk Treatment Safeguard Risk Score]]&lt;AcceptableRisk1, IF(tblRiskRegister322[[#This Row],[Risk Treatment Safeguard Risk Score]]&lt;=tblRiskRegister322[[#This Row],[Risk Score]],"Yes","No"),"No"),"Yes")</f>
        <v>Yes</v>
      </c>
      <c r="AH57" s="18"/>
      <c r="AI57" s="18"/>
      <c r="AJ57" s="19"/>
    </row>
    <row r="58" spans="2:36" ht="38.25" x14ac:dyDescent="0.2">
      <c r="B58" s="44" t="s">
        <v>131</v>
      </c>
      <c r="C58" s="44"/>
      <c r="D58" s="13">
        <v>1.4</v>
      </c>
      <c r="E58" s="14" t="s">
        <v>250</v>
      </c>
      <c r="F58" s="17"/>
      <c r="G58" s="17" t="s">
        <v>785</v>
      </c>
      <c r="H58" s="17" t="s">
        <v>926</v>
      </c>
      <c r="I58" s="14"/>
      <c r="J58" s="14"/>
      <c r="K58" s="14"/>
      <c r="L58" s="137">
        <v>4</v>
      </c>
      <c r="M58" s="26">
        <f>IFERROR(VLOOKUP(tblRiskRegister322[[#This Row],[Asset Class]],tblVCDBIndex[],4,FALSE),"")</f>
        <v>1</v>
      </c>
      <c r="N58" s="26">
        <f>IFERROR(VLOOKUP(10*tblRiskRegister322[[#This Row],[Safeguard Maturity Score]]+tblRiskRegister322[[#This Row],[VCDB Index]],tblHITIndexWeightTable[],4,FALSE),"")</f>
        <v>1</v>
      </c>
      <c r="O58" s="26">
        <f>VLOOKUP(tblRiskRegister322[[#This Row],[Asset Class]],tblInherentImpacts3046[],2,FALSE)</f>
        <v>2</v>
      </c>
      <c r="P58" s="26">
        <f>VLOOKUP(tblRiskRegister322[[#This Row],[Asset Class]],tblInherentImpacts3046[],3,FALSE)</f>
        <v>1</v>
      </c>
      <c r="Q58" s="26">
        <f>VLOOKUP(tblRiskRegister322[[#This Row],[Asset Class]],tblInherentImpacts3046[],4,FALSE)</f>
        <v>3</v>
      </c>
      <c r="R58" s="26">
        <f>VLOOKUP(tblRiskRegister322[[#This Row],[Asset Class]],tblInherentImpacts3046[],5,FALSE)</f>
        <v>3</v>
      </c>
      <c r="S58" s="26">
        <f>IFERROR(MAX(tblRiskRegister322[[#This Row],[Impact to Mission]:[Impact to Obligations]])*tblRiskRegister322[[#This Row],[Expectancy Score]],"")</f>
        <v>3</v>
      </c>
      <c r="T58" s="29">
        <f>tblRiskRegister322[[#This Row],[Risk Score]]</f>
        <v>3</v>
      </c>
      <c r="U58" s="17"/>
      <c r="V58" s="112">
        <v>1.4</v>
      </c>
      <c r="W58" s="44" t="s">
        <v>250</v>
      </c>
      <c r="X58" s="44" t="s">
        <v>418</v>
      </c>
      <c r="Y58" s="30"/>
      <c r="Z58" s="16"/>
      <c r="AA58" s="25" t="str">
        <f>IFERROR(VLOOKUP(10*tblRiskRegister322[[#This Row],[Risk Treatment Safeguard Maturity Score]]+tblRiskRegister322[[#This Row],[VCDB Index]],tblHITIndexWeightTable[],4,FALSE),"")</f>
        <v/>
      </c>
      <c r="AB58" s="136"/>
      <c r="AC58" s="136"/>
      <c r="AD58" s="136"/>
      <c r="AE58" s="136"/>
      <c r="AF58" s="25" t="str">
        <f>IFERROR(MAX(tblRiskRegister322[[#This Row],[Risk Treatment Safeguard Impact to Mission]:[Risk Treatment Safeguard Impact to Obligations]])*tblRiskRegister322[[#This Row],[Risk Treatment
Safeguard Expectancy Score]],"")</f>
        <v/>
      </c>
      <c r="AG58" s="27" t="str">
        <f>IF(tblRiskRegister322[[#This Row],[Risk Score]]&gt;AcceptableRisk1,IF(tblRiskRegister322[[#This Row],[Risk Treatment Safeguard Risk Score]]&lt;AcceptableRisk1, IF(tblRiskRegister322[[#This Row],[Risk Treatment Safeguard Risk Score]]&lt;=tblRiskRegister322[[#This Row],[Risk Score]],"Yes","No"),"No"),"Yes")</f>
        <v>Yes</v>
      </c>
      <c r="AH58" s="18"/>
      <c r="AI58" s="18"/>
      <c r="AJ58" s="19"/>
    </row>
    <row r="59" spans="2:36" ht="25.5" x14ac:dyDescent="0.2">
      <c r="B59" s="44" t="s">
        <v>131</v>
      </c>
      <c r="C59" s="44"/>
      <c r="D59" s="13">
        <v>3.6</v>
      </c>
      <c r="E59" s="14" t="s">
        <v>87</v>
      </c>
      <c r="F59" s="17" t="s">
        <v>785</v>
      </c>
      <c r="G59" s="17" t="s">
        <v>785</v>
      </c>
      <c r="H59" s="17" t="s">
        <v>928</v>
      </c>
      <c r="I59" s="14"/>
      <c r="J59" s="14"/>
      <c r="K59" s="14"/>
      <c r="L59" s="137">
        <v>3</v>
      </c>
      <c r="M59" s="26">
        <f>IFERROR(VLOOKUP(tblRiskRegister322[[#This Row],[Asset Class]],tblVCDBIndex[],4,FALSE),"")</f>
        <v>1</v>
      </c>
      <c r="N59" s="26">
        <f>IFERROR(VLOOKUP(10*tblRiskRegister322[[#This Row],[Safeguard Maturity Score]]+tblRiskRegister322[[#This Row],[VCDB Index]],tblHITIndexWeightTable[],4,FALSE),"")</f>
        <v>1</v>
      </c>
      <c r="O59" s="26">
        <f>VLOOKUP(tblRiskRegister322[[#This Row],[Asset Class]],tblInherentImpacts3046[],2,FALSE)</f>
        <v>2</v>
      </c>
      <c r="P59" s="26">
        <f>VLOOKUP(tblRiskRegister322[[#This Row],[Asset Class]],tblInherentImpacts3046[],3,FALSE)</f>
        <v>1</v>
      </c>
      <c r="Q59" s="26">
        <f>VLOOKUP(tblRiskRegister322[[#This Row],[Asset Class]],tblInherentImpacts3046[],4,FALSE)</f>
        <v>3</v>
      </c>
      <c r="R59" s="26">
        <f>VLOOKUP(tblRiskRegister322[[#This Row],[Asset Class]],tblInherentImpacts3046[],5,FALSE)</f>
        <v>3</v>
      </c>
      <c r="S59" s="26">
        <f>IFERROR(MAX(tblRiskRegister322[[#This Row],[Impact to Mission]:[Impact to Obligations]])*tblRiskRegister322[[#This Row],[Expectancy Score]],"")</f>
        <v>3</v>
      </c>
      <c r="T59" s="29">
        <f>tblRiskRegister322[[#This Row],[Risk Score]]</f>
        <v>3</v>
      </c>
      <c r="U59" s="17"/>
      <c r="V59" s="112">
        <v>3.6</v>
      </c>
      <c r="W59" s="44" t="s">
        <v>87</v>
      </c>
      <c r="X59" s="44" t="s">
        <v>430</v>
      </c>
      <c r="Y59" s="30"/>
      <c r="Z59" s="16"/>
      <c r="AA59" s="25" t="str">
        <f>IFERROR(VLOOKUP(10*tblRiskRegister322[[#This Row],[Risk Treatment Safeguard Maturity Score]]+tblRiskRegister322[[#This Row],[VCDB Index]],tblHITIndexWeightTable[],4,FALSE),"")</f>
        <v/>
      </c>
      <c r="AB59" s="136"/>
      <c r="AC59" s="136"/>
      <c r="AD59" s="136"/>
      <c r="AE59" s="136"/>
      <c r="AF59" s="25" t="str">
        <f>IFERROR(MAX(tblRiskRegister322[[#This Row],[Risk Treatment Safeguard Impact to Mission]:[Risk Treatment Safeguard Impact to Obligations]])*tblRiskRegister322[[#This Row],[Risk Treatment
Safeguard Expectancy Score]],"")</f>
        <v/>
      </c>
      <c r="AG59" s="27" t="str">
        <f>IF(tblRiskRegister322[[#This Row],[Risk Score]]&gt;AcceptableRisk1,IF(tblRiskRegister322[[#This Row],[Risk Treatment Safeguard Risk Score]]&lt;AcceptableRisk1, IF(tblRiskRegister322[[#This Row],[Risk Treatment Safeguard Risk Score]]&lt;=tblRiskRegister322[[#This Row],[Risk Score]],"Yes","No"),"No"),"Yes")</f>
        <v>Yes</v>
      </c>
      <c r="AH59" s="18"/>
      <c r="AI59" s="18"/>
      <c r="AJ59" s="19"/>
    </row>
    <row r="60" spans="2:36" ht="25.5" x14ac:dyDescent="0.2">
      <c r="B60" s="44" t="s">
        <v>131</v>
      </c>
      <c r="C60" s="44"/>
      <c r="D60" s="13">
        <v>4.4000000000000004</v>
      </c>
      <c r="E60" s="14" t="s">
        <v>91</v>
      </c>
      <c r="F60" s="17" t="s">
        <v>785</v>
      </c>
      <c r="G60" s="17" t="s">
        <v>785</v>
      </c>
      <c r="H60" s="17" t="s">
        <v>928</v>
      </c>
      <c r="I60" s="14"/>
      <c r="J60" s="14"/>
      <c r="K60" s="14"/>
      <c r="L60" s="137">
        <v>1</v>
      </c>
      <c r="M60" s="26">
        <f>IFERROR(VLOOKUP(tblRiskRegister322[[#This Row],[Asset Class]],tblVCDBIndex[],4,FALSE),"")</f>
        <v>1</v>
      </c>
      <c r="N60" s="26">
        <f>IFERROR(VLOOKUP(10*tblRiskRegister322[[#This Row],[Safeguard Maturity Score]]+tblRiskRegister322[[#This Row],[VCDB Index]],tblHITIndexWeightTable[],4,FALSE),"")</f>
        <v>4</v>
      </c>
      <c r="O60" s="26">
        <f>VLOOKUP(tblRiskRegister322[[#This Row],[Asset Class]],tblInherentImpacts3046[],2,FALSE)</f>
        <v>2</v>
      </c>
      <c r="P60" s="26">
        <f>VLOOKUP(tblRiskRegister322[[#This Row],[Asset Class]],tblInherentImpacts3046[],3,FALSE)</f>
        <v>1</v>
      </c>
      <c r="Q60" s="26">
        <f>VLOOKUP(tblRiskRegister322[[#This Row],[Asset Class]],tblInherentImpacts3046[],4,FALSE)</f>
        <v>3</v>
      </c>
      <c r="R60" s="26">
        <f>VLOOKUP(tblRiskRegister322[[#This Row],[Asset Class]],tblInherentImpacts3046[],5,FALSE)</f>
        <v>3</v>
      </c>
      <c r="S60" s="26">
        <f>IFERROR(MAX(tblRiskRegister322[[#This Row],[Impact to Mission]:[Impact to Obligations]])*tblRiskRegister322[[#This Row],[Expectancy Score]],"")</f>
        <v>12</v>
      </c>
      <c r="T60" s="29">
        <f>tblRiskRegister322[[#This Row],[Risk Score]]</f>
        <v>12</v>
      </c>
      <c r="U60" s="17"/>
      <c r="V60" s="112">
        <v>4.4000000000000004</v>
      </c>
      <c r="W60" s="44" t="s">
        <v>91</v>
      </c>
      <c r="X60" s="44" t="s">
        <v>440</v>
      </c>
      <c r="Y60" s="30"/>
      <c r="Z60" s="16"/>
      <c r="AA60" s="25" t="str">
        <f>IFERROR(VLOOKUP(10*tblRiskRegister322[[#This Row],[Risk Treatment Safeguard Maturity Score]]+tblRiskRegister322[[#This Row],[VCDB Index]],tblHITIndexWeightTable[],4,FALSE),"")</f>
        <v/>
      </c>
      <c r="AB60" s="136"/>
      <c r="AC60" s="136"/>
      <c r="AD60" s="136"/>
      <c r="AE60" s="136"/>
      <c r="AF60" s="25" t="str">
        <f>IFERROR(MAX(tblRiskRegister322[[#This Row],[Risk Treatment Safeguard Impact to Mission]:[Risk Treatment Safeguard Impact to Obligations]])*tblRiskRegister322[[#This Row],[Risk Treatment
Safeguard Expectancy Score]],"")</f>
        <v/>
      </c>
      <c r="AG60" s="27" t="str">
        <f>IF(tblRiskRegister322[[#This Row],[Risk Score]]&gt;AcceptableRisk1,IF(tblRiskRegister322[[#This Row],[Risk Treatment Safeguard Risk Score]]&lt;AcceptableRisk1, IF(tblRiskRegister322[[#This Row],[Risk Treatment Safeguard Risk Score]]&lt;=tblRiskRegister322[[#This Row],[Risk Score]],"Yes","No"),"No"),"Yes")</f>
        <v>No</v>
      </c>
      <c r="AH60" s="18"/>
      <c r="AI60" s="18"/>
      <c r="AJ60" s="19"/>
    </row>
    <row r="61" spans="2:36" ht="38.25" x14ac:dyDescent="0.2">
      <c r="B61" s="44" t="s">
        <v>131</v>
      </c>
      <c r="C61" s="44"/>
      <c r="D61" s="13">
        <v>4.5</v>
      </c>
      <c r="E61" s="14" t="s">
        <v>92</v>
      </c>
      <c r="F61" s="17" t="s">
        <v>785</v>
      </c>
      <c r="G61" s="17" t="s">
        <v>785</v>
      </c>
      <c r="H61" s="17" t="s">
        <v>928</v>
      </c>
      <c r="I61" s="14"/>
      <c r="J61" s="14"/>
      <c r="K61" s="14"/>
      <c r="L61" s="137">
        <v>2</v>
      </c>
      <c r="M61" s="26">
        <f>IFERROR(VLOOKUP(tblRiskRegister322[[#This Row],[Asset Class]],tblVCDBIndex[],4,FALSE),"")</f>
        <v>1</v>
      </c>
      <c r="N61" s="26">
        <f>IFERROR(VLOOKUP(10*tblRiskRegister322[[#This Row],[Safeguard Maturity Score]]+tblRiskRegister322[[#This Row],[VCDB Index]],tblHITIndexWeightTable[],4,FALSE),"")</f>
        <v>3</v>
      </c>
      <c r="O61" s="26">
        <f>VLOOKUP(tblRiskRegister322[[#This Row],[Asset Class]],tblInherentImpacts3046[],2,FALSE)</f>
        <v>2</v>
      </c>
      <c r="P61" s="26">
        <f>VLOOKUP(tblRiskRegister322[[#This Row],[Asset Class]],tblInherentImpacts3046[],3,FALSE)</f>
        <v>1</v>
      </c>
      <c r="Q61" s="26">
        <f>VLOOKUP(tblRiskRegister322[[#This Row],[Asset Class]],tblInherentImpacts3046[],4,FALSE)</f>
        <v>3</v>
      </c>
      <c r="R61" s="26">
        <f>VLOOKUP(tblRiskRegister322[[#This Row],[Asset Class]],tblInherentImpacts3046[],5,FALSE)</f>
        <v>3</v>
      </c>
      <c r="S61" s="26">
        <f>IFERROR(MAX(tblRiskRegister322[[#This Row],[Impact to Mission]:[Impact to Obligations]])*tblRiskRegister322[[#This Row],[Expectancy Score]],"")</f>
        <v>9</v>
      </c>
      <c r="T61" s="29">
        <f>tblRiskRegister322[[#This Row],[Risk Score]]</f>
        <v>9</v>
      </c>
      <c r="U61" s="17"/>
      <c r="V61" s="112">
        <v>4.5</v>
      </c>
      <c r="W61" s="44" t="s">
        <v>92</v>
      </c>
      <c r="X61" s="44" t="s">
        <v>441</v>
      </c>
      <c r="Y61" s="30"/>
      <c r="Z61" s="16"/>
      <c r="AA61" s="25" t="str">
        <f>IFERROR(VLOOKUP(10*tblRiskRegister322[[#This Row],[Risk Treatment Safeguard Maturity Score]]+tblRiskRegister322[[#This Row],[VCDB Index]],tblHITIndexWeightTable[],4,FALSE),"")</f>
        <v/>
      </c>
      <c r="AB61" s="136"/>
      <c r="AC61" s="136"/>
      <c r="AD61" s="136"/>
      <c r="AE61" s="136"/>
      <c r="AF61" s="25" t="str">
        <f>IFERROR(MAX(tblRiskRegister322[[#This Row],[Risk Treatment Safeguard Impact to Mission]:[Risk Treatment Safeguard Impact to Obligations]])*tblRiskRegister322[[#This Row],[Risk Treatment
Safeguard Expectancy Score]],"")</f>
        <v/>
      </c>
      <c r="AG61" s="27" t="str">
        <f>IF(tblRiskRegister322[[#This Row],[Risk Score]]&gt;AcceptableRisk1,IF(tblRiskRegister322[[#This Row],[Risk Treatment Safeguard Risk Score]]&lt;AcceptableRisk1, IF(tblRiskRegister322[[#This Row],[Risk Treatment Safeguard Risk Score]]&lt;=tblRiskRegister322[[#This Row],[Risk Score]],"Yes","No"),"No"),"Yes")</f>
        <v>Yes</v>
      </c>
      <c r="AH61" s="18"/>
      <c r="AI61" s="18"/>
      <c r="AJ61" s="19"/>
    </row>
    <row r="62" spans="2:36" ht="38.25" x14ac:dyDescent="0.2">
      <c r="B62" s="44" t="s">
        <v>131</v>
      </c>
      <c r="C62" s="44"/>
      <c r="D62" s="13">
        <v>4.8</v>
      </c>
      <c r="E62" s="14" t="s">
        <v>251</v>
      </c>
      <c r="F62" s="17"/>
      <c r="G62" s="17" t="s">
        <v>785</v>
      </c>
      <c r="H62" s="17" t="s">
        <v>928</v>
      </c>
      <c r="I62" s="14"/>
      <c r="J62" s="14"/>
      <c r="K62" s="14"/>
      <c r="L62" s="137">
        <v>1</v>
      </c>
      <c r="M62" s="26">
        <f>IFERROR(VLOOKUP(tblRiskRegister322[[#This Row],[Asset Class]],tblVCDBIndex[],4,FALSE),"")</f>
        <v>1</v>
      </c>
      <c r="N62" s="26">
        <f>IFERROR(VLOOKUP(10*tblRiskRegister322[[#This Row],[Safeguard Maturity Score]]+tblRiskRegister322[[#This Row],[VCDB Index]],tblHITIndexWeightTable[],4,FALSE),"")</f>
        <v>4</v>
      </c>
      <c r="O62" s="26">
        <f>VLOOKUP(tblRiskRegister322[[#This Row],[Asset Class]],tblInherentImpacts3046[],2,FALSE)</f>
        <v>2</v>
      </c>
      <c r="P62" s="26">
        <f>VLOOKUP(tblRiskRegister322[[#This Row],[Asset Class]],tblInherentImpacts3046[],3,FALSE)</f>
        <v>1</v>
      </c>
      <c r="Q62" s="26">
        <f>VLOOKUP(tblRiskRegister322[[#This Row],[Asset Class]],tblInherentImpacts3046[],4,FALSE)</f>
        <v>3</v>
      </c>
      <c r="R62" s="26">
        <f>VLOOKUP(tblRiskRegister322[[#This Row],[Asset Class]],tblInherentImpacts3046[],5,FALSE)</f>
        <v>3</v>
      </c>
      <c r="S62" s="26">
        <f>IFERROR(MAX(tblRiskRegister322[[#This Row],[Impact to Mission]:[Impact to Obligations]])*tblRiskRegister322[[#This Row],[Expectancy Score]],"")</f>
        <v>12</v>
      </c>
      <c r="T62" s="29">
        <f>tblRiskRegister322[[#This Row],[Risk Score]]</f>
        <v>12</v>
      </c>
      <c r="U62" s="17"/>
      <c r="V62" s="112">
        <v>4.8</v>
      </c>
      <c r="W62" s="44" t="s">
        <v>251</v>
      </c>
      <c r="X62" s="44" t="s">
        <v>444</v>
      </c>
      <c r="Y62" s="30"/>
      <c r="Z62" s="16"/>
      <c r="AA62" s="25" t="str">
        <f>IFERROR(VLOOKUP(10*tblRiskRegister322[[#This Row],[Risk Treatment Safeguard Maturity Score]]+tblRiskRegister322[[#This Row],[VCDB Index]],tblHITIndexWeightTable[],4,FALSE),"")</f>
        <v/>
      </c>
      <c r="AB62" s="136"/>
      <c r="AC62" s="136"/>
      <c r="AD62" s="136"/>
      <c r="AE62" s="136"/>
      <c r="AF62" s="25" t="str">
        <f>IFERROR(MAX(tblRiskRegister322[[#This Row],[Risk Treatment Safeguard Impact to Mission]:[Risk Treatment Safeguard Impact to Obligations]])*tblRiskRegister322[[#This Row],[Risk Treatment
Safeguard Expectancy Score]],"")</f>
        <v/>
      </c>
      <c r="AG62" s="27" t="str">
        <f>IF(tblRiskRegister322[[#This Row],[Risk Score]]&gt;AcceptableRisk1,IF(tblRiskRegister322[[#This Row],[Risk Treatment Safeguard Risk Score]]&lt;AcceptableRisk1, IF(tblRiskRegister322[[#This Row],[Risk Treatment Safeguard Risk Score]]&lt;=tblRiskRegister322[[#This Row],[Risk Score]],"Yes","No"),"No"),"Yes")</f>
        <v>No</v>
      </c>
      <c r="AH62" s="18"/>
      <c r="AI62" s="18"/>
      <c r="AJ62" s="19"/>
    </row>
    <row r="63" spans="2:36" ht="38.25" x14ac:dyDescent="0.2">
      <c r="B63" s="44" t="s">
        <v>131</v>
      </c>
      <c r="C63" s="44"/>
      <c r="D63" s="13">
        <v>4.9000000000000004</v>
      </c>
      <c r="E63" s="14" t="s">
        <v>252</v>
      </c>
      <c r="F63" s="17"/>
      <c r="G63" s="17" t="s">
        <v>785</v>
      </c>
      <c r="H63" s="17" t="s">
        <v>928</v>
      </c>
      <c r="I63" s="14"/>
      <c r="J63" s="14"/>
      <c r="K63" s="14"/>
      <c r="L63" s="137">
        <v>2</v>
      </c>
      <c r="M63" s="26">
        <f>IFERROR(VLOOKUP(tblRiskRegister322[[#This Row],[Asset Class]],tblVCDBIndex[],4,FALSE),"")</f>
        <v>1</v>
      </c>
      <c r="N63" s="26">
        <f>IFERROR(VLOOKUP(10*tblRiskRegister322[[#This Row],[Safeguard Maturity Score]]+tblRiskRegister322[[#This Row],[VCDB Index]],tblHITIndexWeightTable[],4,FALSE),"")</f>
        <v>3</v>
      </c>
      <c r="O63" s="26">
        <f>VLOOKUP(tblRiskRegister322[[#This Row],[Asset Class]],tblInherentImpacts3046[],2,FALSE)</f>
        <v>2</v>
      </c>
      <c r="P63" s="26">
        <f>VLOOKUP(tblRiskRegister322[[#This Row],[Asset Class]],tblInherentImpacts3046[],3,FALSE)</f>
        <v>1</v>
      </c>
      <c r="Q63" s="26">
        <f>VLOOKUP(tblRiskRegister322[[#This Row],[Asset Class]],tblInherentImpacts3046[],4,FALSE)</f>
        <v>3</v>
      </c>
      <c r="R63" s="26">
        <f>VLOOKUP(tblRiskRegister322[[#This Row],[Asset Class]],tblInherentImpacts3046[],5,FALSE)</f>
        <v>3</v>
      </c>
      <c r="S63" s="26">
        <f>IFERROR(MAX(tblRiskRegister322[[#This Row],[Impact to Mission]:[Impact to Obligations]])*tblRiskRegister322[[#This Row],[Expectancy Score]],"")</f>
        <v>9</v>
      </c>
      <c r="T63" s="29">
        <f>tblRiskRegister322[[#This Row],[Risk Score]]</f>
        <v>9</v>
      </c>
      <c r="U63" s="17"/>
      <c r="V63" s="112">
        <v>4.9000000000000004</v>
      </c>
      <c r="W63" s="44" t="s">
        <v>252</v>
      </c>
      <c r="X63" s="44" t="s">
        <v>445</v>
      </c>
      <c r="Y63" s="30"/>
      <c r="Z63" s="16"/>
      <c r="AA63" s="25" t="str">
        <f>IFERROR(VLOOKUP(10*tblRiskRegister322[[#This Row],[Risk Treatment Safeguard Maturity Score]]+tblRiskRegister322[[#This Row],[VCDB Index]],tblHITIndexWeightTable[],4,FALSE),"")</f>
        <v/>
      </c>
      <c r="AB63" s="136"/>
      <c r="AC63" s="136"/>
      <c r="AD63" s="136"/>
      <c r="AE63" s="136"/>
      <c r="AF63" s="25" t="str">
        <f>IFERROR(MAX(tblRiskRegister322[[#This Row],[Risk Treatment Safeguard Impact to Mission]:[Risk Treatment Safeguard Impact to Obligations]])*tblRiskRegister322[[#This Row],[Risk Treatment
Safeguard Expectancy Score]],"")</f>
        <v/>
      </c>
      <c r="AG63" s="27" t="str">
        <f>IF(tblRiskRegister322[[#This Row],[Risk Score]]&gt;AcceptableRisk1,IF(tblRiskRegister322[[#This Row],[Risk Treatment Safeguard Risk Score]]&lt;AcceptableRisk1, IF(tblRiskRegister322[[#This Row],[Risk Treatment Safeguard Risk Score]]&lt;=tblRiskRegister322[[#This Row],[Risk Score]],"Yes","No"),"No"),"Yes")</f>
        <v>Yes</v>
      </c>
      <c r="AH63" s="18"/>
      <c r="AI63" s="18"/>
      <c r="AJ63" s="19"/>
    </row>
    <row r="64" spans="2:36" ht="63.75" x14ac:dyDescent="0.2">
      <c r="B64" s="44" t="s">
        <v>131</v>
      </c>
      <c r="C64" s="44"/>
      <c r="D64" s="117">
        <v>4.0999999999999996</v>
      </c>
      <c r="E64" s="14" t="s">
        <v>253</v>
      </c>
      <c r="F64" s="17"/>
      <c r="G64" s="17" t="s">
        <v>785</v>
      </c>
      <c r="H64" s="17" t="s">
        <v>927</v>
      </c>
      <c r="I64" s="14"/>
      <c r="J64" s="14"/>
      <c r="K64" s="14"/>
      <c r="L64" s="137">
        <v>4</v>
      </c>
      <c r="M64" s="26">
        <f>IFERROR(VLOOKUP(tblRiskRegister322[[#This Row],[Asset Class]],tblVCDBIndex[],4,FALSE),"")</f>
        <v>1</v>
      </c>
      <c r="N64" s="26">
        <f>IFERROR(VLOOKUP(10*tblRiskRegister322[[#This Row],[Safeguard Maturity Score]]+tblRiskRegister322[[#This Row],[VCDB Index]],tblHITIndexWeightTable[],4,FALSE),"")</f>
        <v>1</v>
      </c>
      <c r="O64" s="26">
        <f>VLOOKUP(tblRiskRegister322[[#This Row],[Asset Class]],tblInherentImpacts3046[],2,FALSE)</f>
        <v>2</v>
      </c>
      <c r="P64" s="26">
        <f>VLOOKUP(tblRiskRegister322[[#This Row],[Asset Class]],tblInherentImpacts3046[],3,FALSE)</f>
        <v>1</v>
      </c>
      <c r="Q64" s="26">
        <f>VLOOKUP(tblRiskRegister322[[#This Row],[Asset Class]],tblInherentImpacts3046[],4,FALSE)</f>
        <v>3</v>
      </c>
      <c r="R64" s="26">
        <f>VLOOKUP(tblRiskRegister322[[#This Row],[Asset Class]],tblInherentImpacts3046[],5,FALSE)</f>
        <v>3</v>
      </c>
      <c r="S64" s="26">
        <f>IFERROR(MAX(tblRiskRegister322[[#This Row],[Impact to Mission]:[Impact to Obligations]])*tblRiskRegister322[[#This Row],[Expectancy Score]],"")</f>
        <v>3</v>
      </c>
      <c r="T64" s="29">
        <f>tblRiskRegister322[[#This Row],[Risk Score]]</f>
        <v>3</v>
      </c>
      <c r="U64" s="17"/>
      <c r="V64" s="112">
        <v>4.0999999999999996</v>
      </c>
      <c r="W64" s="44" t="s">
        <v>253</v>
      </c>
      <c r="X64" s="44" t="s">
        <v>446</v>
      </c>
      <c r="Y64" s="30"/>
      <c r="Z64" s="16"/>
      <c r="AA64" s="25" t="str">
        <f>IFERROR(VLOOKUP(10*tblRiskRegister322[[#This Row],[Risk Treatment Safeguard Maturity Score]]+tblRiskRegister322[[#This Row],[VCDB Index]],tblHITIndexWeightTable[],4,FALSE),"")</f>
        <v/>
      </c>
      <c r="AB64" s="136"/>
      <c r="AC64" s="136"/>
      <c r="AD64" s="136"/>
      <c r="AE64" s="136"/>
      <c r="AF64" s="25" t="str">
        <f>IFERROR(MAX(tblRiskRegister322[[#This Row],[Risk Treatment Safeguard Impact to Mission]:[Risk Treatment Safeguard Impact to Obligations]])*tblRiskRegister322[[#This Row],[Risk Treatment
Safeguard Expectancy Score]],"")</f>
        <v/>
      </c>
      <c r="AG64" s="27" t="str">
        <f>IF(tblRiskRegister322[[#This Row],[Risk Score]]&gt;AcceptableRisk1,IF(tblRiskRegister322[[#This Row],[Risk Treatment Safeguard Risk Score]]&lt;AcceptableRisk1, IF(tblRiskRegister322[[#This Row],[Risk Treatment Safeguard Risk Score]]&lt;=tblRiskRegister322[[#This Row],[Risk Score]],"Yes","No"),"No"),"Yes")</f>
        <v>Yes</v>
      </c>
      <c r="AH64" s="18"/>
      <c r="AI64" s="18"/>
      <c r="AJ64" s="19"/>
    </row>
    <row r="65" spans="2:36" ht="38.25" x14ac:dyDescent="0.2">
      <c r="B65" s="44" t="s">
        <v>131</v>
      </c>
      <c r="C65" s="44"/>
      <c r="D65" s="13">
        <v>4.1100000000000003</v>
      </c>
      <c r="E65" s="14" t="s">
        <v>254</v>
      </c>
      <c r="F65" s="17"/>
      <c r="G65" s="17" t="s">
        <v>785</v>
      </c>
      <c r="H65" s="17" t="s">
        <v>928</v>
      </c>
      <c r="I65" s="14"/>
      <c r="J65" s="14"/>
      <c r="K65" s="14"/>
      <c r="L65" s="137">
        <v>2</v>
      </c>
      <c r="M65" s="26">
        <f>IFERROR(VLOOKUP(tblRiskRegister322[[#This Row],[Asset Class]],tblVCDBIndex[],4,FALSE),"")</f>
        <v>1</v>
      </c>
      <c r="N65" s="26">
        <f>IFERROR(VLOOKUP(10*tblRiskRegister322[[#This Row],[Safeguard Maturity Score]]+tblRiskRegister322[[#This Row],[VCDB Index]],tblHITIndexWeightTable[],4,FALSE),"")</f>
        <v>3</v>
      </c>
      <c r="O65" s="26">
        <f>VLOOKUP(tblRiskRegister322[[#This Row],[Asset Class]],tblInherentImpacts3046[],2,FALSE)</f>
        <v>2</v>
      </c>
      <c r="P65" s="26">
        <f>VLOOKUP(tblRiskRegister322[[#This Row],[Asset Class]],tblInherentImpacts3046[],3,FALSE)</f>
        <v>1</v>
      </c>
      <c r="Q65" s="26">
        <f>VLOOKUP(tblRiskRegister322[[#This Row],[Asset Class]],tblInherentImpacts3046[],4,FALSE)</f>
        <v>3</v>
      </c>
      <c r="R65" s="26">
        <f>VLOOKUP(tblRiskRegister322[[#This Row],[Asset Class]],tblInherentImpacts3046[],5,FALSE)</f>
        <v>3</v>
      </c>
      <c r="S65" s="26">
        <f>IFERROR(MAX(tblRiskRegister322[[#This Row],[Impact to Mission]:[Impact to Obligations]])*tblRiskRegister322[[#This Row],[Expectancy Score]],"")</f>
        <v>9</v>
      </c>
      <c r="T65" s="29">
        <f>tblRiskRegister322[[#This Row],[Risk Score]]</f>
        <v>9</v>
      </c>
      <c r="U65" s="17"/>
      <c r="V65" s="112">
        <v>4.1100000000000003</v>
      </c>
      <c r="W65" s="44" t="s">
        <v>254</v>
      </c>
      <c r="X65" s="44" t="s">
        <v>447</v>
      </c>
      <c r="Y65" s="30"/>
      <c r="Z65" s="16"/>
      <c r="AA65" s="25" t="str">
        <f>IFERROR(VLOOKUP(10*tblRiskRegister322[[#This Row],[Risk Treatment Safeguard Maturity Score]]+tblRiskRegister322[[#This Row],[VCDB Index]],tblHITIndexWeightTable[],4,FALSE),"")</f>
        <v/>
      </c>
      <c r="AB65" s="136"/>
      <c r="AC65" s="136"/>
      <c r="AD65" s="136"/>
      <c r="AE65" s="136"/>
      <c r="AF65" s="25" t="str">
        <f>IFERROR(MAX(tblRiskRegister322[[#This Row],[Risk Treatment Safeguard Impact to Mission]:[Risk Treatment Safeguard Impact to Obligations]])*tblRiskRegister322[[#This Row],[Risk Treatment
Safeguard Expectancy Score]],"")</f>
        <v/>
      </c>
      <c r="AG65" s="27" t="str">
        <f>IF(tblRiskRegister322[[#This Row],[Risk Score]]&gt;AcceptableRisk1,IF(tblRiskRegister322[[#This Row],[Risk Treatment Safeguard Risk Score]]&lt;AcceptableRisk1, IF(tblRiskRegister322[[#This Row],[Risk Treatment Safeguard Risk Score]]&lt;=tblRiskRegister322[[#This Row],[Risk Score]],"Yes","No"),"No"),"Yes")</f>
        <v>Yes</v>
      </c>
      <c r="AH65" s="18"/>
      <c r="AI65" s="18"/>
      <c r="AJ65" s="19"/>
    </row>
    <row r="66" spans="2:36" ht="25.5" x14ac:dyDescent="0.2">
      <c r="B66" s="44" t="s">
        <v>131</v>
      </c>
      <c r="C66" s="44"/>
      <c r="D66" s="13">
        <v>8.8000000000000007</v>
      </c>
      <c r="E66" s="14" t="s">
        <v>255</v>
      </c>
      <c r="F66" s="17"/>
      <c r="G66" s="17" t="s">
        <v>785</v>
      </c>
      <c r="H66" s="17" t="s">
        <v>929</v>
      </c>
      <c r="I66" s="14"/>
      <c r="J66" s="14"/>
      <c r="K66" s="14"/>
      <c r="L66" s="16"/>
      <c r="M66" s="26">
        <f>IFERROR(VLOOKUP(tblRiskRegister322[[#This Row],[Asset Class]],tblVCDBIndex[],4,FALSE),"")</f>
        <v>1</v>
      </c>
      <c r="N66" s="26" t="str">
        <f>IFERROR(VLOOKUP(10*tblRiskRegister322[[#This Row],[Safeguard Maturity Score]]+tblRiskRegister322[[#This Row],[VCDB Index]],tblHITIndexWeightTable[],4,FALSE),"")</f>
        <v/>
      </c>
      <c r="O66" s="26">
        <f>VLOOKUP(tblRiskRegister322[[#This Row],[Asset Class]],tblInherentImpacts3046[],2,FALSE)</f>
        <v>2</v>
      </c>
      <c r="P66" s="26">
        <f>VLOOKUP(tblRiskRegister322[[#This Row],[Asset Class]],tblInherentImpacts3046[],3,FALSE)</f>
        <v>1</v>
      </c>
      <c r="Q66" s="26">
        <f>VLOOKUP(tblRiskRegister322[[#This Row],[Asset Class]],tblInherentImpacts3046[],4,FALSE)</f>
        <v>3</v>
      </c>
      <c r="R66" s="26">
        <f>VLOOKUP(tblRiskRegister322[[#This Row],[Asset Class]],tblInherentImpacts3046[],5,FALSE)</f>
        <v>3</v>
      </c>
      <c r="S66" s="26" t="str">
        <f>IFERROR(MAX(tblRiskRegister322[[#This Row],[Impact to Mission]:[Impact to Obligations]])*tblRiskRegister322[[#This Row],[Expectancy Score]],"")</f>
        <v/>
      </c>
      <c r="T66" s="29" t="str">
        <f>tblRiskRegister322[[#This Row],[Risk Score]]</f>
        <v/>
      </c>
      <c r="U66" s="17"/>
      <c r="V66" s="112">
        <v>8.8000000000000007</v>
      </c>
      <c r="W66" s="44" t="s">
        <v>255</v>
      </c>
      <c r="X66" s="44" t="s">
        <v>475</v>
      </c>
      <c r="Y66" s="30"/>
      <c r="Z66" s="16"/>
      <c r="AA66" s="25" t="str">
        <f>IFERROR(VLOOKUP(10*tblRiskRegister322[[#This Row],[Risk Treatment Safeguard Maturity Score]]+tblRiskRegister322[[#This Row],[VCDB Index]],tblHITIndexWeightTable[],4,FALSE),"")</f>
        <v/>
      </c>
      <c r="AB66" s="136"/>
      <c r="AC66" s="136"/>
      <c r="AD66" s="136"/>
      <c r="AE66" s="136"/>
      <c r="AF66" s="25" t="str">
        <f>IFERROR(MAX(tblRiskRegister322[[#This Row],[Risk Treatment Safeguard Impact to Mission]:[Risk Treatment Safeguard Impact to Obligations]])*tblRiskRegister322[[#This Row],[Risk Treatment
Safeguard Expectancy Score]],"")</f>
        <v/>
      </c>
      <c r="AG66" s="27" t="str">
        <f>IF(tblRiskRegister322[[#This Row],[Risk Score]]&gt;AcceptableRisk1,IF(tblRiskRegister322[[#This Row],[Risk Treatment Safeguard Risk Score]]&lt;AcceptableRisk1, IF(tblRiskRegister322[[#This Row],[Risk Treatment Safeguard Risk Score]]&lt;=tblRiskRegister322[[#This Row],[Risk Score]],"Yes","No"),"No"),"Yes")</f>
        <v>No</v>
      </c>
      <c r="AH66" s="18"/>
      <c r="AI66" s="18"/>
      <c r="AJ66" s="19"/>
    </row>
    <row r="67" spans="2:36" ht="25.5" x14ac:dyDescent="0.2">
      <c r="B67" s="44" t="s">
        <v>131</v>
      </c>
      <c r="C67" s="44"/>
      <c r="D67" s="13">
        <v>10.1</v>
      </c>
      <c r="E67" s="14" t="s">
        <v>110</v>
      </c>
      <c r="F67" s="17" t="s">
        <v>785</v>
      </c>
      <c r="G67" s="17" t="s">
        <v>785</v>
      </c>
      <c r="H67" s="17" t="s">
        <v>928</v>
      </c>
      <c r="I67" s="14"/>
      <c r="J67" s="14"/>
      <c r="K67" s="14"/>
      <c r="L67" s="16"/>
      <c r="M67" s="26">
        <f>IFERROR(VLOOKUP(tblRiskRegister322[[#This Row],[Asset Class]],tblVCDBIndex[],4,FALSE),"")</f>
        <v>1</v>
      </c>
      <c r="N67" s="26" t="str">
        <f>IFERROR(VLOOKUP(10*tblRiskRegister322[[#This Row],[Safeguard Maturity Score]]+tblRiskRegister322[[#This Row],[VCDB Index]],tblHITIndexWeightTable[],4,FALSE),"")</f>
        <v/>
      </c>
      <c r="O67" s="26">
        <f>VLOOKUP(tblRiskRegister322[[#This Row],[Asset Class]],tblInherentImpacts3046[],2,FALSE)</f>
        <v>2</v>
      </c>
      <c r="P67" s="26">
        <f>VLOOKUP(tblRiskRegister322[[#This Row],[Asset Class]],tblInherentImpacts3046[],3,FALSE)</f>
        <v>1</v>
      </c>
      <c r="Q67" s="26">
        <f>VLOOKUP(tblRiskRegister322[[#This Row],[Asset Class]],tblInherentImpacts3046[],4,FALSE)</f>
        <v>3</v>
      </c>
      <c r="R67" s="26">
        <f>VLOOKUP(tblRiskRegister322[[#This Row],[Asset Class]],tblInherentImpacts3046[],5,FALSE)</f>
        <v>3</v>
      </c>
      <c r="S67" s="26" t="str">
        <f>IFERROR(MAX(tblRiskRegister322[[#This Row],[Impact to Mission]:[Impact to Obligations]])*tblRiskRegister322[[#This Row],[Expectancy Score]],"")</f>
        <v/>
      </c>
      <c r="T67" s="29" t="str">
        <f>tblRiskRegister322[[#This Row],[Risk Score]]</f>
        <v/>
      </c>
      <c r="U67" s="17"/>
      <c r="V67" s="112">
        <v>10.1</v>
      </c>
      <c r="W67" s="44" t="s">
        <v>110</v>
      </c>
      <c r="X67" s="44" t="s">
        <v>485</v>
      </c>
      <c r="Y67" s="30"/>
      <c r="Z67" s="16"/>
      <c r="AA67" s="25" t="str">
        <f>IFERROR(VLOOKUP(10*tblRiskRegister322[[#This Row],[Risk Treatment Safeguard Maturity Score]]+tblRiskRegister322[[#This Row],[VCDB Index]],tblHITIndexWeightTable[],4,FALSE),"")</f>
        <v/>
      </c>
      <c r="AB67" s="136"/>
      <c r="AC67" s="136"/>
      <c r="AD67" s="136"/>
      <c r="AE67" s="136"/>
      <c r="AF67" s="25" t="str">
        <f>IFERROR(MAX(tblRiskRegister322[[#This Row],[Risk Treatment Safeguard Impact to Mission]:[Risk Treatment Safeguard Impact to Obligations]])*tblRiskRegister322[[#This Row],[Risk Treatment
Safeguard Expectancy Score]],"")</f>
        <v/>
      </c>
      <c r="AG67" s="27" t="str">
        <f>IF(tblRiskRegister322[[#This Row],[Risk Score]]&gt;AcceptableRisk1,IF(tblRiskRegister322[[#This Row],[Risk Treatment Safeguard Risk Score]]&lt;AcceptableRisk1, IF(tblRiskRegister322[[#This Row],[Risk Treatment Safeguard Risk Score]]&lt;=tblRiskRegister322[[#This Row],[Risk Score]],"Yes","No"),"No"),"Yes")</f>
        <v>No</v>
      </c>
      <c r="AH67" s="18"/>
      <c r="AI67" s="18"/>
      <c r="AJ67" s="19"/>
    </row>
    <row r="68" spans="2:36" ht="25.5" x14ac:dyDescent="0.2">
      <c r="B68" s="44" t="s">
        <v>131</v>
      </c>
      <c r="C68" s="44"/>
      <c r="D68" s="13">
        <v>10.199999999999999</v>
      </c>
      <c r="E68" s="14" t="s">
        <v>111</v>
      </c>
      <c r="F68" s="17" t="s">
        <v>785</v>
      </c>
      <c r="G68" s="17" t="s">
        <v>785</v>
      </c>
      <c r="H68" s="17" t="s">
        <v>928</v>
      </c>
      <c r="I68" s="14"/>
      <c r="J68" s="14"/>
      <c r="K68" s="14"/>
      <c r="L68" s="16"/>
      <c r="M68" s="26">
        <f>IFERROR(VLOOKUP(tblRiskRegister322[[#This Row],[Asset Class]],tblVCDBIndex[],4,FALSE),"")</f>
        <v>1</v>
      </c>
      <c r="N68" s="26" t="str">
        <f>IFERROR(VLOOKUP(10*tblRiskRegister322[[#This Row],[Safeguard Maturity Score]]+tblRiskRegister322[[#This Row],[VCDB Index]],tblHITIndexWeightTable[],4,FALSE),"")</f>
        <v/>
      </c>
      <c r="O68" s="26">
        <f>VLOOKUP(tblRiskRegister322[[#This Row],[Asset Class]],tblInherentImpacts3046[],2,FALSE)</f>
        <v>2</v>
      </c>
      <c r="P68" s="26">
        <f>VLOOKUP(tblRiskRegister322[[#This Row],[Asset Class]],tblInherentImpacts3046[],3,FALSE)</f>
        <v>1</v>
      </c>
      <c r="Q68" s="26">
        <f>VLOOKUP(tblRiskRegister322[[#This Row],[Asset Class]],tblInherentImpacts3046[],4,FALSE)</f>
        <v>3</v>
      </c>
      <c r="R68" s="26">
        <f>VLOOKUP(tblRiskRegister322[[#This Row],[Asset Class]],tblInherentImpacts3046[],5,FALSE)</f>
        <v>3</v>
      </c>
      <c r="S68" s="26" t="str">
        <f>IFERROR(MAX(tblRiskRegister322[[#This Row],[Impact to Mission]:[Impact to Obligations]])*tblRiskRegister322[[#This Row],[Expectancy Score]],"")</f>
        <v/>
      </c>
      <c r="T68" s="29" t="str">
        <f>tblRiskRegister322[[#This Row],[Risk Score]]</f>
        <v/>
      </c>
      <c r="U68" s="17"/>
      <c r="V68" s="112">
        <v>10.199999999999999</v>
      </c>
      <c r="W68" s="44" t="s">
        <v>111</v>
      </c>
      <c r="X68" s="44" t="s">
        <v>486</v>
      </c>
      <c r="Y68" s="30"/>
      <c r="Z68" s="16"/>
      <c r="AA68" s="25" t="str">
        <f>IFERROR(VLOOKUP(10*tblRiskRegister322[[#This Row],[Risk Treatment Safeguard Maturity Score]]+tblRiskRegister322[[#This Row],[VCDB Index]],tblHITIndexWeightTable[],4,FALSE),"")</f>
        <v/>
      </c>
      <c r="AB68" s="136"/>
      <c r="AC68" s="136"/>
      <c r="AD68" s="136"/>
      <c r="AE68" s="136"/>
      <c r="AF68" s="25" t="str">
        <f>IFERROR(MAX(tblRiskRegister322[[#This Row],[Risk Treatment Safeguard Impact to Mission]:[Risk Treatment Safeguard Impact to Obligations]])*tblRiskRegister322[[#This Row],[Risk Treatment
Safeguard Expectancy Score]],"")</f>
        <v/>
      </c>
      <c r="AG68" s="27" t="str">
        <f>IF(tblRiskRegister322[[#This Row],[Risk Score]]&gt;AcceptableRisk1,IF(tblRiskRegister322[[#This Row],[Risk Treatment Safeguard Risk Score]]&lt;AcceptableRisk1, IF(tblRiskRegister322[[#This Row],[Risk Treatment Safeguard Risk Score]]&lt;=tblRiskRegister322[[#This Row],[Risk Score]],"Yes","No"),"No"),"Yes")</f>
        <v>No</v>
      </c>
      <c r="AH68" s="18"/>
      <c r="AI68" s="18"/>
      <c r="AJ68" s="19"/>
    </row>
    <row r="69" spans="2:36" ht="25.5" x14ac:dyDescent="0.2">
      <c r="B69" s="44" t="s">
        <v>131</v>
      </c>
      <c r="C69" s="44"/>
      <c r="D69" s="13">
        <v>10.3</v>
      </c>
      <c r="E69" s="14" t="s">
        <v>112</v>
      </c>
      <c r="F69" s="17" t="s">
        <v>785</v>
      </c>
      <c r="G69" s="17" t="s">
        <v>785</v>
      </c>
      <c r="H69" s="17" t="s">
        <v>928</v>
      </c>
      <c r="I69" s="14"/>
      <c r="J69" s="14"/>
      <c r="K69" s="14"/>
      <c r="L69" s="16"/>
      <c r="M69" s="26">
        <f>IFERROR(VLOOKUP(tblRiskRegister322[[#This Row],[Asset Class]],tblVCDBIndex[],4,FALSE),"")</f>
        <v>1</v>
      </c>
      <c r="N69" s="26" t="str">
        <f>IFERROR(VLOOKUP(10*tblRiskRegister322[[#This Row],[Safeguard Maturity Score]]+tblRiskRegister322[[#This Row],[VCDB Index]],tblHITIndexWeightTable[],4,FALSE),"")</f>
        <v/>
      </c>
      <c r="O69" s="26">
        <f>VLOOKUP(tblRiskRegister322[[#This Row],[Asset Class]],tblInherentImpacts3046[],2,FALSE)</f>
        <v>2</v>
      </c>
      <c r="P69" s="26">
        <f>VLOOKUP(tblRiskRegister322[[#This Row],[Asset Class]],tblInherentImpacts3046[],3,FALSE)</f>
        <v>1</v>
      </c>
      <c r="Q69" s="26">
        <f>VLOOKUP(tblRiskRegister322[[#This Row],[Asset Class]],tblInherentImpacts3046[],4,FALSE)</f>
        <v>3</v>
      </c>
      <c r="R69" s="26">
        <f>VLOOKUP(tblRiskRegister322[[#This Row],[Asset Class]],tblInherentImpacts3046[],5,FALSE)</f>
        <v>3</v>
      </c>
      <c r="S69" s="26" t="str">
        <f>IFERROR(MAX(tblRiskRegister322[[#This Row],[Impact to Mission]:[Impact to Obligations]])*tblRiskRegister322[[#This Row],[Expectancy Score]],"")</f>
        <v/>
      </c>
      <c r="T69" s="29" t="str">
        <f>tblRiskRegister322[[#This Row],[Risk Score]]</f>
        <v/>
      </c>
      <c r="U69" s="17"/>
      <c r="V69" s="112">
        <v>10.3</v>
      </c>
      <c r="W69" s="44" t="s">
        <v>112</v>
      </c>
      <c r="X69" s="44" t="s">
        <v>487</v>
      </c>
      <c r="Y69" s="30"/>
      <c r="Z69" s="16"/>
      <c r="AA69" s="25" t="str">
        <f>IFERROR(VLOOKUP(10*tblRiskRegister322[[#This Row],[Risk Treatment Safeguard Maturity Score]]+tblRiskRegister322[[#This Row],[VCDB Index]],tblHITIndexWeightTable[],4,FALSE),"")</f>
        <v/>
      </c>
      <c r="AB69" s="136"/>
      <c r="AC69" s="136"/>
      <c r="AD69" s="136"/>
      <c r="AE69" s="136"/>
      <c r="AF69" s="25" t="str">
        <f>IFERROR(MAX(tblRiskRegister322[[#This Row],[Risk Treatment Safeguard Impact to Mission]:[Risk Treatment Safeguard Impact to Obligations]])*tblRiskRegister322[[#This Row],[Risk Treatment
Safeguard Expectancy Score]],"")</f>
        <v/>
      </c>
      <c r="AG69" s="27" t="str">
        <f>IF(tblRiskRegister322[[#This Row],[Risk Score]]&gt;AcceptableRisk1,IF(tblRiskRegister322[[#This Row],[Risk Treatment Safeguard Risk Score]]&lt;AcceptableRisk1, IF(tblRiskRegister322[[#This Row],[Risk Treatment Safeguard Risk Score]]&lt;=tblRiskRegister322[[#This Row],[Risk Score]],"Yes","No"),"No"),"Yes")</f>
        <v>No</v>
      </c>
      <c r="AH69" s="18"/>
      <c r="AI69" s="18"/>
      <c r="AJ69" s="19"/>
    </row>
    <row r="70" spans="2:36" ht="25.5" x14ac:dyDescent="0.2">
      <c r="B70" s="44" t="s">
        <v>131</v>
      </c>
      <c r="C70" s="44"/>
      <c r="D70" s="13">
        <v>10.4</v>
      </c>
      <c r="E70" s="14" t="s">
        <v>256</v>
      </c>
      <c r="F70" s="17"/>
      <c r="G70" s="17" t="s">
        <v>785</v>
      </c>
      <c r="H70" s="17" t="s">
        <v>929</v>
      </c>
      <c r="I70" s="14"/>
      <c r="J70" s="14"/>
      <c r="K70" s="14"/>
      <c r="L70" s="16"/>
      <c r="M70" s="26">
        <f>IFERROR(VLOOKUP(tblRiskRegister322[[#This Row],[Asset Class]],tblVCDBIndex[],4,FALSE),"")</f>
        <v>1</v>
      </c>
      <c r="N70" s="26" t="str">
        <f>IFERROR(VLOOKUP(10*tblRiskRegister322[[#This Row],[Safeguard Maturity Score]]+tblRiskRegister322[[#This Row],[VCDB Index]],tblHITIndexWeightTable[],4,FALSE),"")</f>
        <v/>
      </c>
      <c r="O70" s="26">
        <f>VLOOKUP(tblRiskRegister322[[#This Row],[Asset Class]],tblInherentImpacts3046[],2,FALSE)</f>
        <v>2</v>
      </c>
      <c r="P70" s="26">
        <f>VLOOKUP(tblRiskRegister322[[#This Row],[Asset Class]],tblInherentImpacts3046[],3,FALSE)</f>
        <v>1</v>
      </c>
      <c r="Q70" s="26">
        <f>VLOOKUP(tblRiskRegister322[[#This Row],[Asset Class]],tblInherentImpacts3046[],4,FALSE)</f>
        <v>3</v>
      </c>
      <c r="R70" s="26">
        <f>VLOOKUP(tblRiskRegister322[[#This Row],[Asset Class]],tblInherentImpacts3046[],5,FALSE)</f>
        <v>3</v>
      </c>
      <c r="S70" s="26" t="str">
        <f>IFERROR(MAX(tblRiskRegister322[[#This Row],[Impact to Mission]:[Impact to Obligations]])*tblRiskRegister322[[#This Row],[Expectancy Score]],"")</f>
        <v/>
      </c>
      <c r="T70" s="29" t="str">
        <f>tblRiskRegister322[[#This Row],[Risk Score]]</f>
        <v/>
      </c>
      <c r="U70" s="17"/>
      <c r="V70" s="112">
        <v>10.4</v>
      </c>
      <c r="W70" s="44" t="s">
        <v>256</v>
      </c>
      <c r="X70" s="44" t="s">
        <v>488</v>
      </c>
      <c r="Y70" s="30"/>
      <c r="Z70" s="16"/>
      <c r="AA70" s="25" t="str">
        <f>IFERROR(VLOOKUP(10*tblRiskRegister322[[#This Row],[Risk Treatment Safeguard Maturity Score]]+tblRiskRegister322[[#This Row],[VCDB Index]],tblHITIndexWeightTable[],4,FALSE),"")</f>
        <v/>
      </c>
      <c r="AB70" s="136"/>
      <c r="AC70" s="136"/>
      <c r="AD70" s="136"/>
      <c r="AE70" s="136"/>
      <c r="AF70" s="25" t="str">
        <f>IFERROR(MAX(tblRiskRegister322[[#This Row],[Risk Treatment Safeguard Impact to Mission]:[Risk Treatment Safeguard Impact to Obligations]])*tblRiskRegister322[[#This Row],[Risk Treatment
Safeguard Expectancy Score]],"")</f>
        <v/>
      </c>
      <c r="AG70" s="27" t="str">
        <f>IF(tblRiskRegister322[[#This Row],[Risk Score]]&gt;AcceptableRisk1,IF(tblRiskRegister322[[#This Row],[Risk Treatment Safeguard Risk Score]]&lt;AcceptableRisk1, IF(tblRiskRegister322[[#This Row],[Risk Treatment Safeguard Risk Score]]&lt;=tblRiskRegister322[[#This Row],[Risk Score]],"Yes","No"),"No"),"Yes")</f>
        <v>No</v>
      </c>
      <c r="AH70" s="18"/>
      <c r="AI70" s="18"/>
      <c r="AJ70" s="19"/>
    </row>
    <row r="71" spans="2:36" ht="38.25" x14ac:dyDescent="0.2">
      <c r="B71" s="44" t="s">
        <v>131</v>
      </c>
      <c r="C71" s="44"/>
      <c r="D71" s="13">
        <v>10.5</v>
      </c>
      <c r="E71" s="14" t="s">
        <v>257</v>
      </c>
      <c r="F71" s="17"/>
      <c r="G71" s="17" t="s">
        <v>785</v>
      </c>
      <c r="H71" s="17" t="s">
        <v>928</v>
      </c>
      <c r="I71" s="14"/>
      <c r="J71" s="14"/>
      <c r="K71" s="14"/>
      <c r="L71" s="16"/>
      <c r="M71" s="26">
        <f>IFERROR(VLOOKUP(tblRiskRegister322[[#This Row],[Asset Class]],tblVCDBIndex[],4,FALSE),"")</f>
        <v>1</v>
      </c>
      <c r="N71" s="26" t="str">
        <f>IFERROR(VLOOKUP(10*tblRiskRegister322[[#This Row],[Safeguard Maturity Score]]+tblRiskRegister322[[#This Row],[VCDB Index]],tblHITIndexWeightTable[],4,FALSE),"")</f>
        <v/>
      </c>
      <c r="O71" s="26">
        <f>VLOOKUP(tblRiskRegister322[[#This Row],[Asset Class]],tblInherentImpacts3046[],2,FALSE)</f>
        <v>2</v>
      </c>
      <c r="P71" s="26">
        <f>VLOOKUP(tblRiskRegister322[[#This Row],[Asset Class]],tblInherentImpacts3046[],3,FALSE)</f>
        <v>1</v>
      </c>
      <c r="Q71" s="26">
        <f>VLOOKUP(tblRiskRegister322[[#This Row],[Asset Class]],tblInherentImpacts3046[],4,FALSE)</f>
        <v>3</v>
      </c>
      <c r="R71" s="26">
        <f>VLOOKUP(tblRiskRegister322[[#This Row],[Asset Class]],tblInherentImpacts3046[],5,FALSE)</f>
        <v>3</v>
      </c>
      <c r="S71" s="26" t="str">
        <f>IFERROR(MAX(tblRiskRegister322[[#This Row],[Impact to Mission]:[Impact to Obligations]])*tblRiskRegister322[[#This Row],[Expectancy Score]],"")</f>
        <v/>
      </c>
      <c r="T71" s="29" t="str">
        <f>tblRiskRegister322[[#This Row],[Risk Score]]</f>
        <v/>
      </c>
      <c r="U71" s="17"/>
      <c r="V71" s="112">
        <v>10.5</v>
      </c>
      <c r="W71" s="44" t="s">
        <v>257</v>
      </c>
      <c r="X71" s="44" t="s">
        <v>489</v>
      </c>
      <c r="Y71" s="30"/>
      <c r="Z71" s="16"/>
      <c r="AA71" s="25" t="str">
        <f>IFERROR(VLOOKUP(10*tblRiskRegister322[[#This Row],[Risk Treatment Safeguard Maturity Score]]+tblRiskRegister322[[#This Row],[VCDB Index]],tblHITIndexWeightTable[],4,FALSE),"")</f>
        <v/>
      </c>
      <c r="AB71" s="136"/>
      <c r="AC71" s="136"/>
      <c r="AD71" s="136"/>
      <c r="AE71" s="136"/>
      <c r="AF71" s="25" t="str">
        <f>IFERROR(MAX(tblRiskRegister322[[#This Row],[Risk Treatment Safeguard Impact to Mission]:[Risk Treatment Safeguard Impact to Obligations]])*tblRiskRegister322[[#This Row],[Risk Treatment
Safeguard Expectancy Score]],"")</f>
        <v/>
      </c>
      <c r="AG71" s="27" t="str">
        <f>IF(tblRiskRegister322[[#This Row],[Risk Score]]&gt;AcceptableRisk1,IF(tblRiskRegister322[[#This Row],[Risk Treatment Safeguard Risk Score]]&lt;AcceptableRisk1, IF(tblRiskRegister322[[#This Row],[Risk Treatment Safeguard Risk Score]]&lt;=tblRiskRegister322[[#This Row],[Risk Score]],"Yes","No"),"No"),"Yes")</f>
        <v>No</v>
      </c>
      <c r="AH71" s="18"/>
      <c r="AI71" s="18"/>
      <c r="AJ71" s="19"/>
    </row>
    <row r="72" spans="2:36" ht="25.5" x14ac:dyDescent="0.2">
      <c r="B72" s="44" t="s">
        <v>131</v>
      </c>
      <c r="C72" s="44"/>
      <c r="D72" s="13">
        <v>10.6</v>
      </c>
      <c r="E72" s="14" t="s">
        <v>258</v>
      </c>
      <c r="F72" s="17"/>
      <c r="G72" s="17" t="s">
        <v>785</v>
      </c>
      <c r="H72" s="17" t="s">
        <v>928</v>
      </c>
      <c r="I72" s="14"/>
      <c r="J72" s="14"/>
      <c r="K72" s="14"/>
      <c r="L72" s="16"/>
      <c r="M72" s="26">
        <f>IFERROR(VLOOKUP(tblRiskRegister322[[#This Row],[Asset Class]],tblVCDBIndex[],4,FALSE),"")</f>
        <v>1</v>
      </c>
      <c r="N72" s="26" t="str">
        <f>IFERROR(VLOOKUP(10*tblRiskRegister322[[#This Row],[Safeguard Maturity Score]]+tblRiskRegister322[[#This Row],[VCDB Index]],tblHITIndexWeightTable[],4,FALSE),"")</f>
        <v/>
      </c>
      <c r="O72" s="26">
        <f>VLOOKUP(tblRiskRegister322[[#This Row],[Asset Class]],tblInherentImpacts3046[],2,FALSE)</f>
        <v>2</v>
      </c>
      <c r="P72" s="26">
        <f>VLOOKUP(tblRiskRegister322[[#This Row],[Asset Class]],tblInherentImpacts3046[],3,FALSE)</f>
        <v>1</v>
      </c>
      <c r="Q72" s="26">
        <f>VLOOKUP(tblRiskRegister322[[#This Row],[Asset Class]],tblInherentImpacts3046[],4,FALSE)</f>
        <v>3</v>
      </c>
      <c r="R72" s="26">
        <f>VLOOKUP(tblRiskRegister322[[#This Row],[Asset Class]],tblInherentImpacts3046[],5,FALSE)</f>
        <v>3</v>
      </c>
      <c r="S72" s="26" t="str">
        <f>IFERROR(MAX(tblRiskRegister322[[#This Row],[Impact to Mission]:[Impact to Obligations]])*tblRiskRegister322[[#This Row],[Expectancy Score]],"")</f>
        <v/>
      </c>
      <c r="T72" s="29" t="str">
        <f>tblRiskRegister322[[#This Row],[Risk Score]]</f>
        <v/>
      </c>
      <c r="U72" s="17"/>
      <c r="V72" s="112">
        <v>10.6</v>
      </c>
      <c r="W72" s="44" t="s">
        <v>258</v>
      </c>
      <c r="X72" s="44" t="s">
        <v>490</v>
      </c>
      <c r="Y72" s="30"/>
      <c r="Z72" s="16"/>
      <c r="AA72" s="25" t="str">
        <f>IFERROR(VLOOKUP(10*tblRiskRegister322[[#This Row],[Risk Treatment Safeguard Maturity Score]]+tblRiskRegister322[[#This Row],[VCDB Index]],tblHITIndexWeightTable[],4,FALSE),"")</f>
        <v/>
      </c>
      <c r="AB72" s="136"/>
      <c r="AC72" s="136"/>
      <c r="AD72" s="136"/>
      <c r="AE72" s="136"/>
      <c r="AF72" s="25" t="str">
        <f>IFERROR(MAX(tblRiskRegister322[[#This Row],[Risk Treatment Safeguard Impact to Mission]:[Risk Treatment Safeguard Impact to Obligations]])*tblRiskRegister322[[#This Row],[Risk Treatment
Safeguard Expectancy Score]],"")</f>
        <v/>
      </c>
      <c r="AG72" s="27" t="str">
        <f>IF(tblRiskRegister322[[#This Row],[Risk Score]]&gt;AcceptableRisk1,IF(tblRiskRegister322[[#This Row],[Risk Treatment Safeguard Risk Score]]&lt;AcceptableRisk1, IF(tblRiskRegister322[[#This Row],[Risk Treatment Safeguard Risk Score]]&lt;=tblRiskRegister322[[#This Row],[Risk Score]],"Yes","No"),"No"),"Yes")</f>
        <v>No</v>
      </c>
      <c r="AH72" s="18"/>
      <c r="AI72" s="18"/>
      <c r="AJ72" s="19"/>
    </row>
    <row r="73" spans="2:36" ht="25.5" x14ac:dyDescent="0.2">
      <c r="B73" s="44" t="s">
        <v>131</v>
      </c>
      <c r="C73" s="44"/>
      <c r="D73" s="13">
        <v>10.7</v>
      </c>
      <c r="E73" s="14" t="s">
        <v>259</v>
      </c>
      <c r="F73" s="17"/>
      <c r="G73" s="17" t="s">
        <v>785</v>
      </c>
      <c r="H73" s="17" t="s">
        <v>929</v>
      </c>
      <c r="I73" s="14"/>
      <c r="J73" s="14"/>
      <c r="K73" s="14"/>
      <c r="L73" s="16"/>
      <c r="M73" s="26">
        <f>IFERROR(VLOOKUP(tblRiskRegister322[[#This Row],[Asset Class]],tblVCDBIndex[],4,FALSE),"")</f>
        <v>1</v>
      </c>
      <c r="N73" s="26" t="str">
        <f>IFERROR(VLOOKUP(10*tblRiskRegister322[[#This Row],[Safeguard Maturity Score]]+tblRiskRegister322[[#This Row],[VCDB Index]],tblHITIndexWeightTable[],4,FALSE),"")</f>
        <v/>
      </c>
      <c r="O73" s="26">
        <f>VLOOKUP(tblRiskRegister322[[#This Row],[Asset Class]],tblInherentImpacts3046[],2,FALSE)</f>
        <v>2</v>
      </c>
      <c r="P73" s="26">
        <f>VLOOKUP(tblRiskRegister322[[#This Row],[Asset Class]],tblInherentImpacts3046[],3,FALSE)</f>
        <v>1</v>
      </c>
      <c r="Q73" s="26">
        <f>VLOOKUP(tblRiskRegister322[[#This Row],[Asset Class]],tblInherentImpacts3046[],4,FALSE)</f>
        <v>3</v>
      </c>
      <c r="R73" s="26">
        <f>VLOOKUP(tblRiskRegister322[[#This Row],[Asset Class]],tblInherentImpacts3046[],5,FALSE)</f>
        <v>3</v>
      </c>
      <c r="S73" s="26" t="str">
        <f>IFERROR(MAX(tblRiskRegister322[[#This Row],[Impact to Mission]:[Impact to Obligations]])*tblRiskRegister322[[#This Row],[Expectancy Score]],"")</f>
        <v/>
      </c>
      <c r="T73" s="29" t="str">
        <f>tblRiskRegister322[[#This Row],[Risk Score]]</f>
        <v/>
      </c>
      <c r="U73" s="17"/>
      <c r="V73" s="112">
        <v>10.7</v>
      </c>
      <c r="W73" s="44" t="s">
        <v>259</v>
      </c>
      <c r="X73" s="44" t="s">
        <v>491</v>
      </c>
      <c r="Y73" s="30"/>
      <c r="Z73" s="16"/>
      <c r="AA73" s="25" t="str">
        <f>IFERROR(VLOOKUP(10*tblRiskRegister322[[#This Row],[Risk Treatment Safeguard Maturity Score]]+tblRiskRegister322[[#This Row],[VCDB Index]],tblHITIndexWeightTable[],4,FALSE),"")</f>
        <v/>
      </c>
      <c r="AB73" s="136"/>
      <c r="AC73" s="136"/>
      <c r="AD73" s="136"/>
      <c r="AE73" s="136"/>
      <c r="AF73" s="25" t="str">
        <f>IFERROR(MAX(tblRiskRegister322[[#This Row],[Risk Treatment Safeguard Impact to Mission]:[Risk Treatment Safeguard Impact to Obligations]])*tblRiskRegister322[[#This Row],[Risk Treatment
Safeguard Expectancy Score]],"")</f>
        <v/>
      </c>
      <c r="AG73" s="27" t="str">
        <f>IF(tblRiskRegister322[[#This Row],[Risk Score]]&gt;AcceptableRisk1,IF(tblRiskRegister322[[#This Row],[Risk Treatment Safeguard Risk Score]]&lt;AcceptableRisk1, IF(tblRiskRegister322[[#This Row],[Risk Treatment Safeguard Risk Score]]&lt;=tblRiskRegister322[[#This Row],[Risk Score]],"Yes","No"),"No"),"Yes")</f>
        <v>No</v>
      </c>
      <c r="AH73" s="18"/>
      <c r="AI73" s="18"/>
      <c r="AJ73" s="19"/>
    </row>
    <row r="74" spans="2:36" ht="38.25" x14ac:dyDescent="0.2">
      <c r="B74" s="44" t="s">
        <v>131</v>
      </c>
      <c r="C74" s="44"/>
      <c r="D74" s="13">
        <v>12.7</v>
      </c>
      <c r="E74" s="14" t="s">
        <v>260</v>
      </c>
      <c r="F74" s="17"/>
      <c r="G74" s="17" t="s">
        <v>785</v>
      </c>
      <c r="H74" s="17" t="s">
        <v>928</v>
      </c>
      <c r="I74" s="14"/>
      <c r="J74" s="14"/>
      <c r="K74" s="14"/>
      <c r="L74" s="16"/>
      <c r="M74" s="26">
        <f>IFERROR(VLOOKUP(tblRiskRegister322[[#This Row],[Asset Class]],tblVCDBIndex[],4,FALSE),"")</f>
        <v>1</v>
      </c>
      <c r="N74" s="26" t="str">
        <f>IFERROR(VLOOKUP(10*tblRiskRegister322[[#This Row],[Safeguard Maturity Score]]+tblRiskRegister322[[#This Row],[VCDB Index]],tblHITIndexWeightTable[],4,FALSE),"")</f>
        <v/>
      </c>
      <c r="O74" s="26">
        <f>VLOOKUP(tblRiskRegister322[[#This Row],[Asset Class]],tblInherentImpacts3046[],2,FALSE)</f>
        <v>2</v>
      </c>
      <c r="P74" s="26">
        <f>VLOOKUP(tblRiskRegister322[[#This Row],[Asset Class]],tblInherentImpacts3046[],3,FALSE)</f>
        <v>1</v>
      </c>
      <c r="Q74" s="26">
        <f>VLOOKUP(tblRiskRegister322[[#This Row],[Asset Class]],tblInherentImpacts3046[],4,FALSE)</f>
        <v>3</v>
      </c>
      <c r="R74" s="26">
        <f>VLOOKUP(tblRiskRegister322[[#This Row],[Asset Class]],tblInherentImpacts3046[],5,FALSE)</f>
        <v>3</v>
      </c>
      <c r="S74" s="26" t="str">
        <f>IFERROR(MAX(tblRiskRegister322[[#This Row],[Impact to Mission]:[Impact to Obligations]])*tblRiskRegister322[[#This Row],[Expectancy Score]],"")</f>
        <v/>
      </c>
      <c r="T74" s="29" t="str">
        <f>tblRiskRegister322[[#This Row],[Risk Score]]</f>
        <v/>
      </c>
      <c r="U74" s="17"/>
      <c r="V74" s="112">
        <v>12.7</v>
      </c>
      <c r="W74" s="44" t="s">
        <v>260</v>
      </c>
      <c r="X74" s="44" t="s">
        <v>503</v>
      </c>
      <c r="Y74" s="30"/>
      <c r="Z74" s="16"/>
      <c r="AA74" s="25" t="str">
        <f>IFERROR(VLOOKUP(10*tblRiskRegister322[[#This Row],[Risk Treatment Safeguard Maturity Score]]+tblRiskRegister322[[#This Row],[VCDB Index]],tblHITIndexWeightTable[],4,FALSE),"")</f>
        <v/>
      </c>
      <c r="AB74" s="136"/>
      <c r="AC74" s="136"/>
      <c r="AD74" s="136"/>
      <c r="AE74" s="136"/>
      <c r="AF74" s="25" t="str">
        <f>IFERROR(MAX(tblRiskRegister322[[#This Row],[Risk Treatment Safeguard Impact to Mission]:[Risk Treatment Safeguard Impact to Obligations]])*tblRiskRegister322[[#This Row],[Risk Treatment
Safeguard Expectancy Score]],"")</f>
        <v/>
      </c>
      <c r="AG74" s="27" t="str">
        <f>IF(tblRiskRegister322[[#This Row],[Risk Score]]&gt;AcceptableRisk1,IF(tblRiskRegister322[[#This Row],[Risk Treatment Safeguard Risk Score]]&lt;AcceptableRisk1, IF(tblRiskRegister322[[#This Row],[Risk Treatment Safeguard Risk Score]]&lt;=tblRiskRegister322[[#This Row],[Risk Score]],"Yes","No"),"No"),"Yes")</f>
        <v>No</v>
      </c>
      <c r="AH74" s="18"/>
      <c r="AI74" s="18"/>
      <c r="AJ74" s="19"/>
    </row>
    <row r="75" spans="2:36" ht="25.5" x14ac:dyDescent="0.2">
      <c r="B75" s="44" t="s">
        <v>131</v>
      </c>
      <c r="C75" s="44"/>
      <c r="D75" s="13">
        <v>13.2</v>
      </c>
      <c r="E75" s="14" t="s">
        <v>261</v>
      </c>
      <c r="F75" s="17"/>
      <c r="G75" s="17" t="s">
        <v>785</v>
      </c>
      <c r="H75" s="17" t="s">
        <v>929</v>
      </c>
      <c r="I75" s="14"/>
      <c r="J75" s="14"/>
      <c r="K75" s="14"/>
      <c r="L75" s="16"/>
      <c r="M75" s="26">
        <f>IFERROR(VLOOKUP(tblRiskRegister322[[#This Row],[Asset Class]],tblVCDBIndex[],4,FALSE),"")</f>
        <v>1</v>
      </c>
      <c r="N75" s="26" t="str">
        <f>IFERROR(VLOOKUP(10*tblRiskRegister322[[#This Row],[Safeguard Maturity Score]]+tblRiskRegister322[[#This Row],[VCDB Index]],tblHITIndexWeightTable[],4,FALSE),"")</f>
        <v/>
      </c>
      <c r="O75" s="26">
        <f>VLOOKUP(tblRiskRegister322[[#This Row],[Asset Class]],tblInherentImpacts3046[],2,FALSE)</f>
        <v>2</v>
      </c>
      <c r="P75" s="26">
        <f>VLOOKUP(tblRiskRegister322[[#This Row],[Asset Class]],tblInherentImpacts3046[],3,FALSE)</f>
        <v>1</v>
      </c>
      <c r="Q75" s="26">
        <f>VLOOKUP(tblRiskRegister322[[#This Row],[Asset Class]],tblInherentImpacts3046[],4,FALSE)</f>
        <v>3</v>
      </c>
      <c r="R75" s="26">
        <f>VLOOKUP(tblRiskRegister322[[#This Row],[Asset Class]],tblInherentImpacts3046[],5,FALSE)</f>
        <v>3</v>
      </c>
      <c r="S75" s="26" t="str">
        <f>IFERROR(MAX(tblRiskRegister322[[#This Row],[Impact to Mission]:[Impact to Obligations]])*tblRiskRegister322[[#This Row],[Expectancy Score]],"")</f>
        <v/>
      </c>
      <c r="T75" s="29" t="str">
        <f>tblRiskRegister322[[#This Row],[Risk Score]]</f>
        <v/>
      </c>
      <c r="U75" s="17"/>
      <c r="V75" s="112">
        <v>13.2</v>
      </c>
      <c r="W75" s="44" t="s">
        <v>261</v>
      </c>
      <c r="X75" s="44" t="s">
        <v>505</v>
      </c>
      <c r="Y75" s="30"/>
      <c r="Z75" s="16"/>
      <c r="AA75" s="25" t="str">
        <f>IFERROR(VLOOKUP(10*tblRiskRegister322[[#This Row],[Risk Treatment Safeguard Maturity Score]]+tblRiskRegister322[[#This Row],[VCDB Index]],tblHITIndexWeightTable[],4,FALSE),"")</f>
        <v/>
      </c>
      <c r="AB75" s="136"/>
      <c r="AC75" s="136"/>
      <c r="AD75" s="136"/>
      <c r="AE75" s="136"/>
      <c r="AF75" s="25" t="str">
        <f>IFERROR(MAX(tblRiskRegister322[[#This Row],[Risk Treatment Safeguard Impact to Mission]:[Risk Treatment Safeguard Impact to Obligations]])*tblRiskRegister322[[#This Row],[Risk Treatment
Safeguard Expectancy Score]],"")</f>
        <v/>
      </c>
      <c r="AG75" s="27" t="str">
        <f>IF(tblRiskRegister322[[#This Row],[Risk Score]]&gt;AcceptableRisk1,IF(tblRiskRegister322[[#This Row],[Risk Treatment Safeguard Risk Score]]&lt;AcceptableRisk1, IF(tblRiskRegister322[[#This Row],[Risk Treatment Safeguard Risk Score]]&lt;=tblRiskRegister322[[#This Row],[Risk Score]],"Yes","No"),"No"),"Yes")</f>
        <v>No</v>
      </c>
      <c r="AH75" s="18"/>
      <c r="AI75" s="18"/>
      <c r="AJ75" s="19"/>
    </row>
    <row r="76" spans="2:36" ht="51" x14ac:dyDescent="0.2">
      <c r="B76" s="44" t="s">
        <v>131</v>
      </c>
      <c r="C76" s="44"/>
      <c r="D76" s="13">
        <v>13.5</v>
      </c>
      <c r="E76" s="14" t="s">
        <v>262</v>
      </c>
      <c r="F76" s="17"/>
      <c r="G76" s="17" t="s">
        <v>785</v>
      </c>
      <c r="H76" s="17" t="s">
        <v>928</v>
      </c>
      <c r="I76" s="14"/>
      <c r="J76" s="14"/>
      <c r="K76" s="14"/>
      <c r="L76" s="16"/>
      <c r="M76" s="26">
        <f>IFERROR(VLOOKUP(tblRiskRegister322[[#This Row],[Asset Class]],tblVCDBIndex[],4,FALSE),"")</f>
        <v>1</v>
      </c>
      <c r="N76" s="26" t="str">
        <f>IFERROR(VLOOKUP(10*tblRiskRegister322[[#This Row],[Safeguard Maturity Score]]+tblRiskRegister322[[#This Row],[VCDB Index]],tblHITIndexWeightTable[],4,FALSE),"")</f>
        <v/>
      </c>
      <c r="O76" s="26">
        <f>VLOOKUP(tblRiskRegister322[[#This Row],[Asset Class]],tblInherentImpacts3046[],2,FALSE)</f>
        <v>2</v>
      </c>
      <c r="P76" s="26">
        <f>VLOOKUP(tblRiskRegister322[[#This Row],[Asset Class]],tblInherentImpacts3046[],3,FALSE)</f>
        <v>1</v>
      </c>
      <c r="Q76" s="26">
        <f>VLOOKUP(tblRiskRegister322[[#This Row],[Asset Class]],tblInherentImpacts3046[],4,FALSE)</f>
        <v>3</v>
      </c>
      <c r="R76" s="26">
        <f>VLOOKUP(tblRiskRegister322[[#This Row],[Asset Class]],tblInherentImpacts3046[],5,FALSE)</f>
        <v>3</v>
      </c>
      <c r="S76" s="26" t="str">
        <f>IFERROR(MAX(tblRiskRegister322[[#This Row],[Impact to Mission]:[Impact to Obligations]])*tblRiskRegister322[[#This Row],[Expectancy Score]],"")</f>
        <v/>
      </c>
      <c r="T76" s="29" t="str">
        <f>tblRiskRegister322[[#This Row],[Risk Score]]</f>
        <v/>
      </c>
      <c r="U76" s="17"/>
      <c r="V76" s="112">
        <v>13.5</v>
      </c>
      <c r="W76" s="44" t="s">
        <v>262</v>
      </c>
      <c r="X76" s="44" t="s">
        <v>508</v>
      </c>
      <c r="Y76" s="30"/>
      <c r="Z76" s="16"/>
      <c r="AA76" s="25" t="str">
        <f>IFERROR(VLOOKUP(10*tblRiskRegister322[[#This Row],[Risk Treatment Safeguard Maturity Score]]+tblRiskRegister322[[#This Row],[VCDB Index]],tblHITIndexWeightTable[],4,FALSE),"")</f>
        <v/>
      </c>
      <c r="AB76" s="136"/>
      <c r="AC76" s="136"/>
      <c r="AD76" s="136"/>
      <c r="AE76" s="136"/>
      <c r="AF76" s="25" t="str">
        <f>IFERROR(MAX(tblRiskRegister322[[#This Row],[Risk Treatment Safeguard Impact to Mission]:[Risk Treatment Safeguard Impact to Obligations]])*tblRiskRegister322[[#This Row],[Risk Treatment
Safeguard Expectancy Score]],"")</f>
        <v/>
      </c>
      <c r="AG76" s="27" t="str">
        <f>IF(tblRiskRegister322[[#This Row],[Risk Score]]&gt;AcceptableRisk1,IF(tblRiskRegister322[[#This Row],[Risk Treatment Safeguard Risk Score]]&lt;AcceptableRisk1, IF(tblRiskRegister322[[#This Row],[Risk Treatment Safeguard Risk Score]]&lt;=tblRiskRegister322[[#This Row],[Risk Score]],"Yes","No"),"No"),"Yes")</f>
        <v>No</v>
      </c>
      <c r="AH76" s="18"/>
      <c r="AI76" s="18"/>
      <c r="AJ76" s="19"/>
    </row>
    <row r="77" spans="2:36" ht="63.75" x14ac:dyDescent="0.2">
      <c r="B77" s="44" t="s">
        <v>135</v>
      </c>
      <c r="C77" s="44"/>
      <c r="D77" s="13">
        <v>14.1</v>
      </c>
      <c r="E77" s="14" t="s">
        <v>118</v>
      </c>
      <c r="F77" s="17" t="s">
        <v>785</v>
      </c>
      <c r="G77" s="17" t="s">
        <v>785</v>
      </c>
      <c r="H77" s="17" t="s">
        <v>928</v>
      </c>
      <c r="I77" s="14"/>
      <c r="J77" s="14"/>
      <c r="K77" s="14"/>
      <c r="L77" s="16"/>
      <c r="M77" s="26">
        <f>IFERROR(VLOOKUP(tblRiskRegister322[[#This Row],[Asset Class]],tblVCDBIndex[],4,FALSE),"")</f>
        <v>3</v>
      </c>
      <c r="N77" s="26" t="str">
        <f>IFERROR(VLOOKUP(10*tblRiskRegister322[[#This Row],[Safeguard Maturity Score]]+tblRiskRegister322[[#This Row],[VCDB Index]],tblHITIndexWeightTable[],4,FALSE),"")</f>
        <v/>
      </c>
      <c r="O77" s="26">
        <f>VLOOKUP(tblRiskRegister322[[#This Row],[Asset Class]],tblInherentImpacts3046[],2,FALSE)</f>
        <v>4</v>
      </c>
      <c r="P77" s="26">
        <f>VLOOKUP(tblRiskRegister322[[#This Row],[Asset Class]],tblInherentImpacts3046[],3,FALSE)</f>
        <v>4</v>
      </c>
      <c r="Q77" s="26">
        <f>VLOOKUP(tblRiskRegister322[[#This Row],[Asset Class]],tblInherentImpacts3046[],4,FALSE)</f>
        <v>5</v>
      </c>
      <c r="R77" s="26">
        <f>VLOOKUP(tblRiskRegister322[[#This Row],[Asset Class]],tblInherentImpacts3046[],5,FALSE)</f>
        <v>5</v>
      </c>
      <c r="S77" s="26" t="str">
        <f>IFERROR(MAX(tblRiskRegister322[[#This Row],[Impact to Mission]:[Impact to Obligations]])*tblRiskRegister322[[#This Row],[Expectancy Score]],"")</f>
        <v/>
      </c>
      <c r="T77" s="29" t="str">
        <f>tblRiskRegister322[[#This Row],[Risk Score]]</f>
        <v/>
      </c>
      <c r="U77" s="17"/>
      <c r="V77" s="112">
        <v>14.1</v>
      </c>
      <c r="W77" s="44" t="s">
        <v>118</v>
      </c>
      <c r="X77" s="44" t="s">
        <v>510</v>
      </c>
      <c r="Y77" s="30"/>
      <c r="Z77" s="16"/>
      <c r="AA77" s="25" t="str">
        <f>IFERROR(VLOOKUP(10*tblRiskRegister322[[#This Row],[Risk Treatment Safeguard Maturity Score]]+tblRiskRegister322[[#This Row],[VCDB Index]],tblHITIndexWeightTable[],4,FALSE),"")</f>
        <v/>
      </c>
      <c r="AB77" s="136"/>
      <c r="AC77" s="136"/>
      <c r="AD77" s="136"/>
      <c r="AE77" s="136"/>
      <c r="AF77" s="25" t="str">
        <f>IFERROR(MAX(tblRiskRegister322[[#This Row],[Risk Treatment Safeguard Impact to Mission]:[Risk Treatment Safeguard Impact to Obligations]])*tblRiskRegister322[[#This Row],[Risk Treatment
Safeguard Expectancy Score]],"")</f>
        <v/>
      </c>
      <c r="AG77" s="27" t="str">
        <f>IF(tblRiskRegister322[[#This Row],[Risk Score]]&gt;AcceptableRisk1,IF(tblRiskRegister322[[#This Row],[Risk Treatment Safeguard Risk Score]]&lt;AcceptableRisk1, IF(tblRiskRegister322[[#This Row],[Risk Treatment Safeguard Risk Score]]&lt;=tblRiskRegister322[[#This Row],[Risk Score]],"Yes","No"),"No"),"Yes")</f>
        <v>No</v>
      </c>
      <c r="AH77" s="18"/>
      <c r="AI77" s="18"/>
      <c r="AJ77" s="19"/>
    </row>
    <row r="78" spans="2:36" ht="38.25" x14ac:dyDescent="0.2">
      <c r="B78" s="44" t="s">
        <v>135</v>
      </c>
      <c r="C78" s="44"/>
      <c r="D78" s="13">
        <v>14.2</v>
      </c>
      <c r="E78" s="14" t="s">
        <v>119</v>
      </c>
      <c r="F78" s="17" t="s">
        <v>785</v>
      </c>
      <c r="G78" s="17" t="s">
        <v>785</v>
      </c>
      <c r="H78" s="17" t="s">
        <v>928</v>
      </c>
      <c r="I78" s="14"/>
      <c r="J78" s="14"/>
      <c r="K78" s="14"/>
      <c r="L78" s="16"/>
      <c r="M78" s="26">
        <f>IFERROR(VLOOKUP(tblRiskRegister322[[#This Row],[Asset Class]],tblVCDBIndex[],4,FALSE),"")</f>
        <v>3</v>
      </c>
      <c r="N78" s="26" t="str">
        <f>IFERROR(VLOOKUP(10*tblRiskRegister322[[#This Row],[Safeguard Maturity Score]]+tblRiskRegister322[[#This Row],[VCDB Index]],tblHITIndexWeightTable[],4,FALSE),"")</f>
        <v/>
      </c>
      <c r="O78" s="26">
        <f>VLOOKUP(tblRiskRegister322[[#This Row],[Asset Class]],tblInherentImpacts3046[],2,FALSE)</f>
        <v>4</v>
      </c>
      <c r="P78" s="26">
        <f>VLOOKUP(tblRiskRegister322[[#This Row],[Asset Class]],tblInherentImpacts3046[],3,FALSE)</f>
        <v>4</v>
      </c>
      <c r="Q78" s="26">
        <f>VLOOKUP(tblRiskRegister322[[#This Row],[Asset Class]],tblInherentImpacts3046[],4,FALSE)</f>
        <v>5</v>
      </c>
      <c r="R78" s="26">
        <f>VLOOKUP(tblRiskRegister322[[#This Row],[Asset Class]],tblInherentImpacts3046[],5,FALSE)</f>
        <v>5</v>
      </c>
      <c r="S78" s="26" t="str">
        <f>IFERROR(MAX(tblRiskRegister322[[#This Row],[Impact to Mission]:[Impact to Obligations]])*tblRiskRegister322[[#This Row],[Expectancy Score]],"")</f>
        <v/>
      </c>
      <c r="T78" s="29" t="str">
        <f>tblRiskRegister322[[#This Row],[Risk Score]]</f>
        <v/>
      </c>
      <c r="U78" s="17"/>
      <c r="V78" s="112">
        <v>14.2</v>
      </c>
      <c r="W78" s="44" t="s">
        <v>119</v>
      </c>
      <c r="X78" s="44" t="s">
        <v>511</v>
      </c>
      <c r="Y78" s="30"/>
      <c r="Z78" s="16"/>
      <c r="AA78" s="25" t="str">
        <f>IFERROR(VLOOKUP(10*tblRiskRegister322[[#This Row],[Risk Treatment Safeguard Maturity Score]]+tblRiskRegister322[[#This Row],[VCDB Index]],tblHITIndexWeightTable[],4,FALSE),"")</f>
        <v/>
      </c>
      <c r="AB78" s="136"/>
      <c r="AC78" s="136"/>
      <c r="AD78" s="136"/>
      <c r="AE78" s="136"/>
      <c r="AF78" s="25" t="str">
        <f>IFERROR(MAX(tblRiskRegister322[[#This Row],[Risk Treatment Safeguard Impact to Mission]:[Risk Treatment Safeguard Impact to Obligations]])*tblRiskRegister322[[#This Row],[Risk Treatment
Safeguard Expectancy Score]],"")</f>
        <v/>
      </c>
      <c r="AG78" s="27" t="str">
        <f>IF(tblRiskRegister322[[#This Row],[Risk Score]]&gt;AcceptableRisk1,IF(tblRiskRegister322[[#This Row],[Risk Treatment Safeguard Risk Score]]&lt;AcceptableRisk1, IF(tblRiskRegister322[[#This Row],[Risk Treatment Safeguard Risk Score]]&lt;=tblRiskRegister322[[#This Row],[Risk Score]],"Yes","No"),"No"),"Yes")</f>
        <v>No</v>
      </c>
      <c r="AH78" s="18"/>
      <c r="AI78" s="18"/>
      <c r="AJ78" s="19"/>
    </row>
    <row r="79" spans="2:36" ht="25.5" x14ac:dyDescent="0.2">
      <c r="B79" s="44" t="s">
        <v>135</v>
      </c>
      <c r="C79" s="44"/>
      <c r="D79" s="13">
        <v>14.3</v>
      </c>
      <c r="E79" s="14" t="s">
        <v>120</v>
      </c>
      <c r="F79" s="17" t="s">
        <v>785</v>
      </c>
      <c r="G79" s="17" t="s">
        <v>785</v>
      </c>
      <c r="H79" s="17" t="s">
        <v>928</v>
      </c>
      <c r="I79" s="14"/>
      <c r="J79" s="14"/>
      <c r="K79" s="14"/>
      <c r="L79" s="16"/>
      <c r="M79" s="26">
        <f>IFERROR(VLOOKUP(tblRiskRegister322[[#This Row],[Asset Class]],tblVCDBIndex[],4,FALSE),"")</f>
        <v>3</v>
      </c>
      <c r="N79" s="26" t="str">
        <f>IFERROR(VLOOKUP(10*tblRiskRegister322[[#This Row],[Safeguard Maturity Score]]+tblRiskRegister322[[#This Row],[VCDB Index]],tblHITIndexWeightTable[],4,FALSE),"")</f>
        <v/>
      </c>
      <c r="O79" s="26">
        <f>VLOOKUP(tblRiskRegister322[[#This Row],[Asset Class]],tblInherentImpacts3046[],2,FALSE)</f>
        <v>4</v>
      </c>
      <c r="P79" s="26">
        <f>VLOOKUP(tblRiskRegister322[[#This Row],[Asset Class]],tblInherentImpacts3046[],3,FALSE)</f>
        <v>4</v>
      </c>
      <c r="Q79" s="26">
        <f>VLOOKUP(tblRiskRegister322[[#This Row],[Asset Class]],tblInherentImpacts3046[],4,FALSE)</f>
        <v>5</v>
      </c>
      <c r="R79" s="26">
        <f>VLOOKUP(tblRiskRegister322[[#This Row],[Asset Class]],tblInherentImpacts3046[],5,FALSE)</f>
        <v>5</v>
      </c>
      <c r="S79" s="26" t="str">
        <f>IFERROR(MAX(tblRiskRegister322[[#This Row],[Impact to Mission]:[Impact to Obligations]])*tblRiskRegister322[[#This Row],[Expectancy Score]],"")</f>
        <v/>
      </c>
      <c r="T79" s="29" t="str">
        <f>tblRiskRegister322[[#This Row],[Risk Score]]</f>
        <v/>
      </c>
      <c r="U79" s="17"/>
      <c r="V79" s="112">
        <v>14.3</v>
      </c>
      <c r="W79" s="44" t="s">
        <v>120</v>
      </c>
      <c r="X79" s="44" t="s">
        <v>512</v>
      </c>
      <c r="Y79" s="30"/>
      <c r="Z79" s="16"/>
      <c r="AA79" s="25" t="str">
        <f>IFERROR(VLOOKUP(10*tblRiskRegister322[[#This Row],[Risk Treatment Safeguard Maturity Score]]+tblRiskRegister322[[#This Row],[VCDB Index]],tblHITIndexWeightTable[],4,FALSE),"")</f>
        <v/>
      </c>
      <c r="AB79" s="136"/>
      <c r="AC79" s="136"/>
      <c r="AD79" s="136"/>
      <c r="AE79" s="136"/>
      <c r="AF79" s="25" t="str">
        <f>IFERROR(MAX(tblRiskRegister322[[#This Row],[Risk Treatment Safeguard Impact to Mission]:[Risk Treatment Safeguard Impact to Obligations]])*tblRiskRegister322[[#This Row],[Risk Treatment
Safeguard Expectancy Score]],"")</f>
        <v/>
      </c>
      <c r="AG79" s="27" t="str">
        <f>IF(tblRiskRegister322[[#This Row],[Risk Score]]&gt;AcceptableRisk1,IF(tblRiskRegister322[[#This Row],[Risk Treatment Safeguard Risk Score]]&lt;AcceptableRisk1, IF(tblRiskRegister322[[#This Row],[Risk Treatment Safeguard Risk Score]]&lt;=tblRiskRegister322[[#This Row],[Risk Score]],"Yes","No"),"No"),"Yes")</f>
        <v>No</v>
      </c>
      <c r="AH79" s="18"/>
      <c r="AI79" s="18"/>
      <c r="AJ79" s="19"/>
    </row>
    <row r="80" spans="2:36" ht="63.75" x14ac:dyDescent="0.2">
      <c r="B80" s="44" t="s">
        <v>135</v>
      </c>
      <c r="C80" s="44"/>
      <c r="D80" s="13">
        <v>14.4</v>
      </c>
      <c r="E80" s="14" t="s">
        <v>121</v>
      </c>
      <c r="F80" s="17" t="s">
        <v>785</v>
      </c>
      <c r="G80" s="17" t="s">
        <v>785</v>
      </c>
      <c r="H80" s="17" t="s">
        <v>928</v>
      </c>
      <c r="I80" s="14"/>
      <c r="J80" s="14"/>
      <c r="K80" s="14"/>
      <c r="L80" s="16"/>
      <c r="M80" s="26">
        <f>IFERROR(VLOOKUP(tblRiskRegister322[[#This Row],[Asset Class]],tblVCDBIndex[],4,FALSE),"")</f>
        <v>3</v>
      </c>
      <c r="N80" s="26" t="str">
        <f>IFERROR(VLOOKUP(10*tblRiskRegister322[[#This Row],[Safeguard Maturity Score]]+tblRiskRegister322[[#This Row],[VCDB Index]],tblHITIndexWeightTable[],4,FALSE),"")</f>
        <v/>
      </c>
      <c r="O80" s="26">
        <f>VLOOKUP(tblRiskRegister322[[#This Row],[Asset Class]],tblInherentImpacts3046[],2,FALSE)</f>
        <v>4</v>
      </c>
      <c r="P80" s="26">
        <f>VLOOKUP(tblRiskRegister322[[#This Row],[Asset Class]],tblInherentImpacts3046[],3,FALSE)</f>
        <v>4</v>
      </c>
      <c r="Q80" s="26">
        <f>VLOOKUP(tblRiskRegister322[[#This Row],[Asset Class]],tblInherentImpacts3046[],4,FALSE)</f>
        <v>5</v>
      </c>
      <c r="R80" s="26">
        <f>VLOOKUP(tblRiskRegister322[[#This Row],[Asset Class]],tblInherentImpacts3046[],5,FALSE)</f>
        <v>5</v>
      </c>
      <c r="S80" s="26" t="str">
        <f>IFERROR(MAX(tblRiskRegister322[[#This Row],[Impact to Mission]:[Impact to Obligations]])*tblRiskRegister322[[#This Row],[Expectancy Score]],"")</f>
        <v/>
      </c>
      <c r="T80" s="29" t="str">
        <f>tblRiskRegister322[[#This Row],[Risk Score]]</f>
        <v/>
      </c>
      <c r="U80" s="17"/>
      <c r="V80" s="112">
        <v>14.4</v>
      </c>
      <c r="W80" s="44" t="s">
        <v>121</v>
      </c>
      <c r="X80" s="44" t="s">
        <v>513</v>
      </c>
      <c r="Y80" s="30"/>
      <c r="Z80" s="16"/>
      <c r="AA80" s="25" t="str">
        <f>IFERROR(VLOOKUP(10*tblRiskRegister322[[#This Row],[Risk Treatment Safeguard Maturity Score]]+tblRiskRegister322[[#This Row],[VCDB Index]],tblHITIndexWeightTable[],4,FALSE),"")</f>
        <v/>
      </c>
      <c r="AB80" s="136"/>
      <c r="AC80" s="136"/>
      <c r="AD80" s="136"/>
      <c r="AE80" s="136"/>
      <c r="AF80" s="25" t="str">
        <f>IFERROR(MAX(tblRiskRegister322[[#This Row],[Risk Treatment Safeguard Impact to Mission]:[Risk Treatment Safeguard Impact to Obligations]])*tblRiskRegister322[[#This Row],[Risk Treatment
Safeguard Expectancy Score]],"")</f>
        <v/>
      </c>
      <c r="AG80" s="27" t="str">
        <f>IF(tblRiskRegister322[[#This Row],[Risk Score]]&gt;AcceptableRisk1,IF(tblRiskRegister322[[#This Row],[Risk Treatment Safeguard Risk Score]]&lt;AcceptableRisk1, IF(tblRiskRegister322[[#This Row],[Risk Treatment Safeguard Risk Score]]&lt;=tblRiskRegister322[[#This Row],[Risk Score]],"Yes","No"),"No"),"Yes")</f>
        <v>No</v>
      </c>
      <c r="AH80" s="18"/>
      <c r="AI80" s="18"/>
      <c r="AJ80" s="19"/>
    </row>
    <row r="81" spans="2:36" ht="38.25" x14ac:dyDescent="0.2">
      <c r="B81" s="44" t="s">
        <v>135</v>
      </c>
      <c r="C81" s="44"/>
      <c r="D81" s="13">
        <v>14.5</v>
      </c>
      <c r="E81" s="14" t="s">
        <v>122</v>
      </c>
      <c r="F81" s="17" t="s">
        <v>785</v>
      </c>
      <c r="G81" s="17" t="s">
        <v>785</v>
      </c>
      <c r="H81" s="17" t="s">
        <v>928</v>
      </c>
      <c r="I81" s="14"/>
      <c r="J81" s="14"/>
      <c r="K81" s="14"/>
      <c r="L81" s="16"/>
      <c r="M81" s="26">
        <f>IFERROR(VLOOKUP(tblRiskRegister322[[#This Row],[Asset Class]],tblVCDBIndex[],4,FALSE),"")</f>
        <v>3</v>
      </c>
      <c r="N81" s="26" t="str">
        <f>IFERROR(VLOOKUP(10*tblRiskRegister322[[#This Row],[Safeguard Maturity Score]]+tblRiskRegister322[[#This Row],[VCDB Index]],tblHITIndexWeightTable[],4,FALSE),"")</f>
        <v/>
      </c>
      <c r="O81" s="26">
        <f>VLOOKUP(tblRiskRegister322[[#This Row],[Asset Class]],tblInherentImpacts3046[],2,FALSE)</f>
        <v>4</v>
      </c>
      <c r="P81" s="26">
        <f>VLOOKUP(tblRiskRegister322[[#This Row],[Asset Class]],tblInherentImpacts3046[],3,FALSE)</f>
        <v>4</v>
      </c>
      <c r="Q81" s="26">
        <f>VLOOKUP(tblRiskRegister322[[#This Row],[Asset Class]],tblInherentImpacts3046[],4,FALSE)</f>
        <v>5</v>
      </c>
      <c r="R81" s="26">
        <f>VLOOKUP(tblRiskRegister322[[#This Row],[Asset Class]],tblInherentImpacts3046[],5,FALSE)</f>
        <v>5</v>
      </c>
      <c r="S81" s="26" t="str">
        <f>IFERROR(MAX(tblRiskRegister322[[#This Row],[Impact to Mission]:[Impact to Obligations]])*tblRiskRegister322[[#This Row],[Expectancy Score]],"")</f>
        <v/>
      </c>
      <c r="T81" s="29" t="str">
        <f>tblRiskRegister322[[#This Row],[Risk Score]]</f>
        <v/>
      </c>
      <c r="U81" s="17"/>
      <c r="V81" s="112">
        <v>14.5</v>
      </c>
      <c r="W81" s="44" t="s">
        <v>122</v>
      </c>
      <c r="X81" s="44" t="s">
        <v>514</v>
      </c>
      <c r="Y81" s="30"/>
      <c r="Z81" s="16"/>
      <c r="AA81" s="25" t="str">
        <f>IFERROR(VLOOKUP(10*tblRiskRegister322[[#This Row],[Risk Treatment Safeguard Maturity Score]]+tblRiskRegister322[[#This Row],[VCDB Index]],tblHITIndexWeightTable[],4,FALSE),"")</f>
        <v/>
      </c>
      <c r="AB81" s="136"/>
      <c r="AC81" s="136"/>
      <c r="AD81" s="136"/>
      <c r="AE81" s="136"/>
      <c r="AF81" s="25" t="str">
        <f>IFERROR(MAX(tblRiskRegister322[[#This Row],[Risk Treatment Safeguard Impact to Mission]:[Risk Treatment Safeguard Impact to Obligations]])*tblRiskRegister322[[#This Row],[Risk Treatment
Safeguard Expectancy Score]],"")</f>
        <v/>
      </c>
      <c r="AG81" s="27" t="str">
        <f>IF(tblRiskRegister322[[#This Row],[Risk Score]]&gt;AcceptableRisk1,IF(tblRiskRegister322[[#This Row],[Risk Treatment Safeguard Risk Score]]&lt;AcceptableRisk1, IF(tblRiskRegister322[[#This Row],[Risk Treatment Safeguard Risk Score]]&lt;=tblRiskRegister322[[#This Row],[Risk Score]],"Yes","No"),"No"),"Yes")</f>
        <v>No</v>
      </c>
      <c r="AH81" s="18"/>
      <c r="AI81" s="18"/>
      <c r="AJ81" s="19"/>
    </row>
    <row r="82" spans="2:36" ht="38.25" x14ac:dyDescent="0.2">
      <c r="B82" s="44" t="s">
        <v>135</v>
      </c>
      <c r="C82" s="44"/>
      <c r="D82" s="13">
        <v>14.6</v>
      </c>
      <c r="E82" s="14" t="s">
        <v>123</v>
      </c>
      <c r="F82" s="17" t="s">
        <v>785</v>
      </c>
      <c r="G82" s="17" t="s">
        <v>785</v>
      </c>
      <c r="H82" s="17" t="s">
        <v>928</v>
      </c>
      <c r="I82" s="14"/>
      <c r="J82" s="14"/>
      <c r="K82" s="14"/>
      <c r="L82" s="16"/>
      <c r="M82" s="26">
        <f>IFERROR(VLOOKUP(tblRiskRegister322[[#This Row],[Asset Class]],tblVCDBIndex[],4,FALSE),"")</f>
        <v>3</v>
      </c>
      <c r="N82" s="26" t="str">
        <f>IFERROR(VLOOKUP(10*tblRiskRegister322[[#This Row],[Safeguard Maturity Score]]+tblRiskRegister322[[#This Row],[VCDB Index]],tblHITIndexWeightTable[],4,FALSE),"")</f>
        <v/>
      </c>
      <c r="O82" s="26">
        <f>VLOOKUP(tblRiskRegister322[[#This Row],[Asset Class]],tblInherentImpacts3046[],2,FALSE)</f>
        <v>4</v>
      </c>
      <c r="P82" s="26">
        <f>VLOOKUP(tblRiskRegister322[[#This Row],[Asset Class]],tblInherentImpacts3046[],3,FALSE)</f>
        <v>4</v>
      </c>
      <c r="Q82" s="26">
        <f>VLOOKUP(tblRiskRegister322[[#This Row],[Asset Class]],tblInherentImpacts3046[],4,FALSE)</f>
        <v>5</v>
      </c>
      <c r="R82" s="26">
        <f>VLOOKUP(tblRiskRegister322[[#This Row],[Asset Class]],tblInherentImpacts3046[],5,FALSE)</f>
        <v>5</v>
      </c>
      <c r="S82" s="26" t="str">
        <f>IFERROR(MAX(tblRiskRegister322[[#This Row],[Impact to Mission]:[Impact to Obligations]])*tblRiskRegister322[[#This Row],[Expectancy Score]],"")</f>
        <v/>
      </c>
      <c r="T82" s="29" t="str">
        <f>tblRiskRegister322[[#This Row],[Risk Score]]</f>
        <v/>
      </c>
      <c r="U82" s="17"/>
      <c r="V82" s="112">
        <v>14.6</v>
      </c>
      <c r="W82" s="44" t="s">
        <v>123</v>
      </c>
      <c r="X82" s="44" t="s">
        <v>515</v>
      </c>
      <c r="Y82" s="30"/>
      <c r="Z82" s="16"/>
      <c r="AA82" s="25" t="str">
        <f>IFERROR(VLOOKUP(10*tblRiskRegister322[[#This Row],[Risk Treatment Safeguard Maturity Score]]+tblRiskRegister322[[#This Row],[VCDB Index]],tblHITIndexWeightTable[],4,FALSE),"")</f>
        <v/>
      </c>
      <c r="AB82" s="136"/>
      <c r="AC82" s="136"/>
      <c r="AD82" s="136"/>
      <c r="AE82" s="136"/>
      <c r="AF82" s="25" t="str">
        <f>IFERROR(MAX(tblRiskRegister322[[#This Row],[Risk Treatment Safeguard Impact to Mission]:[Risk Treatment Safeguard Impact to Obligations]])*tblRiskRegister322[[#This Row],[Risk Treatment
Safeguard Expectancy Score]],"")</f>
        <v/>
      </c>
      <c r="AG82" s="27" t="str">
        <f>IF(tblRiskRegister322[[#This Row],[Risk Score]]&gt;AcceptableRisk1,IF(tblRiskRegister322[[#This Row],[Risk Treatment Safeguard Risk Score]]&lt;AcceptableRisk1, IF(tblRiskRegister322[[#This Row],[Risk Treatment Safeguard Risk Score]]&lt;=tblRiskRegister322[[#This Row],[Risk Score]],"Yes","No"),"No"),"Yes")</f>
        <v>No</v>
      </c>
      <c r="AH82" s="18"/>
      <c r="AI82" s="18"/>
      <c r="AJ82" s="19"/>
    </row>
    <row r="83" spans="2:36" ht="51" x14ac:dyDescent="0.2">
      <c r="B83" s="44" t="s">
        <v>135</v>
      </c>
      <c r="C83" s="44"/>
      <c r="D83" s="13">
        <v>14.7</v>
      </c>
      <c r="E83" s="14" t="s">
        <v>124</v>
      </c>
      <c r="F83" s="17" t="s">
        <v>785</v>
      </c>
      <c r="G83" s="17" t="s">
        <v>785</v>
      </c>
      <c r="H83" s="17" t="s">
        <v>928</v>
      </c>
      <c r="I83" s="14"/>
      <c r="J83" s="14"/>
      <c r="K83" s="14"/>
      <c r="L83" s="16"/>
      <c r="M83" s="26">
        <f>IFERROR(VLOOKUP(tblRiskRegister322[[#This Row],[Asset Class]],tblVCDBIndex[],4,FALSE),"")</f>
        <v>3</v>
      </c>
      <c r="N83" s="26" t="str">
        <f>IFERROR(VLOOKUP(10*tblRiskRegister322[[#This Row],[Safeguard Maturity Score]]+tblRiskRegister322[[#This Row],[VCDB Index]],tblHITIndexWeightTable[],4,FALSE),"")</f>
        <v/>
      </c>
      <c r="O83" s="26">
        <f>VLOOKUP(tblRiskRegister322[[#This Row],[Asset Class]],tblInherentImpacts3046[],2,FALSE)</f>
        <v>4</v>
      </c>
      <c r="P83" s="26">
        <f>VLOOKUP(tblRiskRegister322[[#This Row],[Asset Class]],tblInherentImpacts3046[],3,FALSE)</f>
        <v>4</v>
      </c>
      <c r="Q83" s="26">
        <f>VLOOKUP(tblRiskRegister322[[#This Row],[Asset Class]],tblInherentImpacts3046[],4,FALSE)</f>
        <v>5</v>
      </c>
      <c r="R83" s="26">
        <f>VLOOKUP(tblRiskRegister322[[#This Row],[Asset Class]],tblInherentImpacts3046[],5,FALSE)</f>
        <v>5</v>
      </c>
      <c r="S83" s="26" t="str">
        <f>IFERROR(MAX(tblRiskRegister322[[#This Row],[Impact to Mission]:[Impact to Obligations]])*tblRiskRegister322[[#This Row],[Expectancy Score]],"")</f>
        <v/>
      </c>
      <c r="T83" s="29" t="str">
        <f>tblRiskRegister322[[#This Row],[Risk Score]]</f>
        <v/>
      </c>
      <c r="U83" s="17"/>
      <c r="V83" s="112">
        <v>14.7</v>
      </c>
      <c r="W83" s="44" t="s">
        <v>124</v>
      </c>
      <c r="X83" s="44" t="s">
        <v>516</v>
      </c>
      <c r="Y83" s="30"/>
      <c r="Z83" s="16"/>
      <c r="AA83" s="25" t="str">
        <f>IFERROR(VLOOKUP(10*tblRiskRegister322[[#This Row],[Risk Treatment Safeguard Maturity Score]]+tblRiskRegister322[[#This Row],[VCDB Index]],tblHITIndexWeightTable[],4,FALSE),"")</f>
        <v/>
      </c>
      <c r="AB83" s="136"/>
      <c r="AC83" s="136"/>
      <c r="AD83" s="136"/>
      <c r="AE83" s="136"/>
      <c r="AF83" s="25" t="str">
        <f>IFERROR(MAX(tblRiskRegister322[[#This Row],[Risk Treatment Safeguard Impact to Mission]:[Risk Treatment Safeguard Impact to Obligations]])*tblRiskRegister322[[#This Row],[Risk Treatment
Safeguard Expectancy Score]],"")</f>
        <v/>
      </c>
      <c r="AG83" s="27" t="str">
        <f>IF(tblRiskRegister322[[#This Row],[Risk Score]]&gt;AcceptableRisk1,IF(tblRiskRegister322[[#This Row],[Risk Treatment Safeguard Risk Score]]&lt;AcceptableRisk1, IF(tblRiskRegister322[[#This Row],[Risk Treatment Safeguard Risk Score]]&lt;=tblRiskRegister322[[#This Row],[Risk Score]],"Yes","No"),"No"),"Yes")</f>
        <v>No</v>
      </c>
      <c r="AH83" s="18"/>
      <c r="AI83" s="18"/>
      <c r="AJ83" s="19"/>
    </row>
    <row r="84" spans="2:36" ht="51" x14ac:dyDescent="0.2">
      <c r="B84" s="44" t="s">
        <v>135</v>
      </c>
      <c r="C84" s="44"/>
      <c r="D84" s="13">
        <v>14.8</v>
      </c>
      <c r="E84" s="14" t="s">
        <v>125</v>
      </c>
      <c r="F84" s="17" t="s">
        <v>785</v>
      </c>
      <c r="G84" s="17" t="s">
        <v>785</v>
      </c>
      <c r="H84" s="17" t="s">
        <v>928</v>
      </c>
      <c r="I84" s="14"/>
      <c r="J84" s="14"/>
      <c r="K84" s="14"/>
      <c r="L84" s="16"/>
      <c r="M84" s="26">
        <f>IFERROR(VLOOKUP(tblRiskRegister322[[#This Row],[Asset Class]],tblVCDBIndex[],4,FALSE),"")</f>
        <v>3</v>
      </c>
      <c r="N84" s="26" t="str">
        <f>IFERROR(VLOOKUP(10*tblRiskRegister322[[#This Row],[Safeguard Maturity Score]]+tblRiskRegister322[[#This Row],[VCDB Index]],tblHITIndexWeightTable[],4,FALSE),"")</f>
        <v/>
      </c>
      <c r="O84" s="26">
        <f>VLOOKUP(tblRiskRegister322[[#This Row],[Asset Class]],tblInherentImpacts3046[],2,FALSE)</f>
        <v>4</v>
      </c>
      <c r="P84" s="26">
        <f>VLOOKUP(tblRiskRegister322[[#This Row],[Asset Class]],tblInherentImpacts3046[],3,FALSE)</f>
        <v>4</v>
      </c>
      <c r="Q84" s="26">
        <f>VLOOKUP(tblRiskRegister322[[#This Row],[Asset Class]],tblInherentImpacts3046[],4,FALSE)</f>
        <v>5</v>
      </c>
      <c r="R84" s="26">
        <f>VLOOKUP(tblRiskRegister322[[#This Row],[Asset Class]],tblInherentImpacts3046[],5,FALSE)</f>
        <v>5</v>
      </c>
      <c r="S84" s="26" t="str">
        <f>IFERROR(MAX(tblRiskRegister322[[#This Row],[Impact to Mission]:[Impact to Obligations]])*tblRiskRegister322[[#This Row],[Expectancy Score]],"")</f>
        <v/>
      </c>
      <c r="T84" s="29" t="str">
        <f>tblRiskRegister322[[#This Row],[Risk Score]]</f>
        <v/>
      </c>
      <c r="U84" s="17"/>
      <c r="V84" s="112">
        <v>14.8</v>
      </c>
      <c r="W84" s="44" t="s">
        <v>125</v>
      </c>
      <c r="X84" s="44" t="s">
        <v>517</v>
      </c>
      <c r="Y84" s="30"/>
      <c r="Z84" s="16"/>
      <c r="AA84" s="25" t="str">
        <f>IFERROR(VLOOKUP(10*tblRiskRegister322[[#This Row],[Risk Treatment Safeguard Maturity Score]]+tblRiskRegister322[[#This Row],[VCDB Index]],tblHITIndexWeightTable[],4,FALSE),"")</f>
        <v/>
      </c>
      <c r="AB84" s="136"/>
      <c r="AC84" s="136"/>
      <c r="AD84" s="136"/>
      <c r="AE84" s="136"/>
      <c r="AF84" s="25" t="str">
        <f>IFERROR(MAX(tblRiskRegister322[[#This Row],[Risk Treatment Safeguard Impact to Mission]:[Risk Treatment Safeguard Impact to Obligations]])*tblRiskRegister322[[#This Row],[Risk Treatment
Safeguard Expectancy Score]],"")</f>
        <v/>
      </c>
      <c r="AG84" s="27" t="str">
        <f>IF(tblRiskRegister322[[#This Row],[Risk Score]]&gt;AcceptableRisk1,IF(tblRiskRegister322[[#This Row],[Risk Treatment Safeguard Risk Score]]&lt;AcceptableRisk1, IF(tblRiskRegister322[[#This Row],[Risk Treatment Safeguard Risk Score]]&lt;=tblRiskRegister322[[#This Row],[Risk Score]],"Yes","No"),"No"),"Yes")</f>
        <v>No</v>
      </c>
      <c r="AH84" s="18"/>
      <c r="AI84" s="18"/>
      <c r="AJ84" s="19"/>
    </row>
    <row r="85" spans="2:36" ht="51" x14ac:dyDescent="0.2">
      <c r="B85" s="44" t="s">
        <v>135</v>
      </c>
      <c r="C85" s="44"/>
      <c r="D85" s="13">
        <v>14.9</v>
      </c>
      <c r="E85" s="14" t="s">
        <v>263</v>
      </c>
      <c r="F85" s="17"/>
      <c r="G85" s="17" t="s">
        <v>785</v>
      </c>
      <c r="H85" s="17" t="s">
        <v>928</v>
      </c>
      <c r="I85" s="14"/>
      <c r="J85" s="14"/>
      <c r="K85" s="14"/>
      <c r="L85" s="16"/>
      <c r="M85" s="26">
        <f>IFERROR(VLOOKUP(tblRiskRegister322[[#This Row],[Asset Class]],tblVCDBIndex[],4,FALSE),"")</f>
        <v>3</v>
      </c>
      <c r="N85" s="26" t="str">
        <f>IFERROR(VLOOKUP(10*tblRiskRegister322[[#This Row],[Safeguard Maturity Score]]+tblRiskRegister322[[#This Row],[VCDB Index]],tblHITIndexWeightTable[],4,FALSE),"")</f>
        <v/>
      </c>
      <c r="O85" s="26">
        <f>VLOOKUP(tblRiskRegister322[[#This Row],[Asset Class]],tblInherentImpacts3046[],2,FALSE)</f>
        <v>4</v>
      </c>
      <c r="P85" s="26">
        <f>VLOOKUP(tblRiskRegister322[[#This Row],[Asset Class]],tblInherentImpacts3046[],3,FALSE)</f>
        <v>4</v>
      </c>
      <c r="Q85" s="26">
        <f>VLOOKUP(tblRiskRegister322[[#This Row],[Asset Class]],tblInherentImpacts3046[],4,FALSE)</f>
        <v>5</v>
      </c>
      <c r="R85" s="26">
        <f>VLOOKUP(tblRiskRegister322[[#This Row],[Asset Class]],tblInherentImpacts3046[],5,FALSE)</f>
        <v>5</v>
      </c>
      <c r="S85" s="26" t="str">
        <f>IFERROR(MAX(tblRiskRegister322[[#This Row],[Impact to Mission]:[Impact to Obligations]])*tblRiskRegister322[[#This Row],[Expectancy Score]],"")</f>
        <v/>
      </c>
      <c r="T85" s="29" t="str">
        <f>tblRiskRegister322[[#This Row],[Risk Score]]</f>
        <v/>
      </c>
      <c r="U85" s="17"/>
      <c r="V85" s="112">
        <v>14.9</v>
      </c>
      <c r="W85" s="44" t="s">
        <v>263</v>
      </c>
      <c r="X85" s="44" t="s">
        <v>518</v>
      </c>
      <c r="Y85" s="30"/>
      <c r="Z85" s="16"/>
      <c r="AA85" s="25" t="str">
        <f>IFERROR(VLOOKUP(10*tblRiskRegister322[[#This Row],[Risk Treatment Safeguard Maturity Score]]+tblRiskRegister322[[#This Row],[VCDB Index]],tblHITIndexWeightTable[],4,FALSE),"")</f>
        <v/>
      </c>
      <c r="AB85" s="136"/>
      <c r="AC85" s="136"/>
      <c r="AD85" s="136"/>
      <c r="AE85" s="136"/>
      <c r="AF85" s="25" t="str">
        <f>IFERROR(MAX(tblRiskRegister322[[#This Row],[Risk Treatment Safeguard Impact to Mission]:[Risk Treatment Safeguard Impact to Obligations]])*tblRiskRegister322[[#This Row],[Risk Treatment
Safeguard Expectancy Score]],"")</f>
        <v/>
      </c>
      <c r="AG85" s="27" t="str">
        <f>IF(tblRiskRegister322[[#This Row],[Risk Score]]&gt;AcceptableRisk1,IF(tblRiskRegister322[[#This Row],[Risk Treatment Safeguard Risk Score]]&lt;AcceptableRisk1, IF(tblRiskRegister322[[#This Row],[Risk Treatment Safeguard Risk Score]]&lt;=tblRiskRegister322[[#This Row],[Risk Score]],"Yes","No"),"No"),"Yes")</f>
        <v>No</v>
      </c>
      <c r="AH85" s="18"/>
      <c r="AI85" s="18"/>
      <c r="AJ85" s="19"/>
    </row>
    <row r="86" spans="2:36" ht="51" x14ac:dyDescent="0.2">
      <c r="B86" s="44" t="s">
        <v>135</v>
      </c>
      <c r="C86" s="44"/>
      <c r="D86" s="13">
        <v>15.1</v>
      </c>
      <c r="E86" s="14" t="s">
        <v>126</v>
      </c>
      <c r="F86" s="17" t="s">
        <v>785</v>
      </c>
      <c r="G86" s="17" t="s">
        <v>785</v>
      </c>
      <c r="H86" s="17" t="s">
        <v>926</v>
      </c>
      <c r="I86" s="14"/>
      <c r="J86" s="14"/>
      <c r="K86" s="14"/>
      <c r="L86" s="16"/>
      <c r="M86" s="26">
        <f>IFERROR(VLOOKUP(tblRiskRegister322[[#This Row],[Asset Class]],tblVCDBIndex[],4,FALSE),"")</f>
        <v>3</v>
      </c>
      <c r="N86" s="26" t="str">
        <f>IFERROR(VLOOKUP(10*tblRiskRegister322[[#This Row],[Safeguard Maturity Score]]+tblRiskRegister322[[#This Row],[VCDB Index]],tblHITIndexWeightTable[],4,FALSE),"")</f>
        <v/>
      </c>
      <c r="O86" s="26">
        <f>VLOOKUP(tblRiskRegister322[[#This Row],[Asset Class]],tblInherentImpacts3046[],2,FALSE)</f>
        <v>4</v>
      </c>
      <c r="P86" s="26">
        <f>VLOOKUP(tblRiskRegister322[[#This Row],[Asset Class]],tblInherentImpacts3046[],3,FALSE)</f>
        <v>4</v>
      </c>
      <c r="Q86" s="26">
        <f>VLOOKUP(tblRiskRegister322[[#This Row],[Asset Class]],tblInherentImpacts3046[],4,FALSE)</f>
        <v>5</v>
      </c>
      <c r="R86" s="26">
        <f>VLOOKUP(tblRiskRegister322[[#This Row],[Asset Class]],tblInherentImpacts3046[],5,FALSE)</f>
        <v>5</v>
      </c>
      <c r="S86" s="26" t="str">
        <f>IFERROR(MAX(tblRiskRegister322[[#This Row],[Impact to Mission]:[Impact to Obligations]])*tblRiskRegister322[[#This Row],[Expectancy Score]],"")</f>
        <v/>
      </c>
      <c r="T86" s="29" t="str">
        <f>tblRiskRegister322[[#This Row],[Risk Score]]</f>
        <v/>
      </c>
      <c r="U86" s="17"/>
      <c r="V86" s="112">
        <v>15.1</v>
      </c>
      <c r="W86" s="44" t="s">
        <v>126</v>
      </c>
      <c r="X86" s="44" t="s">
        <v>519</v>
      </c>
      <c r="Y86" s="30"/>
      <c r="Z86" s="16"/>
      <c r="AA86" s="25" t="str">
        <f>IFERROR(VLOOKUP(10*tblRiskRegister322[[#This Row],[Risk Treatment Safeguard Maturity Score]]+tblRiskRegister322[[#This Row],[VCDB Index]],tblHITIndexWeightTable[],4,FALSE),"")</f>
        <v/>
      </c>
      <c r="AB86" s="136"/>
      <c r="AC86" s="136"/>
      <c r="AD86" s="136"/>
      <c r="AE86" s="136"/>
      <c r="AF86" s="25" t="str">
        <f>IFERROR(MAX(tblRiskRegister322[[#This Row],[Risk Treatment Safeguard Impact to Mission]:[Risk Treatment Safeguard Impact to Obligations]])*tblRiskRegister322[[#This Row],[Risk Treatment
Safeguard Expectancy Score]],"")</f>
        <v/>
      </c>
      <c r="AG86" s="27" t="str">
        <f>IF(tblRiskRegister322[[#This Row],[Risk Score]]&gt;AcceptableRisk1,IF(tblRiskRegister322[[#This Row],[Risk Treatment Safeguard Risk Score]]&lt;AcceptableRisk1, IF(tblRiskRegister322[[#This Row],[Risk Treatment Safeguard Risk Score]]&lt;=tblRiskRegister322[[#This Row],[Risk Score]],"Yes","No"),"No"),"Yes")</f>
        <v>No</v>
      </c>
      <c r="AH86" s="18"/>
      <c r="AI86" s="18"/>
      <c r="AJ86" s="19"/>
    </row>
    <row r="87" spans="2:36" ht="51" x14ac:dyDescent="0.2">
      <c r="B87" s="44" t="s">
        <v>135</v>
      </c>
      <c r="C87" s="44"/>
      <c r="D87" s="13">
        <v>15.2</v>
      </c>
      <c r="E87" s="14" t="s">
        <v>264</v>
      </c>
      <c r="F87" s="17"/>
      <c r="G87" s="17" t="s">
        <v>785</v>
      </c>
      <c r="H87" s="17" t="s">
        <v>926</v>
      </c>
      <c r="I87" s="14"/>
      <c r="J87" s="14"/>
      <c r="K87" s="14"/>
      <c r="L87" s="16"/>
      <c r="M87" s="26">
        <f>IFERROR(VLOOKUP(tblRiskRegister322[[#This Row],[Asset Class]],tblVCDBIndex[],4,FALSE),"")</f>
        <v>3</v>
      </c>
      <c r="N87" s="26" t="str">
        <f>IFERROR(VLOOKUP(10*tblRiskRegister322[[#This Row],[Safeguard Maturity Score]]+tblRiskRegister322[[#This Row],[VCDB Index]],tblHITIndexWeightTable[],4,FALSE),"")</f>
        <v/>
      </c>
      <c r="O87" s="26">
        <f>VLOOKUP(tblRiskRegister322[[#This Row],[Asset Class]],tblInherentImpacts3046[],2,FALSE)</f>
        <v>4</v>
      </c>
      <c r="P87" s="26">
        <f>VLOOKUP(tblRiskRegister322[[#This Row],[Asset Class]],tblInherentImpacts3046[],3,FALSE)</f>
        <v>4</v>
      </c>
      <c r="Q87" s="26">
        <f>VLOOKUP(tblRiskRegister322[[#This Row],[Asset Class]],tblInherentImpacts3046[],4,FALSE)</f>
        <v>5</v>
      </c>
      <c r="R87" s="26">
        <f>VLOOKUP(tblRiskRegister322[[#This Row],[Asset Class]],tblInherentImpacts3046[],5,FALSE)</f>
        <v>5</v>
      </c>
      <c r="S87" s="26" t="str">
        <f>IFERROR(MAX(tblRiskRegister322[[#This Row],[Impact to Mission]:[Impact to Obligations]])*tblRiskRegister322[[#This Row],[Expectancy Score]],"")</f>
        <v/>
      </c>
      <c r="T87" s="29" t="str">
        <f>tblRiskRegister322[[#This Row],[Risk Score]]</f>
        <v/>
      </c>
      <c r="U87" s="17"/>
      <c r="V87" s="112">
        <v>15.2</v>
      </c>
      <c r="W87" s="44" t="s">
        <v>264</v>
      </c>
      <c r="X87" s="44" t="s">
        <v>520</v>
      </c>
      <c r="Y87" s="30"/>
      <c r="Z87" s="16"/>
      <c r="AA87" s="25" t="str">
        <f>IFERROR(VLOOKUP(10*tblRiskRegister322[[#This Row],[Risk Treatment Safeguard Maturity Score]]+tblRiskRegister322[[#This Row],[VCDB Index]],tblHITIndexWeightTable[],4,FALSE),"")</f>
        <v/>
      </c>
      <c r="AB87" s="136"/>
      <c r="AC87" s="136"/>
      <c r="AD87" s="136"/>
      <c r="AE87" s="136"/>
      <c r="AF87" s="25" t="str">
        <f>IFERROR(MAX(tblRiskRegister322[[#This Row],[Risk Treatment Safeguard Impact to Mission]:[Risk Treatment Safeguard Impact to Obligations]])*tblRiskRegister322[[#This Row],[Risk Treatment
Safeguard Expectancy Score]],"")</f>
        <v/>
      </c>
      <c r="AG87" s="27" t="str">
        <f>IF(tblRiskRegister322[[#This Row],[Risk Score]]&gt;AcceptableRisk1,IF(tblRiskRegister322[[#This Row],[Risk Treatment Safeguard Risk Score]]&lt;AcceptableRisk1, IF(tblRiskRegister322[[#This Row],[Risk Treatment Safeguard Risk Score]]&lt;=tblRiskRegister322[[#This Row],[Risk Score]],"Yes","No"),"No"),"Yes")</f>
        <v>No</v>
      </c>
      <c r="AH87" s="18"/>
      <c r="AI87" s="18"/>
      <c r="AJ87" s="19"/>
    </row>
    <row r="88" spans="2:36" ht="51" x14ac:dyDescent="0.2">
      <c r="B88" s="44" t="s">
        <v>135</v>
      </c>
      <c r="C88" s="44"/>
      <c r="D88" s="13">
        <v>15.3</v>
      </c>
      <c r="E88" s="14" t="s">
        <v>265</v>
      </c>
      <c r="F88" s="17"/>
      <c r="G88" s="17" t="s">
        <v>785</v>
      </c>
      <c r="H88" s="17" t="s">
        <v>926</v>
      </c>
      <c r="I88" s="14"/>
      <c r="J88" s="14"/>
      <c r="K88" s="14"/>
      <c r="L88" s="16"/>
      <c r="M88" s="26">
        <f>IFERROR(VLOOKUP(tblRiskRegister322[[#This Row],[Asset Class]],tblVCDBIndex[],4,FALSE),"")</f>
        <v>3</v>
      </c>
      <c r="N88" s="26" t="str">
        <f>IFERROR(VLOOKUP(10*tblRiskRegister322[[#This Row],[Safeguard Maturity Score]]+tblRiskRegister322[[#This Row],[VCDB Index]],tblHITIndexWeightTable[],4,FALSE),"")</f>
        <v/>
      </c>
      <c r="O88" s="26">
        <f>VLOOKUP(tblRiskRegister322[[#This Row],[Asset Class]],tblInherentImpacts3046[],2,FALSE)</f>
        <v>4</v>
      </c>
      <c r="P88" s="26">
        <f>VLOOKUP(tblRiskRegister322[[#This Row],[Asset Class]],tblInherentImpacts3046[],3,FALSE)</f>
        <v>4</v>
      </c>
      <c r="Q88" s="26">
        <f>VLOOKUP(tblRiskRegister322[[#This Row],[Asset Class]],tblInherentImpacts3046[],4,FALSE)</f>
        <v>5</v>
      </c>
      <c r="R88" s="26">
        <f>VLOOKUP(tblRiskRegister322[[#This Row],[Asset Class]],tblInherentImpacts3046[],5,FALSE)</f>
        <v>5</v>
      </c>
      <c r="S88" s="26" t="str">
        <f>IFERROR(MAX(tblRiskRegister322[[#This Row],[Impact to Mission]:[Impact to Obligations]])*tblRiskRegister322[[#This Row],[Expectancy Score]],"")</f>
        <v/>
      </c>
      <c r="T88" s="29" t="str">
        <f>tblRiskRegister322[[#This Row],[Risk Score]]</f>
        <v/>
      </c>
      <c r="U88" s="17"/>
      <c r="V88" s="112">
        <v>15.3</v>
      </c>
      <c r="W88" s="44" t="s">
        <v>265</v>
      </c>
      <c r="X88" s="44" t="s">
        <v>521</v>
      </c>
      <c r="Y88" s="30"/>
      <c r="Z88" s="16"/>
      <c r="AA88" s="25" t="str">
        <f>IFERROR(VLOOKUP(10*tblRiskRegister322[[#This Row],[Risk Treatment Safeguard Maturity Score]]+tblRiskRegister322[[#This Row],[VCDB Index]],tblHITIndexWeightTable[],4,FALSE),"")</f>
        <v/>
      </c>
      <c r="AB88" s="136"/>
      <c r="AC88" s="136"/>
      <c r="AD88" s="136"/>
      <c r="AE88" s="136"/>
      <c r="AF88" s="25" t="str">
        <f>IFERROR(MAX(tblRiskRegister322[[#This Row],[Risk Treatment Safeguard Impact to Mission]:[Risk Treatment Safeguard Impact to Obligations]])*tblRiskRegister322[[#This Row],[Risk Treatment
Safeguard Expectancy Score]],"")</f>
        <v/>
      </c>
      <c r="AG88" s="27" t="str">
        <f>IF(tblRiskRegister322[[#This Row],[Risk Score]]&gt;AcceptableRisk1,IF(tblRiskRegister322[[#This Row],[Risk Treatment Safeguard Risk Score]]&lt;AcceptableRisk1, IF(tblRiskRegister322[[#This Row],[Risk Treatment Safeguard Risk Score]]&lt;=tblRiskRegister322[[#This Row],[Risk Score]],"Yes","No"),"No"),"Yes")</f>
        <v>No</v>
      </c>
      <c r="AH88" s="18"/>
      <c r="AI88" s="18"/>
      <c r="AJ88" s="19"/>
    </row>
    <row r="89" spans="2:36" ht="76.5" x14ac:dyDescent="0.2">
      <c r="B89" s="44" t="s">
        <v>135</v>
      </c>
      <c r="C89" s="44"/>
      <c r="D89" s="13">
        <v>15.4</v>
      </c>
      <c r="E89" s="14" t="s">
        <v>266</v>
      </c>
      <c r="F89" s="17"/>
      <c r="G89" s="17" t="s">
        <v>785</v>
      </c>
      <c r="H89" s="17" t="s">
        <v>928</v>
      </c>
      <c r="I89" s="14"/>
      <c r="J89" s="14"/>
      <c r="K89" s="14"/>
      <c r="L89" s="16"/>
      <c r="M89" s="26">
        <f>IFERROR(VLOOKUP(tblRiskRegister322[[#This Row],[Asset Class]],tblVCDBIndex[],4,FALSE),"")</f>
        <v>3</v>
      </c>
      <c r="N89" s="26" t="str">
        <f>IFERROR(VLOOKUP(10*tblRiskRegister322[[#This Row],[Safeguard Maturity Score]]+tblRiskRegister322[[#This Row],[VCDB Index]],tblHITIndexWeightTable[],4,FALSE),"")</f>
        <v/>
      </c>
      <c r="O89" s="26">
        <f>VLOOKUP(tblRiskRegister322[[#This Row],[Asset Class]],tblInherentImpacts3046[],2,FALSE)</f>
        <v>4</v>
      </c>
      <c r="P89" s="26">
        <f>VLOOKUP(tblRiskRegister322[[#This Row],[Asset Class]],tblInherentImpacts3046[],3,FALSE)</f>
        <v>4</v>
      </c>
      <c r="Q89" s="26">
        <f>VLOOKUP(tblRiskRegister322[[#This Row],[Asset Class]],tblInherentImpacts3046[],4,FALSE)</f>
        <v>5</v>
      </c>
      <c r="R89" s="26">
        <f>VLOOKUP(tblRiskRegister322[[#This Row],[Asset Class]],tblInherentImpacts3046[],5,FALSE)</f>
        <v>5</v>
      </c>
      <c r="S89" s="26" t="str">
        <f>IFERROR(MAX(tblRiskRegister322[[#This Row],[Impact to Mission]:[Impact to Obligations]])*tblRiskRegister322[[#This Row],[Expectancy Score]],"")</f>
        <v/>
      </c>
      <c r="T89" s="29" t="str">
        <f>tblRiskRegister322[[#This Row],[Risk Score]]</f>
        <v/>
      </c>
      <c r="U89" s="17"/>
      <c r="V89" s="112">
        <v>15.4</v>
      </c>
      <c r="W89" s="44" t="s">
        <v>266</v>
      </c>
      <c r="X89" s="44" t="s">
        <v>522</v>
      </c>
      <c r="Y89" s="30"/>
      <c r="Z89" s="16"/>
      <c r="AA89" s="25" t="str">
        <f>IFERROR(VLOOKUP(10*tblRiskRegister322[[#This Row],[Risk Treatment Safeguard Maturity Score]]+tblRiskRegister322[[#This Row],[VCDB Index]],tblHITIndexWeightTable[],4,FALSE),"")</f>
        <v/>
      </c>
      <c r="AB89" s="136"/>
      <c r="AC89" s="136"/>
      <c r="AD89" s="136"/>
      <c r="AE89" s="136"/>
      <c r="AF89" s="25" t="str">
        <f>IFERROR(MAX(tblRiskRegister322[[#This Row],[Risk Treatment Safeguard Impact to Mission]:[Risk Treatment Safeguard Impact to Obligations]])*tblRiskRegister322[[#This Row],[Risk Treatment
Safeguard Expectancy Score]],"")</f>
        <v/>
      </c>
      <c r="AG89" s="27" t="str">
        <f>IF(tblRiskRegister322[[#This Row],[Risk Score]]&gt;AcceptableRisk1,IF(tblRiskRegister322[[#This Row],[Risk Treatment Safeguard Risk Score]]&lt;AcceptableRisk1, IF(tblRiskRegister322[[#This Row],[Risk Treatment Safeguard Risk Score]]&lt;=tblRiskRegister322[[#This Row],[Risk Score]],"Yes","No"),"No"),"Yes")</f>
        <v>No</v>
      </c>
      <c r="AH89" s="18"/>
      <c r="AI89" s="18"/>
      <c r="AJ89" s="19"/>
    </row>
    <row r="90" spans="2:36" ht="89.25" x14ac:dyDescent="0.2">
      <c r="B90" s="44" t="s">
        <v>135</v>
      </c>
      <c r="C90" s="44"/>
      <c r="D90" s="13">
        <v>17.100000000000001</v>
      </c>
      <c r="E90" s="14" t="s">
        <v>127</v>
      </c>
      <c r="F90" s="17" t="s">
        <v>785</v>
      </c>
      <c r="G90" s="17" t="s">
        <v>785</v>
      </c>
      <c r="H90" s="17" t="s">
        <v>927</v>
      </c>
      <c r="I90" s="14"/>
      <c r="J90" s="14"/>
      <c r="K90" s="14"/>
      <c r="L90" s="16"/>
      <c r="M90" s="26">
        <f>IFERROR(VLOOKUP(tblRiskRegister322[[#This Row],[Asset Class]],tblVCDBIndex[],4,FALSE),"")</f>
        <v>3</v>
      </c>
      <c r="N90" s="26" t="str">
        <f>IFERROR(VLOOKUP(10*tblRiskRegister322[[#This Row],[Safeguard Maturity Score]]+tblRiskRegister322[[#This Row],[VCDB Index]],tblHITIndexWeightTable[],4,FALSE),"")</f>
        <v/>
      </c>
      <c r="O90" s="26">
        <f>VLOOKUP(tblRiskRegister322[[#This Row],[Asset Class]],tblInherentImpacts3046[],2,FALSE)</f>
        <v>4</v>
      </c>
      <c r="P90" s="26">
        <f>VLOOKUP(tblRiskRegister322[[#This Row],[Asset Class]],tblInherentImpacts3046[],3,FALSE)</f>
        <v>4</v>
      </c>
      <c r="Q90" s="26">
        <f>VLOOKUP(tblRiskRegister322[[#This Row],[Asset Class]],tblInherentImpacts3046[],4,FALSE)</f>
        <v>5</v>
      </c>
      <c r="R90" s="26">
        <f>VLOOKUP(tblRiskRegister322[[#This Row],[Asset Class]],tblInherentImpacts3046[],5,FALSE)</f>
        <v>5</v>
      </c>
      <c r="S90" s="26" t="str">
        <f>IFERROR(MAX(tblRiskRegister322[[#This Row],[Impact to Mission]:[Impact to Obligations]])*tblRiskRegister322[[#This Row],[Expectancy Score]],"")</f>
        <v/>
      </c>
      <c r="T90" s="29" t="str">
        <f>tblRiskRegister322[[#This Row],[Risk Score]]</f>
        <v/>
      </c>
      <c r="U90" s="17"/>
      <c r="V90" s="112">
        <v>17.100000000000001</v>
      </c>
      <c r="W90" s="44" t="s">
        <v>127</v>
      </c>
      <c r="X90" s="44" t="s">
        <v>534</v>
      </c>
      <c r="Y90" s="30"/>
      <c r="Z90" s="16"/>
      <c r="AA90" s="25" t="str">
        <f>IFERROR(VLOOKUP(10*tblRiskRegister322[[#This Row],[Risk Treatment Safeguard Maturity Score]]+tblRiskRegister322[[#This Row],[VCDB Index]],tblHITIndexWeightTable[],4,FALSE),"")</f>
        <v/>
      </c>
      <c r="AB90" s="136"/>
      <c r="AC90" s="136"/>
      <c r="AD90" s="136"/>
      <c r="AE90" s="136"/>
      <c r="AF90" s="25" t="str">
        <f>IFERROR(MAX(tblRiskRegister322[[#This Row],[Risk Treatment Safeguard Impact to Mission]:[Risk Treatment Safeguard Impact to Obligations]])*tblRiskRegister322[[#This Row],[Risk Treatment
Safeguard Expectancy Score]],"")</f>
        <v/>
      </c>
      <c r="AG90" s="27" t="str">
        <f>IF(tblRiskRegister322[[#This Row],[Risk Score]]&gt;AcceptableRisk1,IF(tblRiskRegister322[[#This Row],[Risk Treatment Safeguard Risk Score]]&lt;AcceptableRisk1, IF(tblRiskRegister322[[#This Row],[Risk Treatment Safeguard Risk Score]]&lt;=tblRiskRegister322[[#This Row],[Risk Score]],"Yes","No"),"No"),"Yes")</f>
        <v>No</v>
      </c>
      <c r="AH90" s="18"/>
      <c r="AI90" s="18"/>
      <c r="AJ90" s="19"/>
    </row>
    <row r="91" spans="2:36" ht="63.75" x14ac:dyDescent="0.2">
      <c r="B91" s="44" t="s">
        <v>135</v>
      </c>
      <c r="C91" s="44"/>
      <c r="D91" s="13">
        <v>17.2</v>
      </c>
      <c r="E91" s="14" t="s">
        <v>128</v>
      </c>
      <c r="F91" s="17" t="s">
        <v>785</v>
      </c>
      <c r="G91" s="17" t="s">
        <v>785</v>
      </c>
      <c r="H91" s="17" t="s">
        <v>927</v>
      </c>
      <c r="I91" s="14"/>
      <c r="J91" s="14"/>
      <c r="K91" s="14"/>
      <c r="L91" s="16"/>
      <c r="M91" s="26">
        <f>IFERROR(VLOOKUP(tblRiskRegister322[[#This Row],[Asset Class]],tblVCDBIndex[],4,FALSE),"")</f>
        <v>3</v>
      </c>
      <c r="N91" s="26" t="str">
        <f>IFERROR(VLOOKUP(10*tblRiskRegister322[[#This Row],[Safeguard Maturity Score]]+tblRiskRegister322[[#This Row],[VCDB Index]],tblHITIndexWeightTable[],4,FALSE),"")</f>
        <v/>
      </c>
      <c r="O91" s="26">
        <f>VLOOKUP(tblRiskRegister322[[#This Row],[Asset Class]],tblInherentImpacts3046[],2,FALSE)</f>
        <v>4</v>
      </c>
      <c r="P91" s="26">
        <f>VLOOKUP(tblRiskRegister322[[#This Row],[Asset Class]],tblInherentImpacts3046[],3,FALSE)</f>
        <v>4</v>
      </c>
      <c r="Q91" s="26">
        <f>VLOOKUP(tblRiskRegister322[[#This Row],[Asset Class]],tblInherentImpacts3046[],4,FALSE)</f>
        <v>5</v>
      </c>
      <c r="R91" s="26">
        <f>VLOOKUP(tblRiskRegister322[[#This Row],[Asset Class]],tblInherentImpacts3046[],5,FALSE)</f>
        <v>5</v>
      </c>
      <c r="S91" s="26" t="str">
        <f>IFERROR(MAX(tblRiskRegister322[[#This Row],[Impact to Mission]:[Impact to Obligations]])*tblRiskRegister322[[#This Row],[Expectancy Score]],"")</f>
        <v/>
      </c>
      <c r="T91" s="29" t="str">
        <f>tblRiskRegister322[[#This Row],[Risk Score]]</f>
        <v/>
      </c>
      <c r="U91" s="17"/>
      <c r="V91" s="112">
        <v>17.2</v>
      </c>
      <c r="W91" s="44" t="s">
        <v>128</v>
      </c>
      <c r="X91" s="44" t="s">
        <v>535</v>
      </c>
      <c r="Y91" s="30"/>
      <c r="Z91" s="16"/>
      <c r="AA91" s="25" t="str">
        <f>IFERROR(VLOOKUP(10*tblRiskRegister322[[#This Row],[Risk Treatment Safeguard Maturity Score]]+tblRiskRegister322[[#This Row],[VCDB Index]],tblHITIndexWeightTable[],4,FALSE),"")</f>
        <v/>
      </c>
      <c r="AB91" s="136"/>
      <c r="AC91" s="136"/>
      <c r="AD91" s="136"/>
      <c r="AE91" s="136"/>
      <c r="AF91" s="25" t="str">
        <f>IFERROR(MAX(tblRiskRegister322[[#This Row],[Risk Treatment Safeguard Impact to Mission]:[Risk Treatment Safeguard Impact to Obligations]])*tblRiskRegister322[[#This Row],[Risk Treatment
Safeguard Expectancy Score]],"")</f>
        <v/>
      </c>
      <c r="AG91" s="27" t="str">
        <f>IF(tblRiskRegister322[[#This Row],[Risk Score]]&gt;AcceptableRisk1,IF(tblRiskRegister322[[#This Row],[Risk Treatment Safeguard Risk Score]]&lt;AcceptableRisk1, IF(tblRiskRegister322[[#This Row],[Risk Treatment Safeguard Risk Score]]&lt;=tblRiskRegister322[[#This Row],[Risk Score]],"Yes","No"),"No"),"Yes")</f>
        <v>No</v>
      </c>
      <c r="AH91" s="18"/>
      <c r="AI91" s="18"/>
      <c r="AJ91" s="19"/>
    </row>
    <row r="92" spans="2:36" ht="63.75" x14ac:dyDescent="0.2">
      <c r="B92" s="44" t="s">
        <v>135</v>
      </c>
      <c r="C92" s="44"/>
      <c r="D92" s="13">
        <v>17.3</v>
      </c>
      <c r="E92" s="14" t="s">
        <v>129</v>
      </c>
      <c r="F92" s="17" t="s">
        <v>785</v>
      </c>
      <c r="G92" s="17" t="s">
        <v>785</v>
      </c>
      <c r="H92" s="17" t="s">
        <v>927</v>
      </c>
      <c r="I92" s="14"/>
      <c r="J92" s="14"/>
      <c r="K92" s="14"/>
      <c r="L92" s="16"/>
      <c r="M92" s="26">
        <f>IFERROR(VLOOKUP(tblRiskRegister322[[#This Row],[Asset Class]],tblVCDBIndex[],4,FALSE),"")</f>
        <v>3</v>
      </c>
      <c r="N92" s="26" t="str">
        <f>IFERROR(VLOOKUP(10*tblRiskRegister322[[#This Row],[Safeguard Maturity Score]]+tblRiskRegister322[[#This Row],[VCDB Index]],tblHITIndexWeightTable[],4,FALSE),"")</f>
        <v/>
      </c>
      <c r="O92" s="26">
        <f>VLOOKUP(tblRiskRegister322[[#This Row],[Asset Class]],tblInherentImpacts3046[],2,FALSE)</f>
        <v>4</v>
      </c>
      <c r="P92" s="26">
        <f>VLOOKUP(tblRiskRegister322[[#This Row],[Asset Class]],tblInherentImpacts3046[],3,FALSE)</f>
        <v>4</v>
      </c>
      <c r="Q92" s="26">
        <f>VLOOKUP(tblRiskRegister322[[#This Row],[Asset Class]],tblInherentImpacts3046[],4,FALSE)</f>
        <v>5</v>
      </c>
      <c r="R92" s="26">
        <f>VLOOKUP(tblRiskRegister322[[#This Row],[Asset Class]],tblInherentImpacts3046[],5,FALSE)</f>
        <v>5</v>
      </c>
      <c r="S92" s="26" t="str">
        <f>IFERROR(MAX(tblRiskRegister322[[#This Row],[Impact to Mission]:[Impact to Obligations]])*tblRiskRegister322[[#This Row],[Expectancy Score]],"")</f>
        <v/>
      </c>
      <c r="T92" s="29" t="str">
        <f>tblRiskRegister322[[#This Row],[Risk Score]]</f>
        <v/>
      </c>
      <c r="U92" s="17"/>
      <c r="V92" s="112">
        <v>17.3</v>
      </c>
      <c r="W92" s="44" t="s">
        <v>129</v>
      </c>
      <c r="X92" s="44" t="s">
        <v>536</v>
      </c>
      <c r="Y92" s="30"/>
      <c r="Z92" s="16"/>
      <c r="AA92" s="25" t="str">
        <f>IFERROR(VLOOKUP(10*tblRiskRegister322[[#This Row],[Risk Treatment Safeguard Maturity Score]]+tblRiskRegister322[[#This Row],[VCDB Index]],tblHITIndexWeightTable[],4,FALSE),"")</f>
        <v/>
      </c>
      <c r="AB92" s="136"/>
      <c r="AC92" s="136"/>
      <c r="AD92" s="136"/>
      <c r="AE92" s="136"/>
      <c r="AF92" s="25" t="str">
        <f>IFERROR(MAX(tblRiskRegister322[[#This Row],[Risk Treatment Safeguard Impact to Mission]:[Risk Treatment Safeguard Impact to Obligations]])*tblRiskRegister322[[#This Row],[Risk Treatment
Safeguard Expectancy Score]],"")</f>
        <v/>
      </c>
      <c r="AG92" s="27" t="str">
        <f>IF(tblRiskRegister322[[#This Row],[Risk Score]]&gt;AcceptableRisk1,IF(tblRiskRegister322[[#This Row],[Risk Treatment Safeguard Risk Score]]&lt;AcceptableRisk1, IF(tblRiskRegister322[[#This Row],[Risk Treatment Safeguard Risk Score]]&lt;=tblRiskRegister322[[#This Row],[Risk Score]],"Yes","No"),"No"),"Yes")</f>
        <v>No</v>
      </c>
      <c r="AH92" s="18"/>
      <c r="AI92" s="18"/>
      <c r="AJ92" s="19"/>
    </row>
    <row r="93" spans="2:36" ht="38.25" x14ac:dyDescent="0.2">
      <c r="B93" s="44" t="s">
        <v>135</v>
      </c>
      <c r="C93" s="44"/>
      <c r="D93" s="13">
        <v>17.399999999999999</v>
      </c>
      <c r="E93" s="14" t="s">
        <v>267</v>
      </c>
      <c r="F93" s="17"/>
      <c r="G93" s="17" t="s">
        <v>785</v>
      </c>
      <c r="H93" s="17" t="s">
        <v>927</v>
      </c>
      <c r="I93" s="14"/>
      <c r="J93" s="14"/>
      <c r="K93" s="14"/>
      <c r="L93" s="16"/>
      <c r="M93" s="26">
        <f>IFERROR(VLOOKUP(tblRiskRegister322[[#This Row],[Asset Class]],tblVCDBIndex[],4,FALSE),"")</f>
        <v>3</v>
      </c>
      <c r="N93" s="26" t="str">
        <f>IFERROR(VLOOKUP(10*tblRiskRegister322[[#This Row],[Safeguard Maturity Score]]+tblRiskRegister322[[#This Row],[VCDB Index]],tblHITIndexWeightTable[],4,FALSE),"")</f>
        <v/>
      </c>
      <c r="O93" s="26">
        <f>VLOOKUP(tblRiskRegister322[[#This Row],[Asset Class]],tblInherentImpacts3046[],2,FALSE)</f>
        <v>4</v>
      </c>
      <c r="P93" s="26">
        <f>VLOOKUP(tblRiskRegister322[[#This Row],[Asset Class]],tblInherentImpacts3046[],3,FALSE)</f>
        <v>4</v>
      </c>
      <c r="Q93" s="26">
        <f>VLOOKUP(tblRiskRegister322[[#This Row],[Asset Class]],tblInherentImpacts3046[],4,FALSE)</f>
        <v>5</v>
      </c>
      <c r="R93" s="26">
        <f>VLOOKUP(tblRiskRegister322[[#This Row],[Asset Class]],tblInherentImpacts3046[],5,FALSE)</f>
        <v>5</v>
      </c>
      <c r="S93" s="26" t="str">
        <f>IFERROR(MAX(tblRiskRegister322[[#This Row],[Impact to Mission]:[Impact to Obligations]])*tblRiskRegister322[[#This Row],[Expectancy Score]],"")</f>
        <v/>
      </c>
      <c r="T93" s="29" t="str">
        <f>tblRiskRegister322[[#This Row],[Risk Score]]</f>
        <v/>
      </c>
      <c r="U93" s="17"/>
      <c r="V93" s="112">
        <v>17.399999999999999</v>
      </c>
      <c r="W93" s="44" t="s">
        <v>267</v>
      </c>
      <c r="X93" s="44" t="s">
        <v>537</v>
      </c>
      <c r="Y93" s="30"/>
      <c r="Z93" s="16"/>
      <c r="AA93" s="25" t="str">
        <f>IFERROR(VLOOKUP(10*tblRiskRegister322[[#This Row],[Risk Treatment Safeguard Maturity Score]]+tblRiskRegister322[[#This Row],[VCDB Index]],tblHITIndexWeightTable[],4,FALSE),"")</f>
        <v/>
      </c>
      <c r="AB93" s="136"/>
      <c r="AC93" s="136"/>
      <c r="AD93" s="136"/>
      <c r="AE93" s="136"/>
      <c r="AF93" s="25" t="str">
        <f>IFERROR(MAX(tblRiskRegister322[[#This Row],[Risk Treatment Safeguard Impact to Mission]:[Risk Treatment Safeguard Impact to Obligations]])*tblRiskRegister322[[#This Row],[Risk Treatment
Safeguard Expectancy Score]],"")</f>
        <v/>
      </c>
      <c r="AG93" s="27" t="str">
        <f>IF(tblRiskRegister322[[#This Row],[Risk Score]]&gt;AcceptableRisk1,IF(tblRiskRegister322[[#This Row],[Risk Treatment Safeguard Risk Score]]&lt;AcceptableRisk1, IF(tblRiskRegister322[[#This Row],[Risk Treatment Safeguard Risk Score]]&lt;=tblRiskRegister322[[#This Row],[Risk Score]],"Yes","No"),"No"),"Yes")</f>
        <v>No</v>
      </c>
      <c r="AH93" s="18"/>
      <c r="AI93" s="18"/>
      <c r="AJ93" s="19"/>
    </row>
    <row r="94" spans="2:36" ht="51" x14ac:dyDescent="0.2">
      <c r="B94" s="44" t="s">
        <v>135</v>
      </c>
      <c r="C94" s="44"/>
      <c r="D94" s="13">
        <v>17.5</v>
      </c>
      <c r="E94" s="14" t="s">
        <v>268</v>
      </c>
      <c r="F94" s="17"/>
      <c r="G94" s="17" t="s">
        <v>785</v>
      </c>
      <c r="H94" s="17" t="s">
        <v>927</v>
      </c>
      <c r="I94" s="14"/>
      <c r="J94" s="14"/>
      <c r="K94" s="14"/>
      <c r="L94" s="16"/>
      <c r="M94" s="26">
        <f>IFERROR(VLOOKUP(tblRiskRegister322[[#This Row],[Asset Class]],tblVCDBIndex[],4,FALSE),"")</f>
        <v>3</v>
      </c>
      <c r="N94" s="26" t="str">
        <f>IFERROR(VLOOKUP(10*tblRiskRegister322[[#This Row],[Safeguard Maturity Score]]+tblRiskRegister322[[#This Row],[VCDB Index]],tblHITIndexWeightTable[],4,FALSE),"")</f>
        <v/>
      </c>
      <c r="O94" s="26">
        <f>VLOOKUP(tblRiskRegister322[[#This Row],[Asset Class]],tblInherentImpacts3046[],2,FALSE)</f>
        <v>4</v>
      </c>
      <c r="P94" s="26">
        <f>VLOOKUP(tblRiskRegister322[[#This Row],[Asset Class]],tblInherentImpacts3046[],3,FALSE)</f>
        <v>4</v>
      </c>
      <c r="Q94" s="26">
        <f>VLOOKUP(tblRiskRegister322[[#This Row],[Asset Class]],tblInherentImpacts3046[],4,FALSE)</f>
        <v>5</v>
      </c>
      <c r="R94" s="26">
        <f>VLOOKUP(tblRiskRegister322[[#This Row],[Asset Class]],tblInherentImpacts3046[],5,FALSE)</f>
        <v>5</v>
      </c>
      <c r="S94" s="26" t="str">
        <f>IFERROR(MAX(tblRiskRegister322[[#This Row],[Impact to Mission]:[Impact to Obligations]])*tblRiskRegister322[[#This Row],[Expectancy Score]],"")</f>
        <v/>
      </c>
      <c r="T94" s="29" t="str">
        <f>tblRiskRegister322[[#This Row],[Risk Score]]</f>
        <v/>
      </c>
      <c r="U94" s="17"/>
      <c r="V94" s="112">
        <v>17.5</v>
      </c>
      <c r="W94" s="44" t="s">
        <v>268</v>
      </c>
      <c r="X94" s="44" t="s">
        <v>538</v>
      </c>
      <c r="Y94" s="30"/>
      <c r="Z94" s="16"/>
      <c r="AA94" s="25" t="str">
        <f>IFERROR(VLOOKUP(10*tblRiskRegister322[[#This Row],[Risk Treatment Safeguard Maturity Score]]+tblRiskRegister322[[#This Row],[VCDB Index]],tblHITIndexWeightTable[],4,FALSE),"")</f>
        <v/>
      </c>
      <c r="AB94" s="136"/>
      <c r="AC94" s="136"/>
      <c r="AD94" s="136"/>
      <c r="AE94" s="136"/>
      <c r="AF94" s="25" t="str">
        <f>IFERROR(MAX(tblRiskRegister322[[#This Row],[Risk Treatment Safeguard Impact to Mission]:[Risk Treatment Safeguard Impact to Obligations]])*tblRiskRegister322[[#This Row],[Risk Treatment
Safeguard Expectancy Score]],"")</f>
        <v/>
      </c>
      <c r="AG94" s="27" t="str">
        <f>IF(tblRiskRegister322[[#This Row],[Risk Score]]&gt;AcceptableRisk1,IF(tblRiskRegister322[[#This Row],[Risk Treatment Safeguard Risk Score]]&lt;AcceptableRisk1, IF(tblRiskRegister322[[#This Row],[Risk Treatment Safeguard Risk Score]]&lt;=tblRiskRegister322[[#This Row],[Risk Score]],"Yes","No"),"No"),"Yes")</f>
        <v>No</v>
      </c>
      <c r="AH94" s="18"/>
      <c r="AI94" s="18"/>
      <c r="AJ94" s="19"/>
    </row>
    <row r="95" spans="2:36" ht="63.75" x14ac:dyDescent="0.2">
      <c r="B95" s="44" t="s">
        <v>135</v>
      </c>
      <c r="C95" s="44"/>
      <c r="D95" s="13">
        <v>17.600000000000001</v>
      </c>
      <c r="E95" s="14" t="s">
        <v>269</v>
      </c>
      <c r="F95" s="17"/>
      <c r="G95" s="17" t="s">
        <v>785</v>
      </c>
      <c r="H95" s="17" t="s">
        <v>927</v>
      </c>
      <c r="I95" s="14"/>
      <c r="J95" s="14"/>
      <c r="K95" s="14"/>
      <c r="L95" s="16"/>
      <c r="M95" s="26">
        <f>IFERROR(VLOOKUP(tblRiskRegister322[[#This Row],[Asset Class]],tblVCDBIndex[],4,FALSE),"")</f>
        <v>3</v>
      </c>
      <c r="N95" s="26" t="str">
        <f>IFERROR(VLOOKUP(10*tblRiskRegister322[[#This Row],[Safeguard Maturity Score]]+tblRiskRegister322[[#This Row],[VCDB Index]],tblHITIndexWeightTable[],4,FALSE),"")</f>
        <v/>
      </c>
      <c r="O95" s="26">
        <f>VLOOKUP(tblRiskRegister322[[#This Row],[Asset Class]],tblInherentImpacts3046[],2,FALSE)</f>
        <v>4</v>
      </c>
      <c r="P95" s="26">
        <f>VLOOKUP(tblRiskRegister322[[#This Row],[Asset Class]],tblInherentImpacts3046[],3,FALSE)</f>
        <v>4</v>
      </c>
      <c r="Q95" s="26">
        <f>VLOOKUP(tblRiskRegister322[[#This Row],[Asset Class]],tblInherentImpacts3046[],4,FALSE)</f>
        <v>5</v>
      </c>
      <c r="R95" s="26">
        <f>VLOOKUP(tblRiskRegister322[[#This Row],[Asset Class]],tblInherentImpacts3046[],5,FALSE)</f>
        <v>5</v>
      </c>
      <c r="S95" s="26" t="str">
        <f>IFERROR(MAX(tblRiskRegister322[[#This Row],[Impact to Mission]:[Impact to Obligations]])*tblRiskRegister322[[#This Row],[Expectancy Score]],"")</f>
        <v/>
      </c>
      <c r="T95" s="29" t="str">
        <f>tblRiskRegister322[[#This Row],[Risk Score]]</f>
        <v/>
      </c>
      <c r="U95" s="17"/>
      <c r="V95" s="112">
        <v>17.600000000000001</v>
      </c>
      <c r="W95" s="44" t="s">
        <v>269</v>
      </c>
      <c r="X95" s="44" t="s">
        <v>539</v>
      </c>
      <c r="Y95" s="30"/>
      <c r="Z95" s="16"/>
      <c r="AA95" s="25" t="str">
        <f>IFERROR(VLOOKUP(10*tblRiskRegister322[[#This Row],[Risk Treatment Safeguard Maturity Score]]+tblRiskRegister322[[#This Row],[VCDB Index]],tblHITIndexWeightTable[],4,FALSE),"")</f>
        <v/>
      </c>
      <c r="AB95" s="136"/>
      <c r="AC95" s="136"/>
      <c r="AD95" s="136"/>
      <c r="AE95" s="136"/>
      <c r="AF95" s="25" t="str">
        <f>IFERROR(MAX(tblRiskRegister322[[#This Row],[Risk Treatment Safeguard Impact to Mission]:[Risk Treatment Safeguard Impact to Obligations]])*tblRiskRegister322[[#This Row],[Risk Treatment
Safeguard Expectancy Score]],"")</f>
        <v/>
      </c>
      <c r="AG95" s="27" t="str">
        <f>IF(tblRiskRegister322[[#This Row],[Risk Score]]&gt;AcceptableRisk1,IF(tblRiskRegister322[[#This Row],[Risk Treatment Safeguard Risk Score]]&lt;AcceptableRisk1, IF(tblRiskRegister322[[#This Row],[Risk Treatment Safeguard Risk Score]]&lt;=tblRiskRegister322[[#This Row],[Risk Score]],"Yes","No"),"No"),"Yes")</f>
        <v>No</v>
      </c>
      <c r="AH95" s="18"/>
      <c r="AI95" s="18"/>
      <c r="AJ95" s="19"/>
    </row>
    <row r="96" spans="2:36" ht="51" x14ac:dyDescent="0.2">
      <c r="B96" s="44" t="s">
        <v>135</v>
      </c>
      <c r="C96" s="44"/>
      <c r="D96" s="13">
        <v>17.7</v>
      </c>
      <c r="E96" s="14" t="s">
        <v>270</v>
      </c>
      <c r="F96" s="17"/>
      <c r="G96" s="17" t="s">
        <v>785</v>
      </c>
      <c r="H96" s="17" t="s">
        <v>931</v>
      </c>
      <c r="I96" s="14"/>
      <c r="J96" s="14"/>
      <c r="K96" s="14"/>
      <c r="L96" s="16"/>
      <c r="M96" s="26">
        <f>IFERROR(VLOOKUP(tblRiskRegister322[[#This Row],[Asset Class]],tblVCDBIndex[],4,FALSE),"")</f>
        <v>3</v>
      </c>
      <c r="N96" s="26" t="str">
        <f>IFERROR(VLOOKUP(10*tblRiskRegister322[[#This Row],[Safeguard Maturity Score]]+tblRiskRegister322[[#This Row],[VCDB Index]],tblHITIndexWeightTable[],4,FALSE),"")</f>
        <v/>
      </c>
      <c r="O96" s="26">
        <f>VLOOKUP(tblRiskRegister322[[#This Row],[Asset Class]],tblInherentImpacts3046[],2,FALSE)</f>
        <v>4</v>
      </c>
      <c r="P96" s="26">
        <f>VLOOKUP(tblRiskRegister322[[#This Row],[Asset Class]],tblInherentImpacts3046[],3,FALSE)</f>
        <v>4</v>
      </c>
      <c r="Q96" s="26">
        <f>VLOOKUP(tblRiskRegister322[[#This Row],[Asset Class]],tblInherentImpacts3046[],4,FALSE)</f>
        <v>5</v>
      </c>
      <c r="R96" s="26">
        <f>VLOOKUP(tblRiskRegister322[[#This Row],[Asset Class]],tblInherentImpacts3046[],5,FALSE)</f>
        <v>5</v>
      </c>
      <c r="S96" s="26" t="str">
        <f>IFERROR(MAX(tblRiskRegister322[[#This Row],[Impact to Mission]:[Impact to Obligations]])*tblRiskRegister322[[#This Row],[Expectancy Score]],"")</f>
        <v/>
      </c>
      <c r="T96" s="29" t="str">
        <f>tblRiskRegister322[[#This Row],[Risk Score]]</f>
        <v/>
      </c>
      <c r="U96" s="17"/>
      <c r="V96" s="112">
        <v>17.7</v>
      </c>
      <c r="W96" s="44" t="s">
        <v>270</v>
      </c>
      <c r="X96" s="44" t="s">
        <v>540</v>
      </c>
      <c r="Y96" s="30"/>
      <c r="Z96" s="16"/>
      <c r="AA96" s="25" t="str">
        <f>IFERROR(VLOOKUP(10*tblRiskRegister322[[#This Row],[Risk Treatment Safeguard Maturity Score]]+tblRiskRegister322[[#This Row],[VCDB Index]],tblHITIndexWeightTable[],4,FALSE),"")</f>
        <v/>
      </c>
      <c r="AB96" s="136"/>
      <c r="AC96" s="136"/>
      <c r="AD96" s="136"/>
      <c r="AE96" s="136"/>
      <c r="AF96" s="25" t="str">
        <f>IFERROR(MAX(tblRiskRegister322[[#This Row],[Risk Treatment Safeguard Impact to Mission]:[Risk Treatment Safeguard Impact to Obligations]])*tblRiskRegister322[[#This Row],[Risk Treatment
Safeguard Expectancy Score]],"")</f>
        <v/>
      </c>
      <c r="AG96" s="27" t="str">
        <f>IF(tblRiskRegister322[[#This Row],[Risk Score]]&gt;AcceptableRisk1,IF(tblRiskRegister322[[#This Row],[Risk Treatment Safeguard Risk Score]]&lt;AcceptableRisk1, IF(tblRiskRegister322[[#This Row],[Risk Treatment Safeguard Risk Score]]&lt;=tblRiskRegister322[[#This Row],[Risk Score]],"Yes","No"),"No"),"Yes")</f>
        <v>No</v>
      </c>
      <c r="AH96" s="18"/>
      <c r="AI96" s="18"/>
      <c r="AJ96" s="19"/>
    </row>
    <row r="97" spans="2:36" ht="25.5" x14ac:dyDescent="0.2">
      <c r="B97" s="44" t="s">
        <v>135</v>
      </c>
      <c r="C97" s="44"/>
      <c r="D97" s="13">
        <v>17.8</v>
      </c>
      <c r="E97" s="14" t="s">
        <v>271</v>
      </c>
      <c r="F97" s="17"/>
      <c r="G97" s="17" t="s">
        <v>785</v>
      </c>
      <c r="H97" s="17" t="s">
        <v>931</v>
      </c>
      <c r="I97" s="14"/>
      <c r="J97" s="14"/>
      <c r="K97" s="14"/>
      <c r="L97" s="16"/>
      <c r="M97" s="26">
        <f>IFERROR(VLOOKUP(tblRiskRegister322[[#This Row],[Asset Class]],tblVCDBIndex[],4,FALSE),"")</f>
        <v>3</v>
      </c>
      <c r="N97" s="26" t="str">
        <f>IFERROR(VLOOKUP(10*tblRiskRegister322[[#This Row],[Safeguard Maturity Score]]+tblRiskRegister322[[#This Row],[VCDB Index]],tblHITIndexWeightTable[],4,FALSE),"")</f>
        <v/>
      </c>
      <c r="O97" s="26">
        <f>VLOOKUP(tblRiskRegister322[[#This Row],[Asset Class]],tblInherentImpacts3046[],2,FALSE)</f>
        <v>4</v>
      </c>
      <c r="P97" s="26">
        <f>VLOOKUP(tblRiskRegister322[[#This Row],[Asset Class]],tblInherentImpacts3046[],3,FALSE)</f>
        <v>4</v>
      </c>
      <c r="Q97" s="26">
        <f>VLOOKUP(tblRiskRegister322[[#This Row],[Asset Class]],tblInherentImpacts3046[],4,FALSE)</f>
        <v>5</v>
      </c>
      <c r="R97" s="26">
        <f>VLOOKUP(tblRiskRegister322[[#This Row],[Asset Class]],tblInherentImpacts3046[],5,FALSE)</f>
        <v>5</v>
      </c>
      <c r="S97" s="26" t="str">
        <f>IFERROR(MAX(tblRiskRegister322[[#This Row],[Impact to Mission]:[Impact to Obligations]])*tblRiskRegister322[[#This Row],[Expectancy Score]],"")</f>
        <v/>
      </c>
      <c r="T97" s="29" t="str">
        <f>tblRiskRegister322[[#This Row],[Risk Score]]</f>
        <v/>
      </c>
      <c r="U97" s="17"/>
      <c r="V97" s="112">
        <v>17.8</v>
      </c>
      <c r="W97" s="44" t="s">
        <v>271</v>
      </c>
      <c r="X97" s="44" t="s">
        <v>541</v>
      </c>
      <c r="Y97" s="30"/>
      <c r="Z97" s="16"/>
      <c r="AA97" s="25" t="str">
        <f>IFERROR(VLOOKUP(10*tblRiskRegister322[[#This Row],[Risk Treatment Safeguard Maturity Score]]+tblRiskRegister322[[#This Row],[VCDB Index]],tblHITIndexWeightTable[],4,FALSE),"")</f>
        <v/>
      </c>
      <c r="AB97" s="136"/>
      <c r="AC97" s="136"/>
      <c r="AD97" s="136"/>
      <c r="AE97" s="136"/>
      <c r="AF97" s="25" t="str">
        <f>IFERROR(MAX(tblRiskRegister322[[#This Row],[Risk Treatment Safeguard Impact to Mission]:[Risk Treatment Safeguard Impact to Obligations]])*tblRiskRegister322[[#This Row],[Risk Treatment
Safeguard Expectancy Score]],"")</f>
        <v/>
      </c>
      <c r="AG97" s="27" t="str">
        <f>IF(tblRiskRegister322[[#This Row],[Risk Score]]&gt;AcceptableRisk1,IF(tblRiskRegister322[[#This Row],[Risk Treatment Safeguard Risk Score]]&lt;AcceptableRisk1, IF(tblRiskRegister322[[#This Row],[Risk Treatment Safeguard Risk Score]]&lt;=tblRiskRegister322[[#This Row],[Risk Score]],"Yes","No"),"No"),"Yes")</f>
        <v>No</v>
      </c>
      <c r="AH97" s="18"/>
      <c r="AI97" s="18"/>
      <c r="AJ97" s="19"/>
    </row>
    <row r="98" spans="2:36" ht="76.5" x14ac:dyDescent="0.2">
      <c r="B98" s="44" t="s">
        <v>135</v>
      </c>
      <c r="C98" s="44"/>
      <c r="D98" s="13">
        <v>18.100000000000001</v>
      </c>
      <c r="E98" s="14" t="s">
        <v>272</v>
      </c>
      <c r="F98" s="17"/>
      <c r="G98" s="17" t="s">
        <v>785</v>
      </c>
      <c r="H98" s="17" t="s">
        <v>926</v>
      </c>
      <c r="I98" s="14"/>
      <c r="J98" s="14"/>
      <c r="K98" s="14"/>
      <c r="L98" s="16"/>
      <c r="M98" s="26">
        <f>IFERROR(VLOOKUP(tblRiskRegister322[[#This Row],[Asset Class]],tblVCDBIndex[],4,FALSE),"")</f>
        <v>3</v>
      </c>
      <c r="N98" s="26" t="str">
        <f>IFERROR(VLOOKUP(10*tblRiskRegister322[[#This Row],[Safeguard Maturity Score]]+tblRiskRegister322[[#This Row],[VCDB Index]],tblHITIndexWeightTable[],4,FALSE),"")</f>
        <v/>
      </c>
      <c r="O98" s="26">
        <f>VLOOKUP(tblRiskRegister322[[#This Row],[Asset Class]],tblInherentImpacts3046[],2,FALSE)</f>
        <v>4</v>
      </c>
      <c r="P98" s="26">
        <f>VLOOKUP(tblRiskRegister322[[#This Row],[Asset Class]],tblInherentImpacts3046[],3,FALSE)</f>
        <v>4</v>
      </c>
      <c r="Q98" s="26">
        <f>VLOOKUP(tblRiskRegister322[[#This Row],[Asset Class]],tblInherentImpacts3046[],4,FALSE)</f>
        <v>5</v>
      </c>
      <c r="R98" s="26">
        <f>VLOOKUP(tblRiskRegister322[[#This Row],[Asset Class]],tblInherentImpacts3046[],5,FALSE)</f>
        <v>5</v>
      </c>
      <c r="S98" s="26" t="str">
        <f>IFERROR(MAX(tblRiskRegister322[[#This Row],[Impact to Mission]:[Impact to Obligations]])*tblRiskRegister322[[#This Row],[Expectancy Score]],"")</f>
        <v/>
      </c>
      <c r="T98" s="29" t="str">
        <f>tblRiskRegister322[[#This Row],[Risk Score]]</f>
        <v/>
      </c>
      <c r="U98" s="17"/>
      <c r="V98" s="112">
        <v>18.100000000000001</v>
      </c>
      <c r="W98" s="44" t="s">
        <v>272</v>
      </c>
      <c r="X98" s="44" t="s">
        <v>542</v>
      </c>
      <c r="Y98" s="30"/>
      <c r="Z98" s="16"/>
      <c r="AA98" s="25" t="str">
        <f>IFERROR(VLOOKUP(10*tblRiskRegister322[[#This Row],[Risk Treatment Safeguard Maturity Score]]+tblRiskRegister322[[#This Row],[VCDB Index]],tblHITIndexWeightTable[],4,FALSE),"")</f>
        <v/>
      </c>
      <c r="AB98" s="136"/>
      <c r="AC98" s="136"/>
      <c r="AD98" s="136"/>
      <c r="AE98" s="136"/>
      <c r="AF98" s="25" t="str">
        <f>IFERROR(MAX(tblRiskRegister322[[#This Row],[Risk Treatment Safeguard Impact to Mission]:[Risk Treatment Safeguard Impact to Obligations]])*tblRiskRegister322[[#This Row],[Risk Treatment
Safeguard Expectancy Score]],"")</f>
        <v/>
      </c>
      <c r="AG98" s="27" t="str">
        <f>IF(tblRiskRegister322[[#This Row],[Risk Score]]&gt;AcceptableRisk1,IF(tblRiskRegister322[[#This Row],[Risk Treatment Safeguard Risk Score]]&lt;AcceptableRisk1, IF(tblRiskRegister322[[#This Row],[Risk Treatment Safeguard Risk Score]]&lt;=tblRiskRegister322[[#This Row],[Risk Score]],"Yes","No"),"No"),"Yes")</f>
        <v>No</v>
      </c>
      <c r="AH98" s="18"/>
      <c r="AI98" s="18"/>
      <c r="AJ98" s="19"/>
    </row>
    <row r="99" spans="2:36" ht="25.5" x14ac:dyDescent="0.2">
      <c r="B99" s="44" t="s">
        <v>133</v>
      </c>
      <c r="C99" s="44"/>
      <c r="D99" s="13">
        <v>3.12</v>
      </c>
      <c r="E99" s="14" t="s">
        <v>273</v>
      </c>
      <c r="F99" s="17"/>
      <c r="G99" s="17" t="s">
        <v>785</v>
      </c>
      <c r="H99" s="17" t="s">
        <v>928</v>
      </c>
      <c r="I99" s="14"/>
      <c r="J99" s="14"/>
      <c r="K99" s="14"/>
      <c r="L99" s="137">
        <v>4</v>
      </c>
      <c r="M99" s="26">
        <f>IFERROR(VLOOKUP(tblRiskRegister322[[#This Row],[Asset Class]],tblVCDBIndex[],4,FALSE),"")</f>
        <v>1</v>
      </c>
      <c r="N99" s="26">
        <f>IFERROR(VLOOKUP(10*tblRiskRegister322[[#This Row],[Safeguard Maturity Score]]+tblRiskRegister322[[#This Row],[VCDB Index]],tblHITIndexWeightTable[],4,FALSE),"")</f>
        <v>1</v>
      </c>
      <c r="O99" s="26">
        <f>VLOOKUP(tblRiskRegister322[[#This Row],[Asset Class]],tblInherentImpacts3046[],2,FALSE)</f>
        <v>3</v>
      </c>
      <c r="P99" s="26">
        <f>VLOOKUP(tblRiskRegister322[[#This Row],[Asset Class]],tblInherentImpacts3046[],3,FALSE)</f>
        <v>4</v>
      </c>
      <c r="Q99" s="26">
        <f>VLOOKUP(tblRiskRegister322[[#This Row],[Asset Class]],tblInherentImpacts3046[],4,FALSE)</f>
        <v>3</v>
      </c>
      <c r="R99" s="26">
        <f>VLOOKUP(tblRiskRegister322[[#This Row],[Asset Class]],tblInherentImpacts3046[],5,FALSE)</f>
        <v>1</v>
      </c>
      <c r="S99" s="26">
        <f>IFERROR(MAX(tblRiskRegister322[[#This Row],[Impact to Mission]:[Impact to Obligations]])*tblRiskRegister322[[#This Row],[Expectancy Score]],"")</f>
        <v>4</v>
      </c>
      <c r="T99" s="29">
        <f>tblRiskRegister322[[#This Row],[Risk Score]]</f>
        <v>4</v>
      </c>
      <c r="U99" s="17"/>
      <c r="V99" s="112">
        <v>3.12</v>
      </c>
      <c r="W99" s="44" t="s">
        <v>273</v>
      </c>
      <c r="X99" s="44" t="s">
        <v>436</v>
      </c>
      <c r="Y99" s="30"/>
      <c r="Z99" s="16"/>
      <c r="AA99" s="25" t="str">
        <f>IFERROR(VLOOKUP(10*tblRiskRegister322[[#This Row],[Risk Treatment Safeguard Maturity Score]]+tblRiskRegister322[[#This Row],[VCDB Index]],tblHITIndexWeightTable[],4,FALSE),"")</f>
        <v/>
      </c>
      <c r="AB99" s="136"/>
      <c r="AC99" s="136"/>
      <c r="AD99" s="136"/>
      <c r="AE99" s="136"/>
      <c r="AF99" s="25" t="str">
        <f>IFERROR(MAX(tblRiskRegister322[[#This Row],[Risk Treatment Safeguard Impact to Mission]:[Risk Treatment Safeguard Impact to Obligations]])*tblRiskRegister322[[#This Row],[Risk Treatment
Safeguard Expectancy Score]],"")</f>
        <v/>
      </c>
      <c r="AG99" s="27" t="str">
        <f>IF(tblRiskRegister322[[#This Row],[Risk Score]]&gt;AcceptableRisk1,IF(tblRiskRegister322[[#This Row],[Risk Treatment Safeguard Risk Score]]&lt;AcceptableRisk1, IF(tblRiskRegister322[[#This Row],[Risk Treatment Safeguard Risk Score]]&lt;=tblRiskRegister322[[#This Row],[Risk Score]],"Yes","No"),"No"),"Yes")</f>
        <v>Yes</v>
      </c>
      <c r="AH99" s="18"/>
      <c r="AI99" s="18"/>
      <c r="AJ99" s="19"/>
    </row>
    <row r="100" spans="2:36" ht="38.25" x14ac:dyDescent="0.2">
      <c r="B100" s="44" t="s">
        <v>133</v>
      </c>
      <c r="C100" s="44"/>
      <c r="D100" s="13">
        <v>4.2</v>
      </c>
      <c r="E100" s="14" t="s">
        <v>89</v>
      </c>
      <c r="F100" s="17" t="s">
        <v>785</v>
      </c>
      <c r="G100" s="17" t="s">
        <v>785</v>
      </c>
      <c r="H100" s="17" t="s">
        <v>928</v>
      </c>
      <c r="I100" s="14"/>
      <c r="J100" s="14"/>
      <c r="K100" s="14"/>
      <c r="L100" s="137">
        <v>1</v>
      </c>
      <c r="M100" s="26">
        <f>IFERROR(VLOOKUP(tblRiskRegister322[[#This Row],[Asset Class]],tblVCDBIndex[],4,FALSE),"")</f>
        <v>1</v>
      </c>
      <c r="N100" s="26">
        <f>IFERROR(VLOOKUP(10*tblRiskRegister322[[#This Row],[Safeguard Maturity Score]]+tblRiskRegister322[[#This Row],[VCDB Index]],tblHITIndexWeightTable[],4,FALSE),"")</f>
        <v>4</v>
      </c>
      <c r="O100" s="26">
        <f>VLOOKUP(tblRiskRegister322[[#This Row],[Asset Class]],tblInherentImpacts3046[],2,FALSE)</f>
        <v>3</v>
      </c>
      <c r="P100" s="26">
        <f>VLOOKUP(tblRiskRegister322[[#This Row],[Asset Class]],tblInherentImpacts3046[],3,FALSE)</f>
        <v>4</v>
      </c>
      <c r="Q100" s="26">
        <f>VLOOKUP(tblRiskRegister322[[#This Row],[Asset Class]],tblInherentImpacts3046[],4,FALSE)</f>
        <v>3</v>
      </c>
      <c r="R100" s="26">
        <f>VLOOKUP(tblRiskRegister322[[#This Row],[Asset Class]],tblInherentImpacts3046[],5,FALSE)</f>
        <v>1</v>
      </c>
      <c r="S100" s="26">
        <f>IFERROR(MAX(tblRiskRegister322[[#This Row],[Impact to Mission]:[Impact to Obligations]])*tblRiskRegister322[[#This Row],[Expectancy Score]],"")</f>
        <v>16</v>
      </c>
      <c r="T100" s="29">
        <f>tblRiskRegister322[[#This Row],[Risk Score]]</f>
        <v>16</v>
      </c>
      <c r="U100" s="17"/>
      <c r="V100" s="112">
        <v>4.2</v>
      </c>
      <c r="W100" s="44" t="s">
        <v>89</v>
      </c>
      <c r="X100" s="44" t="s">
        <v>438</v>
      </c>
      <c r="Y100" s="30"/>
      <c r="Z100" s="16"/>
      <c r="AA100" s="25" t="str">
        <f>IFERROR(VLOOKUP(10*tblRiskRegister322[[#This Row],[Risk Treatment Safeguard Maturity Score]]+tblRiskRegister322[[#This Row],[VCDB Index]],tblHITIndexWeightTable[],4,FALSE),"")</f>
        <v/>
      </c>
      <c r="AB100" s="136"/>
      <c r="AC100" s="136"/>
      <c r="AD100" s="136"/>
      <c r="AE100" s="136"/>
      <c r="AF100" s="25" t="str">
        <f>IFERROR(MAX(tblRiskRegister322[[#This Row],[Risk Treatment Safeguard Impact to Mission]:[Risk Treatment Safeguard Impact to Obligations]])*tblRiskRegister322[[#This Row],[Risk Treatment
Safeguard Expectancy Score]],"")</f>
        <v/>
      </c>
      <c r="AG100" s="27" t="str">
        <f>IF(tblRiskRegister322[[#This Row],[Risk Score]]&gt;AcceptableRisk1,IF(tblRiskRegister322[[#This Row],[Risk Treatment Safeguard Risk Score]]&lt;AcceptableRisk1, IF(tblRiskRegister322[[#This Row],[Risk Treatment Safeguard Risk Score]]&lt;=tblRiskRegister322[[#This Row],[Risk Score]],"Yes","No"),"No"),"Yes")</f>
        <v>No</v>
      </c>
      <c r="AH100" s="18"/>
      <c r="AI100" s="18"/>
      <c r="AJ100" s="19"/>
    </row>
    <row r="101" spans="2:36" ht="63.75" x14ac:dyDescent="0.2">
      <c r="B101" s="44" t="s">
        <v>133</v>
      </c>
      <c r="C101" s="44"/>
      <c r="D101" s="13">
        <v>4.5999999999999996</v>
      </c>
      <c r="E101" s="14" t="s">
        <v>93</v>
      </c>
      <c r="F101" s="17" t="s">
        <v>785</v>
      </c>
      <c r="G101" s="17" t="s">
        <v>785</v>
      </c>
      <c r="H101" s="17" t="s">
        <v>928</v>
      </c>
      <c r="I101" s="14"/>
      <c r="J101" s="14"/>
      <c r="K101" s="14"/>
      <c r="L101" s="137">
        <v>4</v>
      </c>
      <c r="M101" s="26">
        <f>IFERROR(VLOOKUP(tblRiskRegister322[[#This Row],[Asset Class]],tblVCDBIndex[],4,FALSE),"")</f>
        <v>1</v>
      </c>
      <c r="N101" s="26">
        <f>IFERROR(VLOOKUP(10*tblRiskRegister322[[#This Row],[Safeguard Maturity Score]]+tblRiskRegister322[[#This Row],[VCDB Index]],tblHITIndexWeightTable[],4,FALSE),"")</f>
        <v>1</v>
      </c>
      <c r="O101" s="26">
        <f>VLOOKUP(tblRiskRegister322[[#This Row],[Asset Class]],tblInherentImpacts3046[],2,FALSE)</f>
        <v>3</v>
      </c>
      <c r="P101" s="26">
        <f>VLOOKUP(tblRiskRegister322[[#This Row],[Asset Class]],tblInherentImpacts3046[],3,FALSE)</f>
        <v>4</v>
      </c>
      <c r="Q101" s="26">
        <f>VLOOKUP(tblRiskRegister322[[#This Row],[Asset Class]],tblInherentImpacts3046[],4,FALSE)</f>
        <v>3</v>
      </c>
      <c r="R101" s="26">
        <f>VLOOKUP(tblRiskRegister322[[#This Row],[Asset Class]],tblInherentImpacts3046[],5,FALSE)</f>
        <v>1</v>
      </c>
      <c r="S101" s="26">
        <f>IFERROR(MAX(tblRiskRegister322[[#This Row],[Impact to Mission]:[Impact to Obligations]])*tblRiskRegister322[[#This Row],[Expectancy Score]],"")</f>
        <v>4</v>
      </c>
      <c r="T101" s="29">
        <f>tblRiskRegister322[[#This Row],[Risk Score]]</f>
        <v>4</v>
      </c>
      <c r="U101" s="17"/>
      <c r="V101" s="112">
        <v>4.5999999999999996</v>
      </c>
      <c r="W101" s="44" t="s">
        <v>93</v>
      </c>
      <c r="X101" s="44" t="s">
        <v>442</v>
      </c>
      <c r="Y101" s="30"/>
      <c r="Z101" s="16"/>
      <c r="AA101" s="25" t="str">
        <f>IFERROR(VLOOKUP(10*tblRiskRegister322[[#This Row],[Risk Treatment Safeguard Maturity Score]]+tblRiskRegister322[[#This Row],[VCDB Index]],tblHITIndexWeightTable[],4,FALSE),"")</f>
        <v/>
      </c>
      <c r="AB101" s="136"/>
      <c r="AC101" s="136"/>
      <c r="AD101" s="136"/>
      <c r="AE101" s="136"/>
      <c r="AF101" s="25" t="str">
        <f>IFERROR(MAX(tblRiskRegister322[[#This Row],[Risk Treatment Safeguard Impact to Mission]:[Risk Treatment Safeguard Impact to Obligations]])*tblRiskRegister322[[#This Row],[Risk Treatment
Safeguard Expectancy Score]],"")</f>
        <v/>
      </c>
      <c r="AG101" s="27" t="str">
        <f>IF(tblRiskRegister322[[#This Row],[Risk Score]]&gt;AcceptableRisk1,IF(tblRiskRegister322[[#This Row],[Risk Treatment Safeguard Risk Score]]&lt;AcceptableRisk1, IF(tblRiskRegister322[[#This Row],[Risk Treatment Safeguard Risk Score]]&lt;=tblRiskRegister322[[#This Row],[Risk Score]],"Yes","No"),"No"),"Yes")</f>
        <v>Yes</v>
      </c>
      <c r="AH101" s="18"/>
      <c r="AI101" s="18"/>
      <c r="AJ101" s="19"/>
    </row>
    <row r="102" spans="2:36" ht="51" x14ac:dyDescent="0.2">
      <c r="B102" s="44" t="s">
        <v>133</v>
      </c>
      <c r="C102" s="44"/>
      <c r="D102" s="13">
        <v>8.1</v>
      </c>
      <c r="E102" s="14" t="s">
        <v>106</v>
      </c>
      <c r="F102" s="17" t="s">
        <v>785</v>
      </c>
      <c r="G102" s="17" t="s">
        <v>785</v>
      </c>
      <c r="H102" s="17" t="s">
        <v>928</v>
      </c>
      <c r="I102" s="14"/>
      <c r="J102" s="14"/>
      <c r="K102" s="14"/>
      <c r="L102" s="16"/>
      <c r="M102" s="26">
        <f>IFERROR(VLOOKUP(tblRiskRegister322[[#This Row],[Asset Class]],tblVCDBIndex[],4,FALSE),"")</f>
        <v>1</v>
      </c>
      <c r="N102" s="26" t="str">
        <f>IFERROR(VLOOKUP(10*tblRiskRegister322[[#This Row],[Safeguard Maturity Score]]+tblRiskRegister322[[#This Row],[VCDB Index]],tblHITIndexWeightTable[],4,FALSE),"")</f>
        <v/>
      </c>
      <c r="O102" s="26">
        <f>VLOOKUP(tblRiskRegister322[[#This Row],[Asset Class]],tblInherentImpacts3046[],2,FALSE)</f>
        <v>3</v>
      </c>
      <c r="P102" s="26">
        <f>VLOOKUP(tblRiskRegister322[[#This Row],[Asset Class]],tblInherentImpacts3046[],3,FALSE)</f>
        <v>4</v>
      </c>
      <c r="Q102" s="26">
        <f>VLOOKUP(tblRiskRegister322[[#This Row],[Asset Class]],tblInherentImpacts3046[],4,FALSE)</f>
        <v>3</v>
      </c>
      <c r="R102" s="26">
        <f>VLOOKUP(tblRiskRegister322[[#This Row],[Asset Class]],tblInherentImpacts3046[],5,FALSE)</f>
        <v>1</v>
      </c>
      <c r="S102" s="26" t="str">
        <f>IFERROR(MAX(tblRiskRegister322[[#This Row],[Impact to Mission]:[Impact to Obligations]])*tblRiskRegister322[[#This Row],[Expectancy Score]],"")</f>
        <v/>
      </c>
      <c r="T102" s="29" t="str">
        <f>tblRiskRegister322[[#This Row],[Risk Score]]</f>
        <v/>
      </c>
      <c r="U102" s="17"/>
      <c r="V102" s="112">
        <v>8.1</v>
      </c>
      <c r="W102" s="44" t="s">
        <v>106</v>
      </c>
      <c r="X102" s="44" t="s">
        <v>468</v>
      </c>
      <c r="Y102" s="30"/>
      <c r="Z102" s="16"/>
      <c r="AA102" s="25" t="str">
        <f>IFERROR(VLOOKUP(10*tblRiskRegister322[[#This Row],[Risk Treatment Safeguard Maturity Score]]+tblRiskRegister322[[#This Row],[VCDB Index]],tblHITIndexWeightTable[],4,FALSE),"")</f>
        <v/>
      </c>
      <c r="AB102" s="136"/>
      <c r="AC102" s="136"/>
      <c r="AD102" s="136"/>
      <c r="AE102" s="136"/>
      <c r="AF102" s="25" t="str">
        <f>IFERROR(MAX(tblRiskRegister322[[#This Row],[Risk Treatment Safeguard Impact to Mission]:[Risk Treatment Safeguard Impact to Obligations]])*tblRiskRegister322[[#This Row],[Risk Treatment
Safeguard Expectancy Score]],"")</f>
        <v/>
      </c>
      <c r="AG102" s="27" t="str">
        <f>IF(tblRiskRegister322[[#This Row],[Risk Score]]&gt;AcceptableRisk1,IF(tblRiskRegister322[[#This Row],[Risk Treatment Safeguard Risk Score]]&lt;AcceptableRisk1, IF(tblRiskRegister322[[#This Row],[Risk Treatment Safeguard Risk Score]]&lt;=tblRiskRegister322[[#This Row],[Risk Score]],"Yes","No"),"No"),"Yes")</f>
        <v>No</v>
      </c>
      <c r="AH102" s="18"/>
      <c r="AI102" s="18"/>
      <c r="AJ102" s="19"/>
    </row>
    <row r="103" spans="2:36" ht="25.5" x14ac:dyDescent="0.2">
      <c r="B103" s="44" t="s">
        <v>133</v>
      </c>
      <c r="C103" s="44"/>
      <c r="D103" s="13">
        <v>8.1999999999999993</v>
      </c>
      <c r="E103" s="14" t="s">
        <v>107</v>
      </c>
      <c r="F103" s="17" t="s">
        <v>785</v>
      </c>
      <c r="G103" s="17" t="s">
        <v>785</v>
      </c>
      <c r="H103" s="17" t="s">
        <v>929</v>
      </c>
      <c r="I103" s="14"/>
      <c r="J103" s="14"/>
      <c r="K103" s="14"/>
      <c r="L103" s="16"/>
      <c r="M103" s="26">
        <f>IFERROR(VLOOKUP(tblRiskRegister322[[#This Row],[Asset Class]],tblVCDBIndex[],4,FALSE),"")</f>
        <v>1</v>
      </c>
      <c r="N103" s="26" t="str">
        <f>IFERROR(VLOOKUP(10*tblRiskRegister322[[#This Row],[Safeguard Maturity Score]]+tblRiskRegister322[[#This Row],[VCDB Index]],tblHITIndexWeightTable[],4,FALSE),"")</f>
        <v/>
      </c>
      <c r="O103" s="26">
        <f>VLOOKUP(tblRiskRegister322[[#This Row],[Asset Class]],tblInherentImpacts3046[],2,FALSE)</f>
        <v>3</v>
      </c>
      <c r="P103" s="26">
        <f>VLOOKUP(tblRiskRegister322[[#This Row],[Asset Class]],tblInherentImpacts3046[],3,FALSE)</f>
        <v>4</v>
      </c>
      <c r="Q103" s="26">
        <f>VLOOKUP(tblRiskRegister322[[#This Row],[Asset Class]],tblInherentImpacts3046[],4,FALSE)</f>
        <v>3</v>
      </c>
      <c r="R103" s="26">
        <f>VLOOKUP(tblRiskRegister322[[#This Row],[Asset Class]],tblInherentImpacts3046[],5,FALSE)</f>
        <v>1</v>
      </c>
      <c r="S103" s="26" t="str">
        <f>IFERROR(MAX(tblRiskRegister322[[#This Row],[Impact to Mission]:[Impact to Obligations]])*tblRiskRegister322[[#This Row],[Expectancy Score]],"")</f>
        <v/>
      </c>
      <c r="T103" s="29" t="str">
        <f>tblRiskRegister322[[#This Row],[Risk Score]]</f>
        <v/>
      </c>
      <c r="U103" s="17"/>
      <c r="V103" s="112">
        <v>8.1999999999999993</v>
      </c>
      <c r="W103" s="44" t="s">
        <v>107</v>
      </c>
      <c r="X103" s="44" t="s">
        <v>469</v>
      </c>
      <c r="Y103" s="30"/>
      <c r="Z103" s="16"/>
      <c r="AA103" s="25" t="str">
        <f>IFERROR(VLOOKUP(10*tblRiskRegister322[[#This Row],[Risk Treatment Safeguard Maturity Score]]+tblRiskRegister322[[#This Row],[VCDB Index]],tblHITIndexWeightTable[],4,FALSE),"")</f>
        <v/>
      </c>
      <c r="AB103" s="136"/>
      <c r="AC103" s="136"/>
      <c r="AD103" s="136"/>
      <c r="AE103" s="136"/>
      <c r="AF103" s="25" t="str">
        <f>IFERROR(MAX(tblRiskRegister322[[#This Row],[Risk Treatment Safeguard Impact to Mission]:[Risk Treatment Safeguard Impact to Obligations]])*tblRiskRegister322[[#This Row],[Risk Treatment
Safeguard Expectancy Score]],"")</f>
        <v/>
      </c>
      <c r="AG103" s="27" t="str">
        <f>IF(tblRiskRegister322[[#This Row],[Risk Score]]&gt;AcceptableRisk1,IF(tblRiskRegister322[[#This Row],[Risk Treatment Safeguard Risk Score]]&lt;AcceptableRisk1, IF(tblRiskRegister322[[#This Row],[Risk Treatment Safeguard Risk Score]]&lt;=tblRiskRegister322[[#This Row],[Risk Score]],"Yes","No"),"No"),"Yes")</f>
        <v>No</v>
      </c>
      <c r="AH103" s="18"/>
      <c r="AI103" s="18"/>
      <c r="AJ103" s="19"/>
    </row>
    <row r="104" spans="2:36" ht="25.5" x14ac:dyDescent="0.2">
      <c r="B104" s="44" t="s">
        <v>133</v>
      </c>
      <c r="C104" s="44"/>
      <c r="D104" s="13">
        <v>8.3000000000000007</v>
      </c>
      <c r="E104" s="14" t="s">
        <v>108</v>
      </c>
      <c r="F104" s="17" t="s">
        <v>785</v>
      </c>
      <c r="G104" s="17" t="s">
        <v>785</v>
      </c>
      <c r="H104" s="17" t="s">
        <v>928</v>
      </c>
      <c r="I104" s="14"/>
      <c r="J104" s="14"/>
      <c r="K104" s="14"/>
      <c r="L104" s="16"/>
      <c r="M104" s="26">
        <f>IFERROR(VLOOKUP(tblRiskRegister322[[#This Row],[Asset Class]],tblVCDBIndex[],4,FALSE),"")</f>
        <v>1</v>
      </c>
      <c r="N104" s="26" t="str">
        <f>IFERROR(VLOOKUP(10*tblRiskRegister322[[#This Row],[Safeguard Maturity Score]]+tblRiskRegister322[[#This Row],[VCDB Index]],tblHITIndexWeightTable[],4,FALSE),"")</f>
        <v/>
      </c>
      <c r="O104" s="26">
        <f>VLOOKUP(tblRiskRegister322[[#This Row],[Asset Class]],tblInherentImpacts3046[],2,FALSE)</f>
        <v>3</v>
      </c>
      <c r="P104" s="26">
        <f>VLOOKUP(tblRiskRegister322[[#This Row],[Asset Class]],tblInherentImpacts3046[],3,FALSE)</f>
        <v>4</v>
      </c>
      <c r="Q104" s="26">
        <f>VLOOKUP(tblRiskRegister322[[#This Row],[Asset Class]],tblInherentImpacts3046[],4,FALSE)</f>
        <v>3</v>
      </c>
      <c r="R104" s="26">
        <f>VLOOKUP(tblRiskRegister322[[#This Row],[Asset Class]],tblInherentImpacts3046[],5,FALSE)</f>
        <v>1</v>
      </c>
      <c r="S104" s="26" t="str">
        <f>IFERROR(MAX(tblRiskRegister322[[#This Row],[Impact to Mission]:[Impact to Obligations]])*tblRiskRegister322[[#This Row],[Expectancy Score]],"")</f>
        <v/>
      </c>
      <c r="T104" s="29" t="str">
        <f>tblRiskRegister322[[#This Row],[Risk Score]]</f>
        <v/>
      </c>
      <c r="U104" s="17"/>
      <c r="V104" s="112">
        <v>8.3000000000000007</v>
      </c>
      <c r="W104" s="44" t="s">
        <v>108</v>
      </c>
      <c r="X104" s="44" t="s">
        <v>470</v>
      </c>
      <c r="Y104" s="30"/>
      <c r="Z104" s="16"/>
      <c r="AA104" s="25" t="str">
        <f>IFERROR(VLOOKUP(10*tblRiskRegister322[[#This Row],[Risk Treatment Safeguard Maturity Score]]+tblRiskRegister322[[#This Row],[VCDB Index]],tblHITIndexWeightTable[],4,FALSE),"")</f>
        <v/>
      </c>
      <c r="AB104" s="136"/>
      <c r="AC104" s="136"/>
      <c r="AD104" s="136"/>
      <c r="AE104" s="136"/>
      <c r="AF104" s="25" t="str">
        <f>IFERROR(MAX(tblRiskRegister322[[#This Row],[Risk Treatment Safeguard Impact to Mission]:[Risk Treatment Safeguard Impact to Obligations]])*tblRiskRegister322[[#This Row],[Risk Treatment
Safeguard Expectancy Score]],"")</f>
        <v/>
      </c>
      <c r="AG104" s="27" t="str">
        <f>IF(tblRiskRegister322[[#This Row],[Risk Score]]&gt;AcceptableRisk1,IF(tblRiskRegister322[[#This Row],[Risk Treatment Safeguard Risk Score]]&lt;AcceptableRisk1, IF(tblRiskRegister322[[#This Row],[Risk Treatment Safeguard Risk Score]]&lt;=tblRiskRegister322[[#This Row],[Risk Score]],"Yes","No"),"No"),"Yes")</f>
        <v>No</v>
      </c>
      <c r="AH104" s="18"/>
      <c r="AI104" s="18"/>
      <c r="AJ104" s="19"/>
    </row>
    <row r="105" spans="2:36" ht="25.5" x14ac:dyDescent="0.2">
      <c r="B105" s="44" t="s">
        <v>133</v>
      </c>
      <c r="C105" s="44"/>
      <c r="D105" s="13">
        <v>8.4</v>
      </c>
      <c r="E105" s="14" t="s">
        <v>274</v>
      </c>
      <c r="F105" s="17"/>
      <c r="G105" s="17" t="s">
        <v>785</v>
      </c>
      <c r="H105" s="17" t="s">
        <v>928</v>
      </c>
      <c r="I105" s="14"/>
      <c r="J105" s="14"/>
      <c r="K105" s="14"/>
      <c r="L105" s="16"/>
      <c r="M105" s="26">
        <f>IFERROR(VLOOKUP(tblRiskRegister322[[#This Row],[Asset Class]],tblVCDBIndex[],4,FALSE),"")</f>
        <v>1</v>
      </c>
      <c r="N105" s="26" t="str">
        <f>IFERROR(VLOOKUP(10*tblRiskRegister322[[#This Row],[Safeguard Maturity Score]]+tblRiskRegister322[[#This Row],[VCDB Index]],tblHITIndexWeightTable[],4,FALSE),"")</f>
        <v/>
      </c>
      <c r="O105" s="26">
        <f>VLOOKUP(tblRiskRegister322[[#This Row],[Asset Class]],tblInherentImpacts3046[],2,FALSE)</f>
        <v>3</v>
      </c>
      <c r="P105" s="26">
        <f>VLOOKUP(tblRiskRegister322[[#This Row],[Asset Class]],tblInherentImpacts3046[],3,FALSE)</f>
        <v>4</v>
      </c>
      <c r="Q105" s="26">
        <f>VLOOKUP(tblRiskRegister322[[#This Row],[Asset Class]],tblInherentImpacts3046[],4,FALSE)</f>
        <v>3</v>
      </c>
      <c r="R105" s="26">
        <f>VLOOKUP(tblRiskRegister322[[#This Row],[Asset Class]],tblInherentImpacts3046[],5,FALSE)</f>
        <v>1</v>
      </c>
      <c r="S105" s="26" t="str">
        <f>IFERROR(MAX(tblRiskRegister322[[#This Row],[Impact to Mission]:[Impact to Obligations]])*tblRiskRegister322[[#This Row],[Expectancy Score]],"")</f>
        <v/>
      </c>
      <c r="T105" s="29" t="str">
        <f>tblRiskRegister322[[#This Row],[Risk Score]]</f>
        <v/>
      </c>
      <c r="U105" s="17"/>
      <c r="V105" s="112">
        <v>8.4</v>
      </c>
      <c r="W105" s="44" t="s">
        <v>274</v>
      </c>
      <c r="X105" s="44" t="s">
        <v>471</v>
      </c>
      <c r="Y105" s="30"/>
      <c r="Z105" s="16"/>
      <c r="AA105" s="25" t="str">
        <f>IFERROR(VLOOKUP(10*tblRiskRegister322[[#This Row],[Risk Treatment Safeguard Maturity Score]]+tblRiskRegister322[[#This Row],[VCDB Index]],tblHITIndexWeightTable[],4,FALSE),"")</f>
        <v/>
      </c>
      <c r="AB105" s="136"/>
      <c r="AC105" s="136"/>
      <c r="AD105" s="136"/>
      <c r="AE105" s="136"/>
      <c r="AF105" s="25" t="str">
        <f>IFERROR(MAX(tblRiskRegister322[[#This Row],[Risk Treatment Safeguard Impact to Mission]:[Risk Treatment Safeguard Impact to Obligations]])*tblRiskRegister322[[#This Row],[Risk Treatment
Safeguard Expectancy Score]],"")</f>
        <v/>
      </c>
      <c r="AG105" s="27" t="str">
        <f>IF(tblRiskRegister322[[#This Row],[Risk Score]]&gt;AcceptableRisk1,IF(tblRiskRegister322[[#This Row],[Risk Treatment Safeguard Risk Score]]&lt;AcceptableRisk1, IF(tblRiskRegister322[[#This Row],[Risk Treatment Safeguard Risk Score]]&lt;=tblRiskRegister322[[#This Row],[Risk Score]],"Yes","No"),"No"),"Yes")</f>
        <v>No</v>
      </c>
      <c r="AH105" s="18"/>
      <c r="AI105" s="18"/>
      <c r="AJ105" s="19"/>
    </row>
    <row r="106" spans="2:36" ht="38.25" x14ac:dyDescent="0.2">
      <c r="B106" s="44" t="s">
        <v>133</v>
      </c>
      <c r="C106" s="44"/>
      <c r="D106" s="13">
        <v>8.5</v>
      </c>
      <c r="E106" s="14" t="s">
        <v>275</v>
      </c>
      <c r="F106" s="17"/>
      <c r="G106" s="17" t="s">
        <v>785</v>
      </c>
      <c r="H106" s="17" t="s">
        <v>929</v>
      </c>
      <c r="I106" s="14"/>
      <c r="J106" s="14"/>
      <c r="K106" s="14"/>
      <c r="L106" s="16"/>
      <c r="M106" s="26">
        <f>IFERROR(VLOOKUP(tblRiskRegister322[[#This Row],[Asset Class]],tblVCDBIndex[],4,FALSE),"")</f>
        <v>1</v>
      </c>
      <c r="N106" s="26" t="str">
        <f>IFERROR(VLOOKUP(10*tblRiskRegister322[[#This Row],[Safeguard Maturity Score]]+tblRiskRegister322[[#This Row],[VCDB Index]],tblHITIndexWeightTable[],4,FALSE),"")</f>
        <v/>
      </c>
      <c r="O106" s="26">
        <f>VLOOKUP(tblRiskRegister322[[#This Row],[Asset Class]],tblInherentImpacts3046[],2,FALSE)</f>
        <v>3</v>
      </c>
      <c r="P106" s="26">
        <f>VLOOKUP(tblRiskRegister322[[#This Row],[Asset Class]],tblInherentImpacts3046[],3,FALSE)</f>
        <v>4</v>
      </c>
      <c r="Q106" s="26">
        <f>VLOOKUP(tblRiskRegister322[[#This Row],[Asset Class]],tblInherentImpacts3046[],4,FALSE)</f>
        <v>3</v>
      </c>
      <c r="R106" s="26">
        <f>VLOOKUP(tblRiskRegister322[[#This Row],[Asset Class]],tblInherentImpacts3046[],5,FALSE)</f>
        <v>1</v>
      </c>
      <c r="S106" s="26" t="str">
        <f>IFERROR(MAX(tblRiskRegister322[[#This Row],[Impact to Mission]:[Impact to Obligations]])*tblRiskRegister322[[#This Row],[Expectancy Score]],"")</f>
        <v/>
      </c>
      <c r="T106" s="29" t="str">
        <f>tblRiskRegister322[[#This Row],[Risk Score]]</f>
        <v/>
      </c>
      <c r="U106" s="17"/>
      <c r="V106" s="112">
        <v>8.5</v>
      </c>
      <c r="W106" s="44" t="s">
        <v>275</v>
      </c>
      <c r="X106" s="44" t="s">
        <v>472</v>
      </c>
      <c r="Y106" s="30"/>
      <c r="Z106" s="16"/>
      <c r="AA106" s="25" t="str">
        <f>IFERROR(VLOOKUP(10*tblRiskRegister322[[#This Row],[Risk Treatment Safeguard Maturity Score]]+tblRiskRegister322[[#This Row],[VCDB Index]],tblHITIndexWeightTable[],4,FALSE),"")</f>
        <v/>
      </c>
      <c r="AB106" s="136"/>
      <c r="AC106" s="136"/>
      <c r="AD106" s="136"/>
      <c r="AE106" s="136"/>
      <c r="AF106" s="25" t="str">
        <f>IFERROR(MAX(tblRiskRegister322[[#This Row],[Risk Treatment Safeguard Impact to Mission]:[Risk Treatment Safeguard Impact to Obligations]])*tblRiskRegister322[[#This Row],[Risk Treatment
Safeguard Expectancy Score]],"")</f>
        <v/>
      </c>
      <c r="AG106" s="27" t="str">
        <f>IF(tblRiskRegister322[[#This Row],[Risk Score]]&gt;AcceptableRisk1,IF(tblRiskRegister322[[#This Row],[Risk Treatment Safeguard Risk Score]]&lt;AcceptableRisk1, IF(tblRiskRegister322[[#This Row],[Risk Treatment Safeguard Risk Score]]&lt;=tblRiskRegister322[[#This Row],[Risk Score]],"Yes","No"),"No"),"Yes")</f>
        <v>No</v>
      </c>
      <c r="AH106" s="18"/>
      <c r="AI106" s="18"/>
      <c r="AJ106" s="19"/>
    </row>
    <row r="107" spans="2:36" x14ac:dyDescent="0.2">
      <c r="B107" s="44" t="s">
        <v>133</v>
      </c>
      <c r="C107" s="44"/>
      <c r="D107" s="13">
        <v>8.6</v>
      </c>
      <c r="E107" s="14" t="s">
        <v>276</v>
      </c>
      <c r="F107" s="17"/>
      <c r="G107" s="17" t="s">
        <v>785</v>
      </c>
      <c r="H107" s="17" t="s">
        <v>929</v>
      </c>
      <c r="I107" s="14"/>
      <c r="J107" s="14"/>
      <c r="K107" s="14"/>
      <c r="L107" s="16"/>
      <c r="M107" s="26">
        <f>IFERROR(VLOOKUP(tblRiskRegister322[[#This Row],[Asset Class]],tblVCDBIndex[],4,FALSE),"")</f>
        <v>1</v>
      </c>
      <c r="N107" s="26" t="str">
        <f>IFERROR(VLOOKUP(10*tblRiskRegister322[[#This Row],[Safeguard Maturity Score]]+tblRiskRegister322[[#This Row],[VCDB Index]],tblHITIndexWeightTable[],4,FALSE),"")</f>
        <v/>
      </c>
      <c r="O107" s="26">
        <f>VLOOKUP(tblRiskRegister322[[#This Row],[Asset Class]],tblInherentImpacts3046[],2,FALSE)</f>
        <v>3</v>
      </c>
      <c r="P107" s="26">
        <f>VLOOKUP(tblRiskRegister322[[#This Row],[Asset Class]],tblInherentImpacts3046[],3,FALSE)</f>
        <v>4</v>
      </c>
      <c r="Q107" s="26">
        <f>VLOOKUP(tblRiskRegister322[[#This Row],[Asset Class]],tblInherentImpacts3046[],4,FALSE)</f>
        <v>3</v>
      </c>
      <c r="R107" s="26">
        <f>VLOOKUP(tblRiskRegister322[[#This Row],[Asset Class]],tblInherentImpacts3046[],5,FALSE)</f>
        <v>1</v>
      </c>
      <c r="S107" s="26" t="str">
        <f>IFERROR(MAX(tblRiskRegister322[[#This Row],[Impact to Mission]:[Impact to Obligations]])*tblRiskRegister322[[#This Row],[Expectancy Score]],"")</f>
        <v/>
      </c>
      <c r="T107" s="29" t="str">
        <f>tblRiskRegister322[[#This Row],[Risk Score]]</f>
        <v/>
      </c>
      <c r="U107" s="17"/>
      <c r="V107" s="112">
        <v>8.6</v>
      </c>
      <c r="W107" s="44" t="s">
        <v>276</v>
      </c>
      <c r="X107" s="44" t="s">
        <v>473</v>
      </c>
      <c r="Y107" s="30"/>
      <c r="Z107" s="16"/>
      <c r="AA107" s="25" t="str">
        <f>IFERROR(VLOOKUP(10*tblRiskRegister322[[#This Row],[Risk Treatment Safeguard Maturity Score]]+tblRiskRegister322[[#This Row],[VCDB Index]],tblHITIndexWeightTable[],4,FALSE),"")</f>
        <v/>
      </c>
      <c r="AB107" s="136"/>
      <c r="AC107" s="136"/>
      <c r="AD107" s="136"/>
      <c r="AE107" s="136"/>
      <c r="AF107" s="25" t="str">
        <f>IFERROR(MAX(tblRiskRegister322[[#This Row],[Risk Treatment Safeguard Impact to Mission]:[Risk Treatment Safeguard Impact to Obligations]])*tblRiskRegister322[[#This Row],[Risk Treatment
Safeguard Expectancy Score]],"")</f>
        <v/>
      </c>
      <c r="AG107" s="27" t="str">
        <f>IF(tblRiskRegister322[[#This Row],[Risk Score]]&gt;AcceptableRisk1,IF(tblRiskRegister322[[#This Row],[Risk Treatment Safeguard Risk Score]]&lt;AcceptableRisk1, IF(tblRiskRegister322[[#This Row],[Risk Treatment Safeguard Risk Score]]&lt;=tblRiskRegister322[[#This Row],[Risk Score]],"Yes","No"),"No"),"Yes")</f>
        <v>No</v>
      </c>
      <c r="AH107" s="18"/>
      <c r="AI107" s="18"/>
      <c r="AJ107" s="19"/>
    </row>
    <row r="108" spans="2:36" x14ac:dyDescent="0.2">
      <c r="B108" s="44" t="s">
        <v>133</v>
      </c>
      <c r="C108" s="44"/>
      <c r="D108" s="13">
        <v>8.6999999999999993</v>
      </c>
      <c r="E108" s="14" t="s">
        <v>277</v>
      </c>
      <c r="F108" s="17"/>
      <c r="G108" s="17" t="s">
        <v>785</v>
      </c>
      <c r="H108" s="17" t="s">
        <v>929</v>
      </c>
      <c r="I108" s="14"/>
      <c r="J108" s="14"/>
      <c r="K108" s="14"/>
      <c r="L108" s="16"/>
      <c r="M108" s="26">
        <f>IFERROR(VLOOKUP(tblRiskRegister322[[#This Row],[Asset Class]],tblVCDBIndex[],4,FALSE),"")</f>
        <v>1</v>
      </c>
      <c r="N108" s="26" t="str">
        <f>IFERROR(VLOOKUP(10*tblRiskRegister322[[#This Row],[Safeguard Maturity Score]]+tblRiskRegister322[[#This Row],[VCDB Index]],tblHITIndexWeightTable[],4,FALSE),"")</f>
        <v/>
      </c>
      <c r="O108" s="26">
        <f>VLOOKUP(tblRiskRegister322[[#This Row],[Asset Class]],tblInherentImpacts3046[],2,FALSE)</f>
        <v>3</v>
      </c>
      <c r="P108" s="26">
        <f>VLOOKUP(tblRiskRegister322[[#This Row],[Asset Class]],tblInherentImpacts3046[],3,FALSE)</f>
        <v>4</v>
      </c>
      <c r="Q108" s="26">
        <f>VLOOKUP(tblRiskRegister322[[#This Row],[Asset Class]],tblInherentImpacts3046[],4,FALSE)</f>
        <v>3</v>
      </c>
      <c r="R108" s="26">
        <f>VLOOKUP(tblRiskRegister322[[#This Row],[Asset Class]],tblInherentImpacts3046[],5,FALSE)</f>
        <v>1</v>
      </c>
      <c r="S108" s="26" t="str">
        <f>IFERROR(MAX(tblRiskRegister322[[#This Row],[Impact to Mission]:[Impact to Obligations]])*tblRiskRegister322[[#This Row],[Expectancy Score]],"")</f>
        <v/>
      </c>
      <c r="T108" s="29" t="str">
        <f>tblRiskRegister322[[#This Row],[Risk Score]]</f>
        <v/>
      </c>
      <c r="U108" s="17"/>
      <c r="V108" s="112">
        <v>8.6999999999999993</v>
      </c>
      <c r="W108" s="44" t="s">
        <v>277</v>
      </c>
      <c r="X108" s="44" t="s">
        <v>474</v>
      </c>
      <c r="Y108" s="30"/>
      <c r="Z108" s="16"/>
      <c r="AA108" s="25" t="str">
        <f>IFERROR(VLOOKUP(10*tblRiskRegister322[[#This Row],[Risk Treatment Safeguard Maturity Score]]+tblRiskRegister322[[#This Row],[VCDB Index]],tblHITIndexWeightTable[],4,FALSE),"")</f>
        <v/>
      </c>
      <c r="AB108" s="136"/>
      <c r="AC108" s="136"/>
      <c r="AD108" s="136"/>
      <c r="AE108" s="136"/>
      <c r="AF108" s="25" t="str">
        <f>IFERROR(MAX(tblRiskRegister322[[#This Row],[Risk Treatment Safeguard Impact to Mission]:[Risk Treatment Safeguard Impact to Obligations]])*tblRiskRegister322[[#This Row],[Risk Treatment
Safeguard Expectancy Score]],"")</f>
        <v/>
      </c>
      <c r="AG108" s="27" t="str">
        <f>IF(tblRiskRegister322[[#This Row],[Risk Score]]&gt;AcceptableRisk1,IF(tblRiskRegister322[[#This Row],[Risk Treatment Safeguard Risk Score]]&lt;AcceptableRisk1, IF(tblRiskRegister322[[#This Row],[Risk Treatment Safeguard Risk Score]]&lt;=tblRiskRegister322[[#This Row],[Risk Score]],"Yes","No"),"No"),"Yes")</f>
        <v>No</v>
      </c>
      <c r="AH108" s="18"/>
      <c r="AI108" s="18"/>
      <c r="AJ108" s="19"/>
    </row>
    <row r="109" spans="2:36" ht="25.5" x14ac:dyDescent="0.2">
      <c r="B109" s="44" t="s">
        <v>133</v>
      </c>
      <c r="C109" s="44"/>
      <c r="D109" s="13">
        <v>8.9</v>
      </c>
      <c r="E109" s="14" t="s">
        <v>278</v>
      </c>
      <c r="F109" s="17"/>
      <c r="G109" s="17" t="s">
        <v>785</v>
      </c>
      <c r="H109" s="17" t="s">
        <v>929</v>
      </c>
      <c r="I109" s="14"/>
      <c r="J109" s="14"/>
      <c r="K109" s="14"/>
      <c r="L109" s="16"/>
      <c r="M109" s="26">
        <f>IFERROR(VLOOKUP(tblRiskRegister322[[#This Row],[Asset Class]],tblVCDBIndex[],4,FALSE),"")</f>
        <v>1</v>
      </c>
      <c r="N109" s="26" t="str">
        <f>IFERROR(VLOOKUP(10*tblRiskRegister322[[#This Row],[Safeguard Maturity Score]]+tblRiskRegister322[[#This Row],[VCDB Index]],tblHITIndexWeightTable[],4,FALSE),"")</f>
        <v/>
      </c>
      <c r="O109" s="26">
        <f>VLOOKUP(tblRiskRegister322[[#This Row],[Asset Class]],tblInherentImpacts3046[],2,FALSE)</f>
        <v>3</v>
      </c>
      <c r="P109" s="26">
        <f>VLOOKUP(tblRiskRegister322[[#This Row],[Asset Class]],tblInherentImpacts3046[],3,FALSE)</f>
        <v>4</v>
      </c>
      <c r="Q109" s="26">
        <f>VLOOKUP(tblRiskRegister322[[#This Row],[Asset Class]],tblInherentImpacts3046[],4,FALSE)</f>
        <v>3</v>
      </c>
      <c r="R109" s="26">
        <f>VLOOKUP(tblRiskRegister322[[#This Row],[Asset Class]],tblInherentImpacts3046[],5,FALSE)</f>
        <v>1</v>
      </c>
      <c r="S109" s="26" t="str">
        <f>IFERROR(MAX(tblRiskRegister322[[#This Row],[Impact to Mission]:[Impact to Obligations]])*tblRiskRegister322[[#This Row],[Expectancy Score]],"")</f>
        <v/>
      </c>
      <c r="T109" s="29" t="str">
        <f>tblRiskRegister322[[#This Row],[Risk Score]]</f>
        <v/>
      </c>
      <c r="U109" s="17"/>
      <c r="V109" s="112">
        <v>8.9</v>
      </c>
      <c r="W109" s="44" t="s">
        <v>278</v>
      </c>
      <c r="X109" s="44" t="s">
        <v>476</v>
      </c>
      <c r="Y109" s="30"/>
      <c r="Z109" s="16"/>
      <c r="AA109" s="25" t="str">
        <f>IFERROR(VLOOKUP(10*tblRiskRegister322[[#This Row],[Risk Treatment Safeguard Maturity Score]]+tblRiskRegister322[[#This Row],[VCDB Index]],tblHITIndexWeightTable[],4,FALSE),"")</f>
        <v/>
      </c>
      <c r="AB109" s="136"/>
      <c r="AC109" s="136"/>
      <c r="AD109" s="136"/>
      <c r="AE109" s="136"/>
      <c r="AF109" s="25" t="str">
        <f>IFERROR(MAX(tblRiskRegister322[[#This Row],[Risk Treatment Safeguard Impact to Mission]:[Risk Treatment Safeguard Impact to Obligations]])*tblRiskRegister322[[#This Row],[Risk Treatment
Safeguard Expectancy Score]],"")</f>
        <v/>
      </c>
      <c r="AG109" s="27" t="str">
        <f>IF(tblRiskRegister322[[#This Row],[Risk Score]]&gt;AcceptableRisk1,IF(tblRiskRegister322[[#This Row],[Risk Treatment Safeguard Risk Score]]&lt;AcceptableRisk1, IF(tblRiskRegister322[[#This Row],[Risk Treatment Safeguard Risk Score]]&lt;=tblRiskRegister322[[#This Row],[Risk Score]],"Yes","No"),"No"),"Yes")</f>
        <v>No</v>
      </c>
      <c r="AH109" s="18"/>
      <c r="AI109" s="18"/>
      <c r="AJ109" s="19"/>
    </row>
    <row r="110" spans="2:36" x14ac:dyDescent="0.2">
      <c r="B110" s="44" t="s">
        <v>133</v>
      </c>
      <c r="C110" s="44"/>
      <c r="D110" s="117">
        <v>8.1</v>
      </c>
      <c r="E110" s="14" t="s">
        <v>279</v>
      </c>
      <c r="F110" s="17"/>
      <c r="G110" s="17" t="s">
        <v>785</v>
      </c>
      <c r="H110" s="17" t="s">
        <v>928</v>
      </c>
      <c r="I110" s="14"/>
      <c r="J110" s="14"/>
      <c r="K110" s="14"/>
      <c r="L110" s="16"/>
      <c r="M110" s="26">
        <f>IFERROR(VLOOKUP(tblRiskRegister322[[#This Row],[Asset Class]],tblVCDBIndex[],4,FALSE),"")</f>
        <v>1</v>
      </c>
      <c r="N110" s="26" t="str">
        <f>IFERROR(VLOOKUP(10*tblRiskRegister322[[#This Row],[Safeguard Maturity Score]]+tblRiskRegister322[[#This Row],[VCDB Index]],tblHITIndexWeightTable[],4,FALSE),"")</f>
        <v/>
      </c>
      <c r="O110" s="26">
        <f>VLOOKUP(tblRiskRegister322[[#This Row],[Asset Class]],tblInherentImpacts3046[],2,FALSE)</f>
        <v>3</v>
      </c>
      <c r="P110" s="26">
        <f>VLOOKUP(tblRiskRegister322[[#This Row],[Asset Class]],tblInherentImpacts3046[],3,FALSE)</f>
        <v>4</v>
      </c>
      <c r="Q110" s="26">
        <f>VLOOKUP(tblRiskRegister322[[#This Row],[Asset Class]],tblInherentImpacts3046[],4,FALSE)</f>
        <v>3</v>
      </c>
      <c r="R110" s="26">
        <f>VLOOKUP(tblRiskRegister322[[#This Row],[Asset Class]],tblInherentImpacts3046[],5,FALSE)</f>
        <v>1</v>
      </c>
      <c r="S110" s="26" t="str">
        <f>IFERROR(MAX(tblRiskRegister322[[#This Row],[Impact to Mission]:[Impact to Obligations]])*tblRiskRegister322[[#This Row],[Expectancy Score]],"")</f>
        <v/>
      </c>
      <c r="T110" s="29" t="str">
        <f>tblRiskRegister322[[#This Row],[Risk Score]]</f>
        <v/>
      </c>
      <c r="U110" s="17"/>
      <c r="V110" s="112">
        <v>8.1</v>
      </c>
      <c r="W110" s="44" t="s">
        <v>279</v>
      </c>
      <c r="X110" s="44" t="s">
        <v>477</v>
      </c>
      <c r="Y110" s="30"/>
      <c r="Z110" s="16"/>
      <c r="AA110" s="25" t="str">
        <f>IFERROR(VLOOKUP(10*tblRiskRegister322[[#This Row],[Risk Treatment Safeguard Maturity Score]]+tblRiskRegister322[[#This Row],[VCDB Index]],tblHITIndexWeightTable[],4,FALSE),"")</f>
        <v/>
      </c>
      <c r="AB110" s="136"/>
      <c r="AC110" s="136"/>
      <c r="AD110" s="136"/>
      <c r="AE110" s="136"/>
      <c r="AF110" s="25" t="str">
        <f>IFERROR(MAX(tblRiskRegister322[[#This Row],[Risk Treatment Safeguard Impact to Mission]:[Risk Treatment Safeguard Impact to Obligations]])*tblRiskRegister322[[#This Row],[Risk Treatment
Safeguard Expectancy Score]],"")</f>
        <v/>
      </c>
      <c r="AG110" s="27" t="str">
        <f>IF(tblRiskRegister322[[#This Row],[Risk Score]]&gt;AcceptableRisk1,IF(tblRiskRegister322[[#This Row],[Risk Treatment Safeguard Risk Score]]&lt;AcceptableRisk1, IF(tblRiskRegister322[[#This Row],[Risk Treatment Safeguard Risk Score]]&lt;=tblRiskRegister322[[#This Row],[Risk Score]],"Yes","No"),"No"),"Yes")</f>
        <v>No</v>
      </c>
      <c r="AH110" s="18"/>
      <c r="AI110" s="18"/>
      <c r="AJ110" s="19"/>
    </row>
    <row r="111" spans="2:36" ht="25.5" x14ac:dyDescent="0.2">
      <c r="B111" s="44" t="s">
        <v>133</v>
      </c>
      <c r="C111" s="44"/>
      <c r="D111" s="13">
        <v>8.11</v>
      </c>
      <c r="E111" s="14" t="s">
        <v>280</v>
      </c>
      <c r="F111" s="17"/>
      <c r="G111" s="17" t="s">
        <v>785</v>
      </c>
      <c r="H111" s="17" t="s">
        <v>929</v>
      </c>
      <c r="I111" s="14"/>
      <c r="J111" s="14"/>
      <c r="K111" s="14"/>
      <c r="L111" s="16"/>
      <c r="M111" s="26">
        <f>IFERROR(VLOOKUP(tblRiskRegister322[[#This Row],[Asset Class]],tblVCDBIndex[],4,FALSE),"")</f>
        <v>1</v>
      </c>
      <c r="N111" s="26" t="str">
        <f>IFERROR(VLOOKUP(10*tblRiskRegister322[[#This Row],[Safeguard Maturity Score]]+tblRiskRegister322[[#This Row],[VCDB Index]],tblHITIndexWeightTable[],4,FALSE),"")</f>
        <v/>
      </c>
      <c r="O111" s="26">
        <f>VLOOKUP(tblRiskRegister322[[#This Row],[Asset Class]],tblInherentImpacts3046[],2,FALSE)</f>
        <v>3</v>
      </c>
      <c r="P111" s="26">
        <f>VLOOKUP(tblRiskRegister322[[#This Row],[Asset Class]],tblInherentImpacts3046[],3,FALSE)</f>
        <v>4</v>
      </c>
      <c r="Q111" s="26">
        <f>VLOOKUP(tblRiskRegister322[[#This Row],[Asset Class]],tblInherentImpacts3046[],4,FALSE)</f>
        <v>3</v>
      </c>
      <c r="R111" s="26">
        <f>VLOOKUP(tblRiskRegister322[[#This Row],[Asset Class]],tblInherentImpacts3046[],5,FALSE)</f>
        <v>1</v>
      </c>
      <c r="S111" s="26" t="str">
        <f>IFERROR(MAX(tblRiskRegister322[[#This Row],[Impact to Mission]:[Impact to Obligations]])*tblRiskRegister322[[#This Row],[Expectancy Score]],"")</f>
        <v/>
      </c>
      <c r="T111" s="29" t="str">
        <f>tblRiskRegister322[[#This Row],[Risk Score]]</f>
        <v/>
      </c>
      <c r="U111" s="17"/>
      <c r="V111" s="112">
        <v>8.11</v>
      </c>
      <c r="W111" s="44" t="s">
        <v>280</v>
      </c>
      <c r="X111" s="44" t="s">
        <v>478</v>
      </c>
      <c r="Y111" s="30"/>
      <c r="Z111" s="16"/>
      <c r="AA111" s="25" t="str">
        <f>IFERROR(VLOOKUP(10*tblRiskRegister322[[#This Row],[Risk Treatment Safeguard Maturity Score]]+tblRiskRegister322[[#This Row],[VCDB Index]],tblHITIndexWeightTable[],4,FALSE),"")</f>
        <v/>
      </c>
      <c r="AB111" s="136"/>
      <c r="AC111" s="136"/>
      <c r="AD111" s="136"/>
      <c r="AE111" s="136"/>
      <c r="AF111" s="25" t="str">
        <f>IFERROR(MAX(tblRiskRegister322[[#This Row],[Risk Treatment Safeguard Impact to Mission]:[Risk Treatment Safeguard Impact to Obligations]])*tblRiskRegister322[[#This Row],[Risk Treatment
Safeguard Expectancy Score]],"")</f>
        <v/>
      </c>
      <c r="AG111" s="27" t="str">
        <f>IF(tblRiskRegister322[[#This Row],[Risk Score]]&gt;AcceptableRisk1,IF(tblRiskRegister322[[#This Row],[Risk Treatment Safeguard Risk Score]]&lt;AcceptableRisk1, IF(tblRiskRegister322[[#This Row],[Risk Treatment Safeguard Risk Score]]&lt;=tblRiskRegister322[[#This Row],[Risk Score]],"Yes","No"),"No"),"Yes")</f>
        <v>No</v>
      </c>
      <c r="AH111" s="18"/>
      <c r="AI111" s="18"/>
      <c r="AJ111" s="19"/>
    </row>
    <row r="112" spans="2:36" ht="25.5" x14ac:dyDescent="0.2">
      <c r="B112" s="44" t="s">
        <v>133</v>
      </c>
      <c r="C112" s="44"/>
      <c r="D112" s="13">
        <v>9.1999999999999993</v>
      </c>
      <c r="E112" s="14" t="s">
        <v>109</v>
      </c>
      <c r="F112" s="17" t="s">
        <v>785</v>
      </c>
      <c r="G112" s="17" t="s">
        <v>785</v>
      </c>
      <c r="H112" s="17" t="s">
        <v>928</v>
      </c>
      <c r="I112" s="14"/>
      <c r="J112" s="14"/>
      <c r="K112" s="14"/>
      <c r="L112" s="16"/>
      <c r="M112" s="26">
        <f>IFERROR(VLOOKUP(tblRiskRegister322[[#This Row],[Asset Class]],tblVCDBIndex[],4,FALSE),"")</f>
        <v>1</v>
      </c>
      <c r="N112" s="26" t="str">
        <f>IFERROR(VLOOKUP(10*tblRiskRegister322[[#This Row],[Safeguard Maturity Score]]+tblRiskRegister322[[#This Row],[VCDB Index]],tblHITIndexWeightTable[],4,FALSE),"")</f>
        <v/>
      </c>
      <c r="O112" s="26">
        <f>VLOOKUP(tblRiskRegister322[[#This Row],[Asset Class]],tblInherentImpacts3046[],2,FALSE)</f>
        <v>3</v>
      </c>
      <c r="P112" s="26">
        <f>VLOOKUP(tblRiskRegister322[[#This Row],[Asset Class]],tblInherentImpacts3046[],3,FALSE)</f>
        <v>4</v>
      </c>
      <c r="Q112" s="26">
        <f>VLOOKUP(tblRiskRegister322[[#This Row],[Asset Class]],tblInherentImpacts3046[],4,FALSE)</f>
        <v>3</v>
      </c>
      <c r="R112" s="26">
        <f>VLOOKUP(tblRiskRegister322[[#This Row],[Asset Class]],tblInherentImpacts3046[],5,FALSE)</f>
        <v>1</v>
      </c>
      <c r="S112" s="26" t="str">
        <f>IFERROR(MAX(tblRiskRegister322[[#This Row],[Impact to Mission]:[Impact to Obligations]])*tblRiskRegister322[[#This Row],[Expectancy Score]],"")</f>
        <v/>
      </c>
      <c r="T112" s="29" t="str">
        <f>tblRiskRegister322[[#This Row],[Risk Score]]</f>
        <v/>
      </c>
      <c r="U112" s="17"/>
      <c r="V112" s="112">
        <v>9.1999999999999993</v>
      </c>
      <c r="W112" s="44" t="s">
        <v>109</v>
      </c>
      <c r="X112" s="44" t="s">
        <v>480</v>
      </c>
      <c r="Y112" s="30"/>
      <c r="Z112" s="16"/>
      <c r="AA112" s="25" t="str">
        <f>IFERROR(VLOOKUP(10*tblRiskRegister322[[#This Row],[Risk Treatment Safeguard Maturity Score]]+tblRiskRegister322[[#This Row],[VCDB Index]],tblHITIndexWeightTable[],4,FALSE),"")</f>
        <v/>
      </c>
      <c r="AB112" s="136"/>
      <c r="AC112" s="136"/>
      <c r="AD112" s="136"/>
      <c r="AE112" s="136"/>
      <c r="AF112" s="25" t="str">
        <f>IFERROR(MAX(tblRiskRegister322[[#This Row],[Risk Treatment Safeguard Impact to Mission]:[Risk Treatment Safeguard Impact to Obligations]])*tblRiskRegister322[[#This Row],[Risk Treatment
Safeguard Expectancy Score]],"")</f>
        <v/>
      </c>
      <c r="AG112" s="27" t="str">
        <f>IF(tblRiskRegister322[[#This Row],[Risk Score]]&gt;AcceptableRisk1,IF(tblRiskRegister322[[#This Row],[Risk Treatment Safeguard Risk Score]]&lt;AcceptableRisk1, IF(tblRiskRegister322[[#This Row],[Risk Treatment Safeguard Risk Score]]&lt;=tblRiskRegister322[[#This Row],[Risk Score]],"Yes","No"),"No"),"Yes")</f>
        <v>No</v>
      </c>
      <c r="AH112" s="18"/>
      <c r="AI112" s="18"/>
      <c r="AJ112" s="19"/>
    </row>
    <row r="113" spans="2:36" ht="51" x14ac:dyDescent="0.2">
      <c r="B113" s="44" t="s">
        <v>133</v>
      </c>
      <c r="C113" s="44"/>
      <c r="D113" s="13">
        <v>9.3000000000000007</v>
      </c>
      <c r="E113" s="14" t="s">
        <v>281</v>
      </c>
      <c r="F113" s="17"/>
      <c r="G113" s="17" t="s">
        <v>785</v>
      </c>
      <c r="H113" s="17" t="s">
        <v>928</v>
      </c>
      <c r="I113" s="14"/>
      <c r="J113" s="14"/>
      <c r="K113" s="14"/>
      <c r="L113" s="16"/>
      <c r="M113" s="26">
        <f>IFERROR(VLOOKUP(tblRiskRegister322[[#This Row],[Asset Class]],tblVCDBIndex[],4,FALSE),"")</f>
        <v>1</v>
      </c>
      <c r="N113" s="26" t="str">
        <f>IFERROR(VLOOKUP(10*tblRiskRegister322[[#This Row],[Safeguard Maturity Score]]+tblRiskRegister322[[#This Row],[VCDB Index]],tblHITIndexWeightTable[],4,FALSE),"")</f>
        <v/>
      </c>
      <c r="O113" s="26">
        <f>VLOOKUP(tblRiskRegister322[[#This Row],[Asset Class]],tblInherentImpacts3046[],2,FALSE)</f>
        <v>3</v>
      </c>
      <c r="P113" s="26">
        <f>VLOOKUP(tblRiskRegister322[[#This Row],[Asset Class]],tblInherentImpacts3046[],3,FALSE)</f>
        <v>4</v>
      </c>
      <c r="Q113" s="26">
        <f>VLOOKUP(tblRiskRegister322[[#This Row],[Asset Class]],tblInherentImpacts3046[],4,FALSE)</f>
        <v>3</v>
      </c>
      <c r="R113" s="26">
        <f>VLOOKUP(tblRiskRegister322[[#This Row],[Asset Class]],tblInherentImpacts3046[],5,FALSE)</f>
        <v>1</v>
      </c>
      <c r="S113" s="26" t="str">
        <f>IFERROR(MAX(tblRiskRegister322[[#This Row],[Impact to Mission]:[Impact to Obligations]])*tblRiskRegister322[[#This Row],[Expectancy Score]],"")</f>
        <v/>
      </c>
      <c r="T113" s="29" t="str">
        <f>tblRiskRegister322[[#This Row],[Risk Score]]</f>
        <v/>
      </c>
      <c r="U113" s="17"/>
      <c r="V113" s="112">
        <v>9.3000000000000007</v>
      </c>
      <c r="W113" s="44" t="s">
        <v>281</v>
      </c>
      <c r="X113" s="44" t="s">
        <v>481</v>
      </c>
      <c r="Y113" s="30"/>
      <c r="Z113" s="16"/>
      <c r="AA113" s="25" t="str">
        <f>IFERROR(VLOOKUP(10*tblRiskRegister322[[#This Row],[Risk Treatment Safeguard Maturity Score]]+tblRiskRegister322[[#This Row],[VCDB Index]],tblHITIndexWeightTable[],4,FALSE),"")</f>
        <v/>
      </c>
      <c r="AB113" s="136"/>
      <c r="AC113" s="136"/>
      <c r="AD113" s="136"/>
      <c r="AE113" s="136"/>
      <c r="AF113" s="25" t="str">
        <f>IFERROR(MAX(tblRiskRegister322[[#This Row],[Risk Treatment Safeguard Impact to Mission]:[Risk Treatment Safeguard Impact to Obligations]])*tblRiskRegister322[[#This Row],[Risk Treatment
Safeguard Expectancy Score]],"")</f>
        <v/>
      </c>
      <c r="AG113" s="27" t="str">
        <f>IF(tblRiskRegister322[[#This Row],[Risk Score]]&gt;AcceptableRisk1,IF(tblRiskRegister322[[#This Row],[Risk Treatment Safeguard Risk Score]]&lt;AcceptableRisk1, IF(tblRiskRegister322[[#This Row],[Risk Treatment Safeguard Risk Score]]&lt;=tblRiskRegister322[[#This Row],[Risk Score]],"Yes","No"),"No"),"Yes")</f>
        <v>No</v>
      </c>
      <c r="AH113" s="18"/>
      <c r="AI113" s="18"/>
      <c r="AJ113" s="19"/>
    </row>
    <row r="114" spans="2:36" ht="38.25" x14ac:dyDescent="0.2">
      <c r="B114" s="44" t="s">
        <v>133</v>
      </c>
      <c r="C114" s="44"/>
      <c r="D114" s="13">
        <v>9.5</v>
      </c>
      <c r="E114" s="14" t="s">
        <v>282</v>
      </c>
      <c r="F114" s="17"/>
      <c r="G114" s="17" t="s">
        <v>785</v>
      </c>
      <c r="H114" s="17" t="s">
        <v>928</v>
      </c>
      <c r="I114" s="14"/>
      <c r="J114" s="14"/>
      <c r="K114" s="14"/>
      <c r="L114" s="16"/>
      <c r="M114" s="26">
        <f>IFERROR(VLOOKUP(tblRiskRegister322[[#This Row],[Asset Class]],tblVCDBIndex[],4,FALSE),"")</f>
        <v>1</v>
      </c>
      <c r="N114" s="26" t="str">
        <f>IFERROR(VLOOKUP(10*tblRiskRegister322[[#This Row],[Safeguard Maturity Score]]+tblRiskRegister322[[#This Row],[VCDB Index]],tblHITIndexWeightTable[],4,FALSE),"")</f>
        <v/>
      </c>
      <c r="O114" s="26">
        <f>VLOOKUP(tblRiskRegister322[[#This Row],[Asset Class]],tblInherentImpacts3046[],2,FALSE)</f>
        <v>3</v>
      </c>
      <c r="P114" s="26">
        <f>VLOOKUP(tblRiskRegister322[[#This Row],[Asset Class]],tblInherentImpacts3046[],3,FALSE)</f>
        <v>4</v>
      </c>
      <c r="Q114" s="26">
        <f>VLOOKUP(tblRiskRegister322[[#This Row],[Asset Class]],tblInherentImpacts3046[],4,FALSE)</f>
        <v>3</v>
      </c>
      <c r="R114" s="26">
        <f>VLOOKUP(tblRiskRegister322[[#This Row],[Asset Class]],tblInherentImpacts3046[],5,FALSE)</f>
        <v>1</v>
      </c>
      <c r="S114" s="26" t="str">
        <f>IFERROR(MAX(tblRiskRegister322[[#This Row],[Impact to Mission]:[Impact to Obligations]])*tblRiskRegister322[[#This Row],[Expectancy Score]],"")</f>
        <v/>
      </c>
      <c r="T114" s="29" t="str">
        <f>tblRiskRegister322[[#This Row],[Risk Score]]</f>
        <v/>
      </c>
      <c r="U114" s="17"/>
      <c r="V114" s="112">
        <v>9.5</v>
      </c>
      <c r="W114" s="44" t="s">
        <v>282</v>
      </c>
      <c r="X114" s="44" t="s">
        <v>483</v>
      </c>
      <c r="Y114" s="30"/>
      <c r="Z114" s="16"/>
      <c r="AA114" s="25" t="str">
        <f>IFERROR(VLOOKUP(10*tblRiskRegister322[[#This Row],[Risk Treatment Safeguard Maturity Score]]+tblRiskRegister322[[#This Row],[VCDB Index]],tblHITIndexWeightTable[],4,FALSE),"")</f>
        <v/>
      </c>
      <c r="AB114" s="136"/>
      <c r="AC114" s="136"/>
      <c r="AD114" s="136"/>
      <c r="AE114" s="136"/>
      <c r="AF114" s="25" t="str">
        <f>IFERROR(MAX(tblRiskRegister322[[#This Row],[Risk Treatment Safeguard Impact to Mission]:[Risk Treatment Safeguard Impact to Obligations]])*tblRiskRegister322[[#This Row],[Risk Treatment
Safeguard Expectancy Score]],"")</f>
        <v/>
      </c>
      <c r="AG114" s="27" t="str">
        <f>IF(tblRiskRegister322[[#This Row],[Risk Score]]&gt;AcceptableRisk1,IF(tblRiskRegister322[[#This Row],[Risk Treatment Safeguard Risk Score]]&lt;AcceptableRisk1, IF(tblRiskRegister322[[#This Row],[Risk Treatment Safeguard Risk Score]]&lt;=tblRiskRegister322[[#This Row],[Risk Score]],"Yes","No"),"No"),"Yes")</f>
        <v>No</v>
      </c>
      <c r="AH114" s="18"/>
      <c r="AI114" s="18"/>
      <c r="AJ114" s="19"/>
    </row>
    <row r="115" spans="2:36" x14ac:dyDescent="0.2">
      <c r="B115" s="44" t="s">
        <v>133</v>
      </c>
      <c r="C115" s="44"/>
      <c r="D115" s="13">
        <v>9.6</v>
      </c>
      <c r="E115" s="14" t="s">
        <v>283</v>
      </c>
      <c r="F115" s="17"/>
      <c r="G115" s="17" t="s">
        <v>785</v>
      </c>
      <c r="H115" s="17" t="s">
        <v>928</v>
      </c>
      <c r="I115" s="14"/>
      <c r="J115" s="14"/>
      <c r="K115" s="14"/>
      <c r="L115" s="16"/>
      <c r="M115" s="26">
        <f>IFERROR(VLOOKUP(tblRiskRegister322[[#This Row],[Asset Class]],tblVCDBIndex[],4,FALSE),"")</f>
        <v>1</v>
      </c>
      <c r="N115" s="26" t="str">
        <f>IFERROR(VLOOKUP(10*tblRiskRegister322[[#This Row],[Safeguard Maturity Score]]+tblRiskRegister322[[#This Row],[VCDB Index]],tblHITIndexWeightTable[],4,FALSE),"")</f>
        <v/>
      </c>
      <c r="O115" s="26">
        <f>VLOOKUP(tblRiskRegister322[[#This Row],[Asset Class]],tblInherentImpacts3046[],2,FALSE)</f>
        <v>3</v>
      </c>
      <c r="P115" s="26">
        <f>VLOOKUP(tblRiskRegister322[[#This Row],[Asset Class]],tblInherentImpacts3046[],3,FALSE)</f>
        <v>4</v>
      </c>
      <c r="Q115" s="26">
        <f>VLOOKUP(tblRiskRegister322[[#This Row],[Asset Class]],tblInherentImpacts3046[],4,FALSE)</f>
        <v>3</v>
      </c>
      <c r="R115" s="26">
        <f>VLOOKUP(tblRiskRegister322[[#This Row],[Asset Class]],tblInherentImpacts3046[],5,FALSE)</f>
        <v>1</v>
      </c>
      <c r="S115" s="26" t="str">
        <f>IFERROR(MAX(tblRiskRegister322[[#This Row],[Impact to Mission]:[Impact to Obligations]])*tblRiskRegister322[[#This Row],[Expectancy Score]],"")</f>
        <v/>
      </c>
      <c r="T115" s="29" t="str">
        <f>tblRiskRegister322[[#This Row],[Risk Score]]</f>
        <v/>
      </c>
      <c r="U115" s="17"/>
      <c r="V115" s="112">
        <v>9.6</v>
      </c>
      <c r="W115" s="44" t="s">
        <v>283</v>
      </c>
      <c r="X115" s="44" t="s">
        <v>484</v>
      </c>
      <c r="Y115" s="30"/>
      <c r="Z115" s="16"/>
      <c r="AA115" s="25" t="str">
        <f>IFERROR(VLOOKUP(10*tblRiskRegister322[[#This Row],[Risk Treatment Safeguard Maturity Score]]+tblRiskRegister322[[#This Row],[VCDB Index]],tblHITIndexWeightTable[],4,FALSE),"")</f>
        <v/>
      </c>
      <c r="AB115" s="136"/>
      <c r="AC115" s="136"/>
      <c r="AD115" s="136"/>
      <c r="AE115" s="136"/>
      <c r="AF115" s="25" t="str">
        <f>IFERROR(MAX(tblRiskRegister322[[#This Row],[Risk Treatment Safeguard Impact to Mission]:[Risk Treatment Safeguard Impact to Obligations]])*tblRiskRegister322[[#This Row],[Risk Treatment
Safeguard Expectancy Score]],"")</f>
        <v/>
      </c>
      <c r="AG115" s="27" t="str">
        <f>IF(tblRiskRegister322[[#This Row],[Risk Score]]&gt;AcceptableRisk1,IF(tblRiskRegister322[[#This Row],[Risk Treatment Safeguard Risk Score]]&lt;AcceptableRisk1, IF(tblRiskRegister322[[#This Row],[Risk Treatment Safeguard Risk Score]]&lt;=tblRiskRegister322[[#This Row],[Risk Score]],"Yes","No"),"No"),"Yes")</f>
        <v>No</v>
      </c>
      <c r="AH115" s="18"/>
      <c r="AI115" s="18"/>
      <c r="AJ115" s="19"/>
    </row>
    <row r="116" spans="2:36" ht="51" x14ac:dyDescent="0.2">
      <c r="B116" s="44" t="s">
        <v>133</v>
      </c>
      <c r="C116" s="44"/>
      <c r="D116" s="13">
        <v>12.1</v>
      </c>
      <c r="E116" s="14" t="s">
        <v>117</v>
      </c>
      <c r="F116" s="17" t="s">
        <v>785</v>
      </c>
      <c r="G116" s="17" t="s">
        <v>785</v>
      </c>
      <c r="H116" s="17" t="s">
        <v>928</v>
      </c>
      <c r="I116" s="14"/>
      <c r="J116" s="14"/>
      <c r="K116" s="14"/>
      <c r="L116" s="16"/>
      <c r="M116" s="26">
        <f>IFERROR(VLOOKUP(tblRiskRegister322[[#This Row],[Asset Class]],tblVCDBIndex[],4,FALSE),"")</f>
        <v>1</v>
      </c>
      <c r="N116" s="26" t="str">
        <f>IFERROR(VLOOKUP(10*tblRiskRegister322[[#This Row],[Safeguard Maturity Score]]+tblRiskRegister322[[#This Row],[VCDB Index]],tblHITIndexWeightTable[],4,FALSE),"")</f>
        <v/>
      </c>
      <c r="O116" s="26">
        <f>VLOOKUP(tblRiskRegister322[[#This Row],[Asset Class]],tblInherentImpacts3046[],2,FALSE)</f>
        <v>3</v>
      </c>
      <c r="P116" s="26">
        <f>VLOOKUP(tblRiskRegister322[[#This Row],[Asset Class]],tblInherentImpacts3046[],3,FALSE)</f>
        <v>4</v>
      </c>
      <c r="Q116" s="26">
        <f>VLOOKUP(tblRiskRegister322[[#This Row],[Asset Class]],tblInherentImpacts3046[],4,FALSE)</f>
        <v>3</v>
      </c>
      <c r="R116" s="26">
        <f>VLOOKUP(tblRiskRegister322[[#This Row],[Asset Class]],tblInherentImpacts3046[],5,FALSE)</f>
        <v>1</v>
      </c>
      <c r="S116" s="26" t="str">
        <f>IFERROR(MAX(tblRiskRegister322[[#This Row],[Impact to Mission]:[Impact to Obligations]])*tblRiskRegister322[[#This Row],[Expectancy Score]],"")</f>
        <v/>
      </c>
      <c r="T116" s="29" t="str">
        <f>tblRiskRegister322[[#This Row],[Risk Score]]</f>
        <v/>
      </c>
      <c r="U116" s="17"/>
      <c r="V116" s="112">
        <v>12.1</v>
      </c>
      <c r="W116" s="44" t="s">
        <v>117</v>
      </c>
      <c r="X116" s="44" t="s">
        <v>497</v>
      </c>
      <c r="Y116" s="30"/>
      <c r="Z116" s="16"/>
      <c r="AA116" s="25" t="str">
        <f>IFERROR(VLOOKUP(10*tblRiskRegister322[[#This Row],[Risk Treatment Safeguard Maturity Score]]+tblRiskRegister322[[#This Row],[VCDB Index]],tblHITIndexWeightTable[],4,FALSE),"")</f>
        <v/>
      </c>
      <c r="AB116" s="136"/>
      <c r="AC116" s="136"/>
      <c r="AD116" s="136"/>
      <c r="AE116" s="136"/>
      <c r="AF116" s="25" t="str">
        <f>IFERROR(MAX(tblRiskRegister322[[#This Row],[Risk Treatment Safeguard Impact to Mission]:[Risk Treatment Safeguard Impact to Obligations]])*tblRiskRegister322[[#This Row],[Risk Treatment
Safeguard Expectancy Score]],"")</f>
        <v/>
      </c>
      <c r="AG116" s="27" t="str">
        <f>IF(tblRiskRegister322[[#This Row],[Risk Score]]&gt;AcceptableRisk1,IF(tblRiskRegister322[[#This Row],[Risk Treatment Safeguard Risk Score]]&lt;AcceptableRisk1, IF(tblRiskRegister322[[#This Row],[Risk Treatment Safeguard Risk Score]]&lt;=tblRiskRegister322[[#This Row],[Risk Score]],"Yes","No"),"No"),"Yes")</f>
        <v>No</v>
      </c>
      <c r="AH116" s="18"/>
      <c r="AI116" s="18"/>
      <c r="AJ116" s="19"/>
    </row>
    <row r="117" spans="2:36" ht="25.5" x14ac:dyDescent="0.2">
      <c r="B117" s="44" t="s">
        <v>133</v>
      </c>
      <c r="C117" s="44"/>
      <c r="D117" s="13">
        <v>12.2</v>
      </c>
      <c r="E117" s="14" t="s">
        <v>284</v>
      </c>
      <c r="F117" s="17"/>
      <c r="G117" s="17" t="s">
        <v>785</v>
      </c>
      <c r="H117" s="17" t="s">
        <v>928</v>
      </c>
      <c r="I117" s="14"/>
      <c r="J117" s="14"/>
      <c r="K117" s="14"/>
      <c r="L117" s="16"/>
      <c r="M117" s="26">
        <f>IFERROR(VLOOKUP(tblRiskRegister322[[#This Row],[Asset Class]],tblVCDBIndex[],4,FALSE),"")</f>
        <v>1</v>
      </c>
      <c r="N117" s="26" t="str">
        <f>IFERROR(VLOOKUP(10*tblRiskRegister322[[#This Row],[Safeguard Maturity Score]]+tblRiskRegister322[[#This Row],[VCDB Index]],tblHITIndexWeightTable[],4,FALSE),"")</f>
        <v/>
      </c>
      <c r="O117" s="26">
        <f>VLOOKUP(tblRiskRegister322[[#This Row],[Asset Class]],tblInherentImpacts3046[],2,FALSE)</f>
        <v>3</v>
      </c>
      <c r="P117" s="26">
        <f>VLOOKUP(tblRiskRegister322[[#This Row],[Asset Class]],tblInherentImpacts3046[],3,FALSE)</f>
        <v>4</v>
      </c>
      <c r="Q117" s="26">
        <f>VLOOKUP(tblRiskRegister322[[#This Row],[Asset Class]],tblInherentImpacts3046[],4,FALSE)</f>
        <v>3</v>
      </c>
      <c r="R117" s="26">
        <f>VLOOKUP(tblRiskRegister322[[#This Row],[Asset Class]],tblInherentImpacts3046[],5,FALSE)</f>
        <v>1</v>
      </c>
      <c r="S117" s="26" t="str">
        <f>IFERROR(MAX(tblRiskRegister322[[#This Row],[Impact to Mission]:[Impact to Obligations]])*tblRiskRegister322[[#This Row],[Expectancy Score]],"")</f>
        <v/>
      </c>
      <c r="T117" s="29" t="str">
        <f>tblRiskRegister322[[#This Row],[Risk Score]]</f>
        <v/>
      </c>
      <c r="U117" s="17"/>
      <c r="V117" s="112">
        <v>12.2</v>
      </c>
      <c r="W117" s="44" t="s">
        <v>284</v>
      </c>
      <c r="X117" s="44" t="s">
        <v>498</v>
      </c>
      <c r="Y117" s="30"/>
      <c r="Z117" s="16"/>
      <c r="AA117" s="25" t="str">
        <f>IFERROR(VLOOKUP(10*tblRiskRegister322[[#This Row],[Risk Treatment Safeguard Maturity Score]]+tblRiskRegister322[[#This Row],[VCDB Index]],tblHITIndexWeightTable[],4,FALSE),"")</f>
        <v/>
      </c>
      <c r="AB117" s="136"/>
      <c r="AC117" s="136"/>
      <c r="AD117" s="136"/>
      <c r="AE117" s="136"/>
      <c r="AF117" s="25" t="str">
        <f>IFERROR(MAX(tblRiskRegister322[[#This Row],[Risk Treatment Safeguard Impact to Mission]:[Risk Treatment Safeguard Impact to Obligations]])*tblRiskRegister322[[#This Row],[Risk Treatment
Safeguard Expectancy Score]],"")</f>
        <v/>
      </c>
      <c r="AG117" s="27" t="str">
        <f>IF(tblRiskRegister322[[#This Row],[Risk Score]]&gt;AcceptableRisk1,IF(tblRiskRegister322[[#This Row],[Risk Treatment Safeguard Risk Score]]&lt;AcceptableRisk1, IF(tblRiskRegister322[[#This Row],[Risk Treatment Safeguard Risk Score]]&lt;=tblRiskRegister322[[#This Row],[Risk Score]],"Yes","No"),"No"),"Yes")</f>
        <v>No</v>
      </c>
      <c r="AH117" s="18"/>
      <c r="AI117" s="18"/>
      <c r="AJ117" s="19"/>
    </row>
    <row r="118" spans="2:36" ht="38.25" x14ac:dyDescent="0.2">
      <c r="B118" s="44" t="s">
        <v>133</v>
      </c>
      <c r="C118" s="44"/>
      <c r="D118" s="13">
        <v>12.3</v>
      </c>
      <c r="E118" s="14" t="s">
        <v>285</v>
      </c>
      <c r="F118" s="17"/>
      <c r="G118" s="17" t="s">
        <v>785</v>
      </c>
      <c r="H118" s="17" t="s">
        <v>928</v>
      </c>
      <c r="I118" s="14"/>
      <c r="J118" s="14"/>
      <c r="K118" s="14"/>
      <c r="L118" s="16"/>
      <c r="M118" s="26">
        <f>IFERROR(VLOOKUP(tblRiskRegister322[[#This Row],[Asset Class]],tblVCDBIndex[],4,FALSE),"")</f>
        <v>1</v>
      </c>
      <c r="N118" s="26" t="str">
        <f>IFERROR(VLOOKUP(10*tblRiskRegister322[[#This Row],[Safeguard Maturity Score]]+tblRiskRegister322[[#This Row],[VCDB Index]],tblHITIndexWeightTable[],4,FALSE),"")</f>
        <v/>
      </c>
      <c r="O118" s="26">
        <f>VLOOKUP(tblRiskRegister322[[#This Row],[Asset Class]],tblInherentImpacts3046[],2,FALSE)</f>
        <v>3</v>
      </c>
      <c r="P118" s="26">
        <f>VLOOKUP(tblRiskRegister322[[#This Row],[Asset Class]],tblInherentImpacts3046[],3,FALSE)</f>
        <v>4</v>
      </c>
      <c r="Q118" s="26">
        <f>VLOOKUP(tblRiskRegister322[[#This Row],[Asset Class]],tblInherentImpacts3046[],4,FALSE)</f>
        <v>3</v>
      </c>
      <c r="R118" s="26">
        <f>VLOOKUP(tblRiskRegister322[[#This Row],[Asset Class]],tblInherentImpacts3046[],5,FALSE)</f>
        <v>1</v>
      </c>
      <c r="S118" s="26" t="str">
        <f>IFERROR(MAX(tblRiskRegister322[[#This Row],[Impact to Mission]:[Impact to Obligations]])*tblRiskRegister322[[#This Row],[Expectancy Score]],"")</f>
        <v/>
      </c>
      <c r="T118" s="29" t="str">
        <f>tblRiskRegister322[[#This Row],[Risk Score]]</f>
        <v/>
      </c>
      <c r="U118" s="17"/>
      <c r="V118" s="112">
        <v>12.3</v>
      </c>
      <c r="W118" s="44" t="s">
        <v>285</v>
      </c>
      <c r="X118" s="44" t="s">
        <v>499</v>
      </c>
      <c r="Y118" s="30"/>
      <c r="Z118" s="16"/>
      <c r="AA118" s="25" t="str">
        <f>IFERROR(VLOOKUP(10*tblRiskRegister322[[#This Row],[Risk Treatment Safeguard Maturity Score]]+tblRiskRegister322[[#This Row],[VCDB Index]],tblHITIndexWeightTable[],4,FALSE),"")</f>
        <v/>
      </c>
      <c r="AB118" s="136"/>
      <c r="AC118" s="136"/>
      <c r="AD118" s="136"/>
      <c r="AE118" s="136"/>
      <c r="AF118" s="25" t="str">
        <f>IFERROR(MAX(tblRiskRegister322[[#This Row],[Risk Treatment Safeguard Impact to Mission]:[Risk Treatment Safeguard Impact to Obligations]])*tblRiskRegister322[[#This Row],[Risk Treatment
Safeguard Expectancy Score]],"")</f>
        <v/>
      </c>
      <c r="AG118" s="27" t="str">
        <f>IF(tblRiskRegister322[[#This Row],[Risk Score]]&gt;AcceptableRisk1,IF(tblRiskRegister322[[#This Row],[Risk Treatment Safeguard Risk Score]]&lt;AcceptableRisk1, IF(tblRiskRegister322[[#This Row],[Risk Treatment Safeguard Risk Score]]&lt;=tblRiskRegister322[[#This Row],[Risk Score]],"Yes","No"),"No"),"Yes")</f>
        <v>No</v>
      </c>
      <c r="AH118" s="18"/>
      <c r="AI118" s="18"/>
      <c r="AJ118" s="19"/>
    </row>
    <row r="119" spans="2:36" ht="38.25" x14ac:dyDescent="0.2">
      <c r="B119" s="44" t="s">
        <v>133</v>
      </c>
      <c r="C119" s="44"/>
      <c r="D119" s="13">
        <v>12.4</v>
      </c>
      <c r="E119" s="14" t="s">
        <v>286</v>
      </c>
      <c r="F119" s="17"/>
      <c r="G119" s="17" t="s">
        <v>785</v>
      </c>
      <c r="H119" s="17" t="s">
        <v>926</v>
      </c>
      <c r="I119" s="14"/>
      <c r="J119" s="14"/>
      <c r="K119" s="14"/>
      <c r="L119" s="16"/>
      <c r="M119" s="26">
        <f>IFERROR(VLOOKUP(tblRiskRegister322[[#This Row],[Asset Class]],tblVCDBIndex[],4,FALSE),"")</f>
        <v>1</v>
      </c>
      <c r="N119" s="26" t="str">
        <f>IFERROR(VLOOKUP(10*tblRiskRegister322[[#This Row],[Safeguard Maturity Score]]+tblRiskRegister322[[#This Row],[VCDB Index]],tblHITIndexWeightTable[],4,FALSE),"")</f>
        <v/>
      </c>
      <c r="O119" s="26">
        <f>VLOOKUP(tblRiskRegister322[[#This Row],[Asset Class]],tblInherentImpacts3046[],2,FALSE)</f>
        <v>3</v>
      </c>
      <c r="P119" s="26">
        <f>VLOOKUP(tblRiskRegister322[[#This Row],[Asset Class]],tblInherentImpacts3046[],3,FALSE)</f>
        <v>4</v>
      </c>
      <c r="Q119" s="26">
        <f>VLOOKUP(tblRiskRegister322[[#This Row],[Asset Class]],tblInherentImpacts3046[],4,FALSE)</f>
        <v>3</v>
      </c>
      <c r="R119" s="26">
        <f>VLOOKUP(tblRiskRegister322[[#This Row],[Asset Class]],tblInherentImpacts3046[],5,FALSE)</f>
        <v>1</v>
      </c>
      <c r="S119" s="26" t="str">
        <f>IFERROR(MAX(tblRiskRegister322[[#This Row],[Impact to Mission]:[Impact to Obligations]])*tblRiskRegister322[[#This Row],[Expectancy Score]],"")</f>
        <v/>
      </c>
      <c r="T119" s="29" t="str">
        <f>tblRiskRegister322[[#This Row],[Risk Score]]</f>
        <v/>
      </c>
      <c r="U119" s="17"/>
      <c r="V119" s="112">
        <v>12.4</v>
      </c>
      <c r="W119" s="44" t="s">
        <v>286</v>
      </c>
      <c r="X119" s="44" t="s">
        <v>500</v>
      </c>
      <c r="Y119" s="30"/>
      <c r="Z119" s="16"/>
      <c r="AA119" s="25" t="str">
        <f>IFERROR(VLOOKUP(10*tblRiskRegister322[[#This Row],[Risk Treatment Safeguard Maturity Score]]+tblRiskRegister322[[#This Row],[VCDB Index]],tblHITIndexWeightTable[],4,FALSE),"")</f>
        <v/>
      </c>
      <c r="AB119" s="136"/>
      <c r="AC119" s="136"/>
      <c r="AD119" s="136"/>
      <c r="AE119" s="136"/>
      <c r="AF119" s="25" t="str">
        <f>IFERROR(MAX(tblRiskRegister322[[#This Row],[Risk Treatment Safeguard Impact to Mission]:[Risk Treatment Safeguard Impact to Obligations]])*tblRiskRegister322[[#This Row],[Risk Treatment
Safeguard Expectancy Score]],"")</f>
        <v/>
      </c>
      <c r="AG119" s="27" t="str">
        <f>IF(tblRiskRegister322[[#This Row],[Risk Score]]&gt;AcceptableRisk1,IF(tblRiskRegister322[[#This Row],[Risk Treatment Safeguard Risk Score]]&lt;AcceptableRisk1, IF(tblRiskRegister322[[#This Row],[Risk Treatment Safeguard Risk Score]]&lt;=tblRiskRegister322[[#This Row],[Risk Score]],"Yes","No"),"No"),"Yes")</f>
        <v>No</v>
      </c>
      <c r="AH119" s="18"/>
      <c r="AI119" s="18"/>
      <c r="AJ119" s="19"/>
    </row>
    <row r="120" spans="2:36" ht="25.5" x14ac:dyDescent="0.2">
      <c r="B120" s="44" t="s">
        <v>133</v>
      </c>
      <c r="C120" s="44"/>
      <c r="D120" s="13">
        <v>12.5</v>
      </c>
      <c r="E120" s="14" t="s">
        <v>287</v>
      </c>
      <c r="F120" s="17"/>
      <c r="G120" s="17" t="s">
        <v>785</v>
      </c>
      <c r="H120" s="17" t="s">
        <v>928</v>
      </c>
      <c r="I120" s="14"/>
      <c r="J120" s="14"/>
      <c r="K120" s="14"/>
      <c r="L120" s="16"/>
      <c r="M120" s="26">
        <f>IFERROR(VLOOKUP(tblRiskRegister322[[#This Row],[Asset Class]],tblVCDBIndex[],4,FALSE),"")</f>
        <v>1</v>
      </c>
      <c r="N120" s="26" t="str">
        <f>IFERROR(VLOOKUP(10*tblRiskRegister322[[#This Row],[Safeguard Maturity Score]]+tblRiskRegister322[[#This Row],[VCDB Index]],tblHITIndexWeightTable[],4,FALSE),"")</f>
        <v/>
      </c>
      <c r="O120" s="26">
        <f>VLOOKUP(tblRiskRegister322[[#This Row],[Asset Class]],tblInherentImpacts3046[],2,FALSE)</f>
        <v>3</v>
      </c>
      <c r="P120" s="26">
        <f>VLOOKUP(tblRiskRegister322[[#This Row],[Asset Class]],tblInherentImpacts3046[],3,FALSE)</f>
        <v>4</v>
      </c>
      <c r="Q120" s="26">
        <f>VLOOKUP(tblRiskRegister322[[#This Row],[Asset Class]],tblInherentImpacts3046[],4,FALSE)</f>
        <v>3</v>
      </c>
      <c r="R120" s="26">
        <f>VLOOKUP(tblRiskRegister322[[#This Row],[Asset Class]],tblInherentImpacts3046[],5,FALSE)</f>
        <v>1</v>
      </c>
      <c r="S120" s="26" t="str">
        <f>IFERROR(MAX(tblRiskRegister322[[#This Row],[Impact to Mission]:[Impact to Obligations]])*tblRiskRegister322[[#This Row],[Expectancy Score]],"")</f>
        <v/>
      </c>
      <c r="T120" s="29" t="str">
        <f>tblRiskRegister322[[#This Row],[Risk Score]]</f>
        <v/>
      </c>
      <c r="U120" s="17"/>
      <c r="V120" s="112">
        <v>12.5</v>
      </c>
      <c r="W120" s="44" t="s">
        <v>287</v>
      </c>
      <c r="X120" s="44" t="s">
        <v>501</v>
      </c>
      <c r="Y120" s="30"/>
      <c r="Z120" s="16"/>
      <c r="AA120" s="25" t="str">
        <f>IFERROR(VLOOKUP(10*tblRiskRegister322[[#This Row],[Risk Treatment Safeguard Maturity Score]]+tblRiskRegister322[[#This Row],[VCDB Index]],tblHITIndexWeightTable[],4,FALSE),"")</f>
        <v/>
      </c>
      <c r="AB120" s="136"/>
      <c r="AC120" s="136"/>
      <c r="AD120" s="136"/>
      <c r="AE120" s="136"/>
      <c r="AF120" s="25" t="str">
        <f>IFERROR(MAX(tblRiskRegister322[[#This Row],[Risk Treatment Safeguard Impact to Mission]:[Risk Treatment Safeguard Impact to Obligations]])*tblRiskRegister322[[#This Row],[Risk Treatment
Safeguard Expectancy Score]],"")</f>
        <v/>
      </c>
      <c r="AG120" s="27" t="str">
        <f>IF(tblRiskRegister322[[#This Row],[Risk Score]]&gt;AcceptableRisk1,IF(tblRiskRegister322[[#This Row],[Risk Treatment Safeguard Risk Score]]&lt;AcceptableRisk1, IF(tblRiskRegister322[[#This Row],[Risk Treatment Safeguard Risk Score]]&lt;=tblRiskRegister322[[#This Row],[Risk Score]],"Yes","No"),"No"),"Yes")</f>
        <v>No</v>
      </c>
      <c r="AH120" s="18"/>
      <c r="AI120" s="18"/>
      <c r="AJ120" s="19"/>
    </row>
    <row r="121" spans="2:36" ht="38.25" x14ac:dyDescent="0.2">
      <c r="B121" s="44" t="s">
        <v>133</v>
      </c>
      <c r="C121" s="44"/>
      <c r="D121" s="13">
        <v>12.6</v>
      </c>
      <c r="E121" s="14" t="s">
        <v>288</v>
      </c>
      <c r="F121" s="17"/>
      <c r="G121" s="17" t="s">
        <v>785</v>
      </c>
      <c r="H121" s="17" t="s">
        <v>928</v>
      </c>
      <c r="I121" s="14"/>
      <c r="J121" s="14"/>
      <c r="K121" s="14"/>
      <c r="L121" s="16"/>
      <c r="M121" s="26">
        <f>IFERROR(VLOOKUP(tblRiskRegister322[[#This Row],[Asset Class]],tblVCDBIndex[],4,FALSE),"")</f>
        <v>1</v>
      </c>
      <c r="N121" s="26" t="str">
        <f>IFERROR(VLOOKUP(10*tblRiskRegister322[[#This Row],[Safeguard Maturity Score]]+tblRiskRegister322[[#This Row],[VCDB Index]],tblHITIndexWeightTable[],4,FALSE),"")</f>
        <v/>
      </c>
      <c r="O121" s="26">
        <f>VLOOKUP(tblRiskRegister322[[#This Row],[Asset Class]],tblInherentImpacts3046[],2,FALSE)</f>
        <v>3</v>
      </c>
      <c r="P121" s="26">
        <f>VLOOKUP(tblRiskRegister322[[#This Row],[Asset Class]],tblInherentImpacts3046[],3,FALSE)</f>
        <v>4</v>
      </c>
      <c r="Q121" s="26">
        <f>VLOOKUP(tblRiskRegister322[[#This Row],[Asset Class]],tblInherentImpacts3046[],4,FALSE)</f>
        <v>3</v>
      </c>
      <c r="R121" s="26">
        <f>VLOOKUP(tblRiskRegister322[[#This Row],[Asset Class]],tblInherentImpacts3046[],5,FALSE)</f>
        <v>1</v>
      </c>
      <c r="S121" s="26" t="str">
        <f>IFERROR(MAX(tblRiskRegister322[[#This Row],[Impact to Mission]:[Impact to Obligations]])*tblRiskRegister322[[#This Row],[Expectancy Score]],"")</f>
        <v/>
      </c>
      <c r="T121" s="29" t="str">
        <f>tblRiskRegister322[[#This Row],[Risk Score]]</f>
        <v/>
      </c>
      <c r="U121" s="17"/>
      <c r="V121" s="112">
        <v>12.6</v>
      </c>
      <c r="W121" s="44" t="s">
        <v>288</v>
      </c>
      <c r="X121" s="44" t="s">
        <v>502</v>
      </c>
      <c r="Y121" s="30"/>
      <c r="Z121" s="16"/>
      <c r="AA121" s="25" t="str">
        <f>IFERROR(VLOOKUP(10*tblRiskRegister322[[#This Row],[Risk Treatment Safeguard Maturity Score]]+tblRiskRegister322[[#This Row],[VCDB Index]],tblHITIndexWeightTable[],4,FALSE),"")</f>
        <v/>
      </c>
      <c r="AB121" s="136"/>
      <c r="AC121" s="136"/>
      <c r="AD121" s="136"/>
      <c r="AE121" s="136"/>
      <c r="AF121" s="25" t="str">
        <f>IFERROR(MAX(tblRiskRegister322[[#This Row],[Risk Treatment Safeguard Impact to Mission]:[Risk Treatment Safeguard Impact to Obligations]])*tblRiskRegister322[[#This Row],[Risk Treatment
Safeguard Expectancy Score]],"")</f>
        <v/>
      </c>
      <c r="AG121" s="27" t="str">
        <f>IF(tblRiskRegister322[[#This Row],[Risk Score]]&gt;AcceptableRisk1,IF(tblRiskRegister322[[#This Row],[Risk Treatment Safeguard Risk Score]]&lt;AcceptableRisk1, IF(tblRiskRegister322[[#This Row],[Risk Treatment Safeguard Risk Score]]&lt;=tblRiskRegister322[[#This Row],[Risk Score]],"Yes","No"),"No"),"Yes")</f>
        <v>No</v>
      </c>
      <c r="AH121" s="18"/>
      <c r="AI121" s="18"/>
      <c r="AJ121" s="19"/>
    </row>
    <row r="122" spans="2:36" ht="51" x14ac:dyDescent="0.2">
      <c r="B122" s="44" t="s">
        <v>133</v>
      </c>
      <c r="C122" s="44"/>
      <c r="D122" s="13">
        <v>13.1</v>
      </c>
      <c r="E122" s="14" t="s">
        <v>289</v>
      </c>
      <c r="F122" s="17"/>
      <c r="G122" s="17" t="s">
        <v>785</v>
      </c>
      <c r="H122" s="17" t="s">
        <v>929</v>
      </c>
      <c r="I122" s="14"/>
      <c r="J122" s="14"/>
      <c r="K122" s="14"/>
      <c r="L122" s="16"/>
      <c r="M122" s="26">
        <f>IFERROR(VLOOKUP(tblRiskRegister322[[#This Row],[Asset Class]],tblVCDBIndex[],4,FALSE),"")</f>
        <v>1</v>
      </c>
      <c r="N122" s="26" t="str">
        <f>IFERROR(VLOOKUP(10*tblRiskRegister322[[#This Row],[Safeguard Maturity Score]]+tblRiskRegister322[[#This Row],[VCDB Index]],tblHITIndexWeightTable[],4,FALSE),"")</f>
        <v/>
      </c>
      <c r="O122" s="26">
        <f>VLOOKUP(tblRiskRegister322[[#This Row],[Asset Class]],tblInherentImpacts3046[],2,FALSE)</f>
        <v>3</v>
      </c>
      <c r="P122" s="26">
        <f>VLOOKUP(tblRiskRegister322[[#This Row],[Asset Class]],tblInherentImpacts3046[],3,FALSE)</f>
        <v>4</v>
      </c>
      <c r="Q122" s="26">
        <f>VLOOKUP(tblRiskRegister322[[#This Row],[Asset Class]],tblInherentImpacts3046[],4,FALSE)</f>
        <v>3</v>
      </c>
      <c r="R122" s="26">
        <f>VLOOKUP(tblRiskRegister322[[#This Row],[Asset Class]],tblInherentImpacts3046[],5,FALSE)</f>
        <v>1</v>
      </c>
      <c r="S122" s="26" t="str">
        <f>IFERROR(MAX(tblRiskRegister322[[#This Row],[Impact to Mission]:[Impact to Obligations]])*tblRiskRegister322[[#This Row],[Expectancy Score]],"")</f>
        <v/>
      </c>
      <c r="T122" s="29" t="str">
        <f>tblRiskRegister322[[#This Row],[Risk Score]]</f>
        <v/>
      </c>
      <c r="U122" s="17"/>
      <c r="V122" s="112">
        <v>13.1</v>
      </c>
      <c r="W122" s="44" t="s">
        <v>289</v>
      </c>
      <c r="X122" s="44" t="s">
        <v>504</v>
      </c>
      <c r="Y122" s="30"/>
      <c r="Z122" s="16"/>
      <c r="AA122" s="25" t="str">
        <f>IFERROR(VLOOKUP(10*tblRiskRegister322[[#This Row],[Risk Treatment Safeguard Maturity Score]]+tblRiskRegister322[[#This Row],[VCDB Index]],tblHITIndexWeightTable[],4,FALSE),"")</f>
        <v/>
      </c>
      <c r="AB122" s="136"/>
      <c r="AC122" s="136"/>
      <c r="AD122" s="136"/>
      <c r="AE122" s="136"/>
      <c r="AF122" s="25" t="str">
        <f>IFERROR(MAX(tblRiskRegister322[[#This Row],[Risk Treatment Safeguard Impact to Mission]:[Risk Treatment Safeguard Impact to Obligations]])*tblRiskRegister322[[#This Row],[Risk Treatment
Safeguard Expectancy Score]],"")</f>
        <v/>
      </c>
      <c r="AG122" s="27" t="str">
        <f>IF(tblRiskRegister322[[#This Row],[Risk Score]]&gt;AcceptableRisk1,IF(tblRiskRegister322[[#This Row],[Risk Treatment Safeguard Risk Score]]&lt;AcceptableRisk1, IF(tblRiskRegister322[[#This Row],[Risk Treatment Safeguard Risk Score]]&lt;=tblRiskRegister322[[#This Row],[Risk Score]],"Yes","No"),"No"),"Yes")</f>
        <v>No</v>
      </c>
      <c r="AH122" s="18"/>
      <c r="AI122" s="18"/>
      <c r="AJ122" s="19"/>
    </row>
    <row r="123" spans="2:36" ht="38.25" x14ac:dyDescent="0.2">
      <c r="B123" s="44" t="s">
        <v>133</v>
      </c>
      <c r="C123" s="44"/>
      <c r="D123" s="13">
        <v>13.3</v>
      </c>
      <c r="E123" s="14" t="s">
        <v>290</v>
      </c>
      <c r="F123" s="17"/>
      <c r="G123" s="17" t="s">
        <v>785</v>
      </c>
      <c r="H123" s="17" t="s">
        <v>929</v>
      </c>
      <c r="I123" s="14"/>
      <c r="J123" s="14"/>
      <c r="K123" s="14"/>
      <c r="L123" s="16"/>
      <c r="M123" s="26">
        <f>IFERROR(VLOOKUP(tblRiskRegister322[[#This Row],[Asset Class]],tblVCDBIndex[],4,FALSE),"")</f>
        <v>1</v>
      </c>
      <c r="N123" s="26" t="str">
        <f>IFERROR(VLOOKUP(10*tblRiskRegister322[[#This Row],[Safeguard Maturity Score]]+tblRiskRegister322[[#This Row],[VCDB Index]],tblHITIndexWeightTable[],4,FALSE),"")</f>
        <v/>
      </c>
      <c r="O123" s="26">
        <f>VLOOKUP(tblRiskRegister322[[#This Row],[Asset Class]],tblInherentImpacts3046[],2,FALSE)</f>
        <v>3</v>
      </c>
      <c r="P123" s="26">
        <f>VLOOKUP(tblRiskRegister322[[#This Row],[Asset Class]],tblInherentImpacts3046[],3,FALSE)</f>
        <v>4</v>
      </c>
      <c r="Q123" s="26">
        <f>VLOOKUP(tblRiskRegister322[[#This Row],[Asset Class]],tblInherentImpacts3046[],4,FALSE)</f>
        <v>3</v>
      </c>
      <c r="R123" s="26">
        <f>VLOOKUP(tblRiskRegister322[[#This Row],[Asset Class]],tblInherentImpacts3046[],5,FALSE)</f>
        <v>1</v>
      </c>
      <c r="S123" s="26" t="str">
        <f>IFERROR(MAX(tblRiskRegister322[[#This Row],[Impact to Mission]:[Impact to Obligations]])*tblRiskRegister322[[#This Row],[Expectancy Score]],"")</f>
        <v/>
      </c>
      <c r="T123" s="29" t="str">
        <f>tblRiskRegister322[[#This Row],[Risk Score]]</f>
        <v/>
      </c>
      <c r="U123" s="17"/>
      <c r="V123" s="112">
        <v>13.3</v>
      </c>
      <c r="W123" s="44" t="s">
        <v>290</v>
      </c>
      <c r="X123" s="44" t="s">
        <v>506</v>
      </c>
      <c r="Y123" s="30"/>
      <c r="Z123" s="16"/>
      <c r="AA123" s="25" t="str">
        <f>IFERROR(VLOOKUP(10*tblRiskRegister322[[#This Row],[Risk Treatment Safeguard Maturity Score]]+tblRiskRegister322[[#This Row],[VCDB Index]],tblHITIndexWeightTable[],4,FALSE),"")</f>
        <v/>
      </c>
      <c r="AB123" s="136"/>
      <c r="AC123" s="136"/>
      <c r="AD123" s="136"/>
      <c r="AE123" s="136"/>
      <c r="AF123" s="25" t="str">
        <f>IFERROR(MAX(tblRiskRegister322[[#This Row],[Risk Treatment Safeguard Impact to Mission]:[Risk Treatment Safeguard Impact to Obligations]])*tblRiskRegister322[[#This Row],[Risk Treatment
Safeguard Expectancy Score]],"")</f>
        <v/>
      </c>
      <c r="AG123" s="27" t="str">
        <f>IF(tblRiskRegister322[[#This Row],[Risk Score]]&gt;AcceptableRisk1,IF(tblRiskRegister322[[#This Row],[Risk Treatment Safeguard Risk Score]]&lt;AcceptableRisk1, IF(tblRiskRegister322[[#This Row],[Risk Treatment Safeguard Risk Score]]&lt;=tblRiskRegister322[[#This Row],[Risk Score]],"Yes","No"),"No"),"Yes")</f>
        <v>No</v>
      </c>
      <c r="AH123" s="18"/>
      <c r="AI123" s="18"/>
      <c r="AJ123" s="19"/>
    </row>
    <row r="124" spans="2:36" ht="25.5" x14ac:dyDescent="0.2">
      <c r="B124" s="44" t="s">
        <v>133</v>
      </c>
      <c r="C124" s="44"/>
      <c r="D124" s="13">
        <v>13.4</v>
      </c>
      <c r="E124" s="14" t="s">
        <v>291</v>
      </c>
      <c r="F124" s="17"/>
      <c r="G124" s="17" t="s">
        <v>785</v>
      </c>
      <c r="H124" s="17" t="s">
        <v>928</v>
      </c>
      <c r="I124" s="14"/>
      <c r="J124" s="14"/>
      <c r="K124" s="14"/>
      <c r="L124" s="16"/>
      <c r="M124" s="26">
        <f>IFERROR(VLOOKUP(tblRiskRegister322[[#This Row],[Asset Class]],tblVCDBIndex[],4,FALSE),"")</f>
        <v>1</v>
      </c>
      <c r="N124" s="26" t="str">
        <f>IFERROR(VLOOKUP(10*tblRiskRegister322[[#This Row],[Safeguard Maturity Score]]+tblRiskRegister322[[#This Row],[VCDB Index]],tblHITIndexWeightTable[],4,FALSE),"")</f>
        <v/>
      </c>
      <c r="O124" s="26">
        <f>VLOOKUP(tblRiskRegister322[[#This Row],[Asset Class]],tblInherentImpacts3046[],2,FALSE)</f>
        <v>3</v>
      </c>
      <c r="P124" s="26">
        <f>VLOOKUP(tblRiskRegister322[[#This Row],[Asset Class]],tblInherentImpacts3046[],3,FALSE)</f>
        <v>4</v>
      </c>
      <c r="Q124" s="26">
        <f>VLOOKUP(tblRiskRegister322[[#This Row],[Asset Class]],tblInherentImpacts3046[],4,FALSE)</f>
        <v>3</v>
      </c>
      <c r="R124" s="26">
        <f>VLOOKUP(tblRiskRegister322[[#This Row],[Asset Class]],tblInherentImpacts3046[],5,FALSE)</f>
        <v>1</v>
      </c>
      <c r="S124" s="26" t="str">
        <f>IFERROR(MAX(tblRiskRegister322[[#This Row],[Impact to Mission]:[Impact to Obligations]])*tblRiskRegister322[[#This Row],[Expectancy Score]],"")</f>
        <v/>
      </c>
      <c r="T124" s="29" t="str">
        <f>tblRiskRegister322[[#This Row],[Risk Score]]</f>
        <v/>
      </c>
      <c r="U124" s="17"/>
      <c r="V124" s="112">
        <v>13.4</v>
      </c>
      <c r="W124" s="44" t="s">
        <v>291</v>
      </c>
      <c r="X124" s="44" t="s">
        <v>507</v>
      </c>
      <c r="Y124" s="30"/>
      <c r="Z124" s="16"/>
      <c r="AA124" s="25" t="str">
        <f>IFERROR(VLOOKUP(10*tblRiskRegister322[[#This Row],[Risk Treatment Safeguard Maturity Score]]+tblRiskRegister322[[#This Row],[VCDB Index]],tblHITIndexWeightTable[],4,FALSE),"")</f>
        <v/>
      </c>
      <c r="AB124" s="136"/>
      <c r="AC124" s="136"/>
      <c r="AD124" s="136"/>
      <c r="AE124" s="136"/>
      <c r="AF124" s="25" t="str">
        <f>IFERROR(MAX(tblRiskRegister322[[#This Row],[Risk Treatment Safeguard Impact to Mission]:[Risk Treatment Safeguard Impact to Obligations]])*tblRiskRegister322[[#This Row],[Risk Treatment
Safeguard Expectancy Score]],"")</f>
        <v/>
      </c>
      <c r="AG124" s="27" t="str">
        <f>IF(tblRiskRegister322[[#This Row],[Risk Score]]&gt;AcceptableRisk1,IF(tblRiskRegister322[[#This Row],[Risk Treatment Safeguard Risk Score]]&lt;AcceptableRisk1, IF(tblRiskRegister322[[#This Row],[Risk Treatment Safeguard Risk Score]]&lt;=tblRiskRegister322[[#This Row],[Risk Score]],"Yes","No"),"No"),"Yes")</f>
        <v>No</v>
      </c>
      <c r="AH124" s="18"/>
      <c r="AI124" s="18"/>
      <c r="AJ124" s="19"/>
    </row>
    <row r="125" spans="2:36" ht="25.5" x14ac:dyDescent="0.2">
      <c r="B125" s="44" t="s">
        <v>133</v>
      </c>
      <c r="C125" s="44"/>
      <c r="D125" s="13">
        <v>13.6</v>
      </c>
      <c r="E125" s="14" t="s">
        <v>292</v>
      </c>
      <c r="F125" s="17"/>
      <c r="G125" s="17" t="s">
        <v>785</v>
      </c>
      <c r="H125" s="17" t="s">
        <v>929</v>
      </c>
      <c r="I125" s="14"/>
      <c r="J125" s="14"/>
      <c r="K125" s="14"/>
      <c r="L125" s="16"/>
      <c r="M125" s="26">
        <f>IFERROR(VLOOKUP(tblRiskRegister322[[#This Row],[Asset Class]],tblVCDBIndex[],4,FALSE),"")</f>
        <v>1</v>
      </c>
      <c r="N125" s="26" t="str">
        <f>IFERROR(VLOOKUP(10*tblRiskRegister322[[#This Row],[Safeguard Maturity Score]]+tblRiskRegister322[[#This Row],[VCDB Index]],tblHITIndexWeightTable[],4,FALSE),"")</f>
        <v/>
      </c>
      <c r="O125" s="26">
        <f>VLOOKUP(tblRiskRegister322[[#This Row],[Asset Class]],tblInherentImpacts3046[],2,FALSE)</f>
        <v>3</v>
      </c>
      <c r="P125" s="26">
        <f>VLOOKUP(tblRiskRegister322[[#This Row],[Asset Class]],tblInherentImpacts3046[],3,FALSE)</f>
        <v>4</v>
      </c>
      <c r="Q125" s="26">
        <f>VLOOKUP(tblRiskRegister322[[#This Row],[Asset Class]],tblInherentImpacts3046[],4,FALSE)</f>
        <v>3</v>
      </c>
      <c r="R125" s="26">
        <f>VLOOKUP(tblRiskRegister322[[#This Row],[Asset Class]],tblInherentImpacts3046[],5,FALSE)</f>
        <v>1</v>
      </c>
      <c r="S125" s="26" t="str">
        <f>IFERROR(MAX(tblRiskRegister322[[#This Row],[Impact to Mission]:[Impact to Obligations]])*tblRiskRegister322[[#This Row],[Expectancy Score]],"")</f>
        <v/>
      </c>
      <c r="T125" s="29" t="str">
        <f>tblRiskRegister322[[#This Row],[Risk Score]]</f>
        <v/>
      </c>
      <c r="U125" s="17"/>
      <c r="V125" s="112">
        <v>13.6</v>
      </c>
      <c r="W125" s="44" t="s">
        <v>292</v>
      </c>
      <c r="X125" s="44" t="s">
        <v>509</v>
      </c>
      <c r="Y125" s="30"/>
      <c r="Z125" s="16"/>
      <c r="AA125" s="25" t="str">
        <f>IFERROR(VLOOKUP(10*tblRiskRegister322[[#This Row],[Risk Treatment Safeguard Maturity Score]]+tblRiskRegister322[[#This Row],[VCDB Index]],tblHITIndexWeightTable[],4,FALSE),"")</f>
        <v/>
      </c>
      <c r="AB125" s="136"/>
      <c r="AC125" s="136"/>
      <c r="AD125" s="136"/>
      <c r="AE125" s="136"/>
      <c r="AF125" s="25" t="str">
        <f>IFERROR(MAX(tblRiskRegister322[[#This Row],[Risk Treatment Safeguard Impact to Mission]:[Risk Treatment Safeguard Impact to Obligations]])*tblRiskRegister322[[#This Row],[Risk Treatment
Safeguard Expectancy Score]],"")</f>
        <v/>
      </c>
      <c r="AG125" s="27" t="str">
        <f>IF(tblRiskRegister322[[#This Row],[Risk Score]]&gt;AcceptableRisk1,IF(tblRiskRegister322[[#This Row],[Risk Treatment Safeguard Risk Score]]&lt;AcceptableRisk1, IF(tblRiskRegister322[[#This Row],[Risk Treatment Safeguard Risk Score]]&lt;=tblRiskRegister322[[#This Row],[Risk Score]],"Yes","No"),"No"),"Yes")</f>
        <v>No</v>
      </c>
      <c r="AH125" s="18"/>
      <c r="AI125" s="18"/>
      <c r="AJ125" s="19"/>
    </row>
    <row r="126" spans="2:36" ht="63.75" x14ac:dyDescent="0.2">
      <c r="B126" s="44" t="s">
        <v>133</v>
      </c>
      <c r="C126" s="44"/>
      <c r="D126" s="13">
        <v>18.2</v>
      </c>
      <c r="E126" s="14" t="s">
        <v>293</v>
      </c>
      <c r="F126" s="17"/>
      <c r="G126" s="17" t="s">
        <v>785</v>
      </c>
      <c r="H126" s="17" t="s">
        <v>926</v>
      </c>
      <c r="I126" s="14"/>
      <c r="J126" s="14"/>
      <c r="K126" s="14"/>
      <c r="L126" s="16"/>
      <c r="M126" s="26">
        <f>IFERROR(VLOOKUP(tblRiskRegister322[[#This Row],[Asset Class]],tblVCDBIndex[],4,FALSE),"")</f>
        <v>1</v>
      </c>
      <c r="N126" s="26" t="str">
        <f>IFERROR(VLOOKUP(10*tblRiskRegister322[[#This Row],[Safeguard Maturity Score]]+tblRiskRegister322[[#This Row],[VCDB Index]],tblHITIndexWeightTable[],4,FALSE),"")</f>
        <v/>
      </c>
      <c r="O126" s="26">
        <f>VLOOKUP(tblRiskRegister322[[#This Row],[Asset Class]],tblInherentImpacts3046[],2,FALSE)</f>
        <v>3</v>
      </c>
      <c r="P126" s="26">
        <f>VLOOKUP(tblRiskRegister322[[#This Row],[Asset Class]],tblInherentImpacts3046[],3,FALSE)</f>
        <v>4</v>
      </c>
      <c r="Q126" s="26">
        <f>VLOOKUP(tblRiskRegister322[[#This Row],[Asset Class]],tblInherentImpacts3046[],4,FALSE)</f>
        <v>3</v>
      </c>
      <c r="R126" s="26">
        <f>VLOOKUP(tblRiskRegister322[[#This Row],[Asset Class]],tblInherentImpacts3046[],5,FALSE)</f>
        <v>1</v>
      </c>
      <c r="S126" s="26" t="str">
        <f>IFERROR(MAX(tblRiskRegister322[[#This Row],[Impact to Mission]:[Impact to Obligations]])*tblRiskRegister322[[#This Row],[Expectancy Score]],"")</f>
        <v/>
      </c>
      <c r="T126" s="29" t="str">
        <f>tblRiskRegister322[[#This Row],[Risk Score]]</f>
        <v/>
      </c>
      <c r="U126" s="17"/>
      <c r="V126" s="112">
        <v>18.2</v>
      </c>
      <c r="W126" s="44" t="s">
        <v>293</v>
      </c>
      <c r="X126" s="44" t="s">
        <v>543</v>
      </c>
      <c r="Y126" s="30"/>
      <c r="Z126" s="16"/>
      <c r="AA126" s="25" t="str">
        <f>IFERROR(VLOOKUP(10*tblRiskRegister322[[#This Row],[Risk Treatment Safeguard Maturity Score]]+tblRiskRegister322[[#This Row],[VCDB Index]],tblHITIndexWeightTable[],4,FALSE),"")</f>
        <v/>
      </c>
      <c r="AB126" s="136"/>
      <c r="AC126" s="136"/>
      <c r="AD126" s="136"/>
      <c r="AE126" s="136"/>
      <c r="AF126" s="25" t="str">
        <f>IFERROR(MAX(tblRiskRegister322[[#This Row],[Risk Treatment Safeguard Impact to Mission]:[Risk Treatment Safeguard Impact to Obligations]])*tblRiskRegister322[[#This Row],[Risk Treatment
Safeguard Expectancy Score]],"")</f>
        <v/>
      </c>
      <c r="AG126" s="27" t="str">
        <f>IF(tblRiskRegister322[[#This Row],[Risk Score]]&gt;AcceptableRisk1,IF(tblRiskRegister322[[#This Row],[Risk Treatment Safeguard Risk Score]]&lt;AcceptableRisk1, IF(tblRiskRegister322[[#This Row],[Risk Treatment Safeguard Risk Score]]&lt;=tblRiskRegister322[[#This Row],[Risk Score]],"Yes","No"),"No"),"Yes")</f>
        <v>No</v>
      </c>
      <c r="AH126" s="18"/>
      <c r="AI126" s="18"/>
      <c r="AJ126" s="19"/>
    </row>
    <row r="127" spans="2:36" ht="25.5" x14ac:dyDescent="0.2">
      <c r="B127" s="44" t="s">
        <v>133</v>
      </c>
      <c r="C127" s="44"/>
      <c r="D127" s="13">
        <v>18.3</v>
      </c>
      <c r="E127" s="14" t="s">
        <v>294</v>
      </c>
      <c r="F127" s="17"/>
      <c r="G127" s="17" t="s">
        <v>785</v>
      </c>
      <c r="H127" s="17" t="s">
        <v>928</v>
      </c>
      <c r="I127" s="14"/>
      <c r="J127" s="14"/>
      <c r="K127" s="14"/>
      <c r="L127" s="16"/>
      <c r="M127" s="26">
        <f>IFERROR(VLOOKUP(tblRiskRegister322[[#This Row],[Asset Class]],tblVCDBIndex[],4,FALSE),"")</f>
        <v>1</v>
      </c>
      <c r="N127" s="26" t="str">
        <f>IFERROR(VLOOKUP(10*tblRiskRegister322[[#This Row],[Safeguard Maturity Score]]+tblRiskRegister322[[#This Row],[VCDB Index]],tblHITIndexWeightTable[],4,FALSE),"")</f>
        <v/>
      </c>
      <c r="O127" s="26">
        <f>VLOOKUP(tblRiskRegister322[[#This Row],[Asset Class]],tblInherentImpacts3046[],2,FALSE)</f>
        <v>3</v>
      </c>
      <c r="P127" s="26">
        <f>VLOOKUP(tblRiskRegister322[[#This Row],[Asset Class]],tblInherentImpacts3046[],3,FALSE)</f>
        <v>4</v>
      </c>
      <c r="Q127" s="26">
        <f>VLOOKUP(tblRiskRegister322[[#This Row],[Asset Class]],tblInherentImpacts3046[],4,FALSE)</f>
        <v>3</v>
      </c>
      <c r="R127" s="26">
        <f>VLOOKUP(tblRiskRegister322[[#This Row],[Asset Class]],tblInherentImpacts3046[],5,FALSE)</f>
        <v>1</v>
      </c>
      <c r="S127" s="26" t="str">
        <f>IFERROR(MAX(tblRiskRegister322[[#This Row],[Impact to Mission]:[Impact to Obligations]])*tblRiskRegister322[[#This Row],[Expectancy Score]],"")</f>
        <v/>
      </c>
      <c r="T127" s="29" t="str">
        <f>tblRiskRegister322[[#This Row],[Risk Score]]</f>
        <v/>
      </c>
      <c r="U127" s="17"/>
      <c r="V127" s="112">
        <v>18.3</v>
      </c>
      <c r="W127" s="44" t="s">
        <v>294</v>
      </c>
      <c r="X127" s="44" t="s">
        <v>544</v>
      </c>
      <c r="Y127" s="30"/>
      <c r="Z127" s="16"/>
      <c r="AA127" s="25" t="str">
        <f>IFERROR(VLOOKUP(10*tblRiskRegister322[[#This Row],[Risk Treatment Safeguard Maturity Score]]+tblRiskRegister322[[#This Row],[VCDB Index]],tblHITIndexWeightTable[],4,FALSE),"")</f>
        <v/>
      </c>
      <c r="AB127" s="136"/>
      <c r="AC127" s="136"/>
      <c r="AD127" s="136"/>
      <c r="AE127" s="136"/>
      <c r="AF127" s="25" t="str">
        <f>IFERROR(MAX(tblRiskRegister322[[#This Row],[Risk Treatment Safeguard Impact to Mission]:[Risk Treatment Safeguard Impact to Obligations]])*tblRiskRegister322[[#This Row],[Risk Treatment
Safeguard Expectancy Score]],"")</f>
        <v/>
      </c>
      <c r="AG127" s="27" t="str">
        <f>IF(tblRiskRegister322[[#This Row],[Risk Score]]&gt;AcceptableRisk1,IF(tblRiskRegister322[[#This Row],[Risk Treatment Safeguard Risk Score]]&lt;AcceptableRisk1, IF(tblRiskRegister322[[#This Row],[Risk Treatment Safeguard Risk Score]]&lt;=tblRiskRegister322[[#This Row],[Risk Score]],"Yes","No"),"No"),"Yes")</f>
        <v>No</v>
      </c>
      <c r="AH127" s="18"/>
      <c r="AI127" s="18"/>
      <c r="AJ127" s="19"/>
    </row>
    <row r="128" spans="2:36" ht="38.25" x14ac:dyDescent="0.2">
      <c r="B128" s="44" t="s">
        <v>134</v>
      </c>
      <c r="C128" s="44"/>
      <c r="D128" s="13">
        <v>4.3</v>
      </c>
      <c r="E128" s="14" t="s">
        <v>90</v>
      </c>
      <c r="F128" s="17" t="s">
        <v>785</v>
      </c>
      <c r="G128" s="17" t="s">
        <v>785</v>
      </c>
      <c r="H128" s="17" t="s">
        <v>928</v>
      </c>
      <c r="I128" s="14"/>
      <c r="J128" s="14"/>
      <c r="K128" s="14"/>
      <c r="L128" s="137">
        <v>1</v>
      </c>
      <c r="M128" s="26">
        <f>IFERROR(VLOOKUP(tblRiskRegister322[[#This Row],[Asset Class]],tblVCDBIndex[],4,FALSE),"")</f>
        <v>3</v>
      </c>
      <c r="N128" s="26">
        <f>IFERROR(VLOOKUP(10*tblRiskRegister322[[#This Row],[Safeguard Maturity Score]]+tblRiskRegister322[[#This Row],[VCDB Index]],tblHITIndexWeightTable[],4,FALSE),"")</f>
        <v>5</v>
      </c>
      <c r="O128" s="26">
        <f>VLOOKUP(tblRiskRegister322[[#This Row],[Asset Class]],tblInherentImpacts3046[],2,FALSE)</f>
        <v>3</v>
      </c>
      <c r="P128" s="26">
        <f>VLOOKUP(tblRiskRegister322[[#This Row],[Asset Class]],tblInherentImpacts3046[],3,FALSE)</f>
        <v>3</v>
      </c>
      <c r="Q128" s="26">
        <f>VLOOKUP(tblRiskRegister322[[#This Row],[Asset Class]],tblInherentImpacts3046[],4,FALSE)</f>
        <v>4</v>
      </c>
      <c r="R128" s="26">
        <f>VLOOKUP(tblRiskRegister322[[#This Row],[Asset Class]],tblInherentImpacts3046[],5,FALSE)</f>
        <v>4</v>
      </c>
      <c r="S128" s="26">
        <f>IFERROR(MAX(tblRiskRegister322[[#This Row],[Impact to Mission]:[Impact to Obligations]])*tblRiskRegister322[[#This Row],[Expectancy Score]],"")</f>
        <v>20</v>
      </c>
      <c r="T128" s="29">
        <f>tblRiskRegister322[[#This Row],[Risk Score]]</f>
        <v>20</v>
      </c>
      <c r="U128" s="17"/>
      <c r="V128" s="112">
        <v>4.3</v>
      </c>
      <c r="W128" s="44" t="s">
        <v>90</v>
      </c>
      <c r="X128" s="44" t="s">
        <v>439</v>
      </c>
      <c r="Y128" s="30"/>
      <c r="Z128" s="16"/>
      <c r="AA128" s="25" t="str">
        <f>IFERROR(VLOOKUP(10*tblRiskRegister322[[#This Row],[Risk Treatment Safeguard Maturity Score]]+tblRiskRegister322[[#This Row],[VCDB Index]],tblHITIndexWeightTable[],4,FALSE),"")</f>
        <v/>
      </c>
      <c r="AB128" s="136"/>
      <c r="AC128" s="136"/>
      <c r="AD128" s="136"/>
      <c r="AE128" s="136"/>
      <c r="AF128" s="25" t="str">
        <f>IFERROR(MAX(tblRiskRegister322[[#This Row],[Risk Treatment Safeguard Impact to Mission]:[Risk Treatment Safeguard Impact to Obligations]])*tblRiskRegister322[[#This Row],[Risk Treatment
Safeguard Expectancy Score]],"")</f>
        <v/>
      </c>
      <c r="AG128" s="27" t="str">
        <f>IF(tblRiskRegister322[[#This Row],[Risk Score]]&gt;AcceptableRisk1,IF(tblRiskRegister322[[#This Row],[Risk Treatment Safeguard Risk Score]]&lt;AcceptableRisk1, IF(tblRiskRegister322[[#This Row],[Risk Treatment Safeguard Risk Score]]&lt;=tblRiskRegister322[[#This Row],[Risk Score]],"Yes","No"),"No"),"Yes")</f>
        <v>No</v>
      </c>
      <c r="AH128" s="18"/>
      <c r="AI128" s="18"/>
      <c r="AJ128" s="19"/>
    </row>
    <row r="129" spans="2:36" ht="38.25" x14ac:dyDescent="0.2">
      <c r="B129" s="44" t="s">
        <v>134</v>
      </c>
      <c r="C129" s="44"/>
      <c r="D129" s="13">
        <v>4.7</v>
      </c>
      <c r="E129" s="14" t="s">
        <v>94</v>
      </c>
      <c r="F129" s="17" t="s">
        <v>785</v>
      </c>
      <c r="G129" s="17" t="s">
        <v>785</v>
      </c>
      <c r="H129" s="17" t="s">
        <v>928</v>
      </c>
      <c r="I129" s="14"/>
      <c r="J129" s="14"/>
      <c r="K129" s="14"/>
      <c r="L129" s="137">
        <v>3</v>
      </c>
      <c r="M129" s="26">
        <f>IFERROR(VLOOKUP(tblRiskRegister322[[#This Row],[Asset Class]],tblVCDBIndex[],4,FALSE),"")</f>
        <v>3</v>
      </c>
      <c r="N129" s="26">
        <f>IFERROR(VLOOKUP(10*tblRiskRegister322[[#This Row],[Safeguard Maturity Score]]+tblRiskRegister322[[#This Row],[VCDB Index]],tblHITIndexWeightTable[],4,FALSE),"")</f>
        <v>3</v>
      </c>
      <c r="O129" s="26">
        <f>VLOOKUP(tblRiskRegister322[[#This Row],[Asset Class]],tblInherentImpacts3046[],2,FALSE)</f>
        <v>3</v>
      </c>
      <c r="P129" s="26">
        <f>VLOOKUP(tblRiskRegister322[[#This Row],[Asset Class]],tblInherentImpacts3046[],3,FALSE)</f>
        <v>3</v>
      </c>
      <c r="Q129" s="26">
        <f>VLOOKUP(tblRiskRegister322[[#This Row],[Asset Class]],tblInherentImpacts3046[],4,FALSE)</f>
        <v>4</v>
      </c>
      <c r="R129" s="26">
        <f>VLOOKUP(tblRiskRegister322[[#This Row],[Asset Class]],tblInherentImpacts3046[],5,FALSE)</f>
        <v>4</v>
      </c>
      <c r="S129" s="26">
        <f>IFERROR(MAX(tblRiskRegister322[[#This Row],[Impact to Mission]:[Impact to Obligations]])*tblRiskRegister322[[#This Row],[Expectancy Score]],"")</f>
        <v>12</v>
      </c>
      <c r="T129" s="29">
        <f>tblRiskRegister322[[#This Row],[Risk Score]]</f>
        <v>12</v>
      </c>
      <c r="U129" s="17"/>
      <c r="V129" s="112">
        <v>4.7</v>
      </c>
      <c r="W129" s="44" t="s">
        <v>94</v>
      </c>
      <c r="X129" s="44" t="s">
        <v>443</v>
      </c>
      <c r="Y129" s="30"/>
      <c r="Z129" s="16"/>
      <c r="AA129" s="25" t="str">
        <f>IFERROR(VLOOKUP(10*tblRiskRegister322[[#This Row],[Risk Treatment Safeguard Maturity Score]]+tblRiskRegister322[[#This Row],[VCDB Index]],tblHITIndexWeightTable[],4,FALSE),"")</f>
        <v/>
      </c>
      <c r="AB129" s="136"/>
      <c r="AC129" s="136"/>
      <c r="AD129" s="136"/>
      <c r="AE129" s="136"/>
      <c r="AF129" s="25" t="str">
        <f>IFERROR(MAX(tblRiskRegister322[[#This Row],[Risk Treatment Safeguard Impact to Mission]:[Risk Treatment Safeguard Impact to Obligations]])*tblRiskRegister322[[#This Row],[Risk Treatment
Safeguard Expectancy Score]],"")</f>
        <v/>
      </c>
      <c r="AG129" s="27" t="str">
        <f>IF(tblRiskRegister322[[#This Row],[Risk Score]]&gt;AcceptableRisk1,IF(tblRiskRegister322[[#This Row],[Risk Treatment Safeguard Risk Score]]&lt;AcceptableRisk1, IF(tblRiskRegister322[[#This Row],[Risk Treatment Safeguard Risk Score]]&lt;=tblRiskRegister322[[#This Row],[Risk Score]],"Yes","No"),"No"),"Yes")</f>
        <v>No</v>
      </c>
      <c r="AH129" s="18"/>
      <c r="AI129" s="18"/>
      <c r="AJ129" s="19"/>
    </row>
    <row r="130" spans="2:36" ht="63.75" x14ac:dyDescent="0.2">
      <c r="B130" s="44" t="s">
        <v>134</v>
      </c>
      <c r="C130" s="44"/>
      <c r="D130" s="13">
        <v>5.0999999999999996</v>
      </c>
      <c r="E130" s="14" t="s">
        <v>95</v>
      </c>
      <c r="F130" s="17" t="s">
        <v>785</v>
      </c>
      <c r="G130" s="17" t="s">
        <v>785</v>
      </c>
      <c r="H130" s="17" t="s">
        <v>926</v>
      </c>
      <c r="I130" s="14"/>
      <c r="J130" s="14"/>
      <c r="K130" s="14"/>
      <c r="L130" s="137">
        <v>5</v>
      </c>
      <c r="M130" s="26">
        <f>IFERROR(VLOOKUP(tblRiskRegister322[[#This Row],[Asset Class]],tblVCDBIndex[],4,FALSE),"")</f>
        <v>3</v>
      </c>
      <c r="N130" s="26">
        <f>IFERROR(VLOOKUP(10*tblRiskRegister322[[#This Row],[Safeguard Maturity Score]]+tblRiskRegister322[[#This Row],[VCDB Index]],tblHITIndexWeightTable[],4,FALSE),"")</f>
        <v>1</v>
      </c>
      <c r="O130" s="26">
        <f>VLOOKUP(tblRiskRegister322[[#This Row],[Asset Class]],tblInherentImpacts3046[],2,FALSE)</f>
        <v>3</v>
      </c>
      <c r="P130" s="26">
        <f>VLOOKUP(tblRiskRegister322[[#This Row],[Asset Class]],tblInherentImpacts3046[],3,FALSE)</f>
        <v>3</v>
      </c>
      <c r="Q130" s="26">
        <f>VLOOKUP(tblRiskRegister322[[#This Row],[Asset Class]],tblInherentImpacts3046[],4,FALSE)</f>
        <v>4</v>
      </c>
      <c r="R130" s="26">
        <f>VLOOKUP(tblRiskRegister322[[#This Row],[Asset Class]],tblInherentImpacts3046[],5,FALSE)</f>
        <v>4</v>
      </c>
      <c r="S130" s="26">
        <f>IFERROR(MAX(tblRiskRegister322[[#This Row],[Impact to Mission]:[Impact to Obligations]])*tblRiskRegister322[[#This Row],[Expectancy Score]],"")</f>
        <v>4</v>
      </c>
      <c r="T130" s="29">
        <f>tblRiskRegister322[[#This Row],[Risk Score]]</f>
        <v>4</v>
      </c>
      <c r="U130" s="17"/>
      <c r="V130" s="112">
        <v>5.0999999999999996</v>
      </c>
      <c r="W130" s="44" t="s">
        <v>95</v>
      </c>
      <c r="X130" s="44" t="s">
        <v>448</v>
      </c>
      <c r="Y130" s="30"/>
      <c r="Z130" s="16"/>
      <c r="AA130" s="25" t="str">
        <f>IFERROR(VLOOKUP(10*tblRiskRegister322[[#This Row],[Risk Treatment Safeguard Maturity Score]]+tblRiskRegister322[[#This Row],[VCDB Index]],tblHITIndexWeightTable[],4,FALSE),"")</f>
        <v/>
      </c>
      <c r="AB130" s="136"/>
      <c r="AC130" s="136"/>
      <c r="AD130" s="136"/>
      <c r="AE130" s="136"/>
      <c r="AF130" s="25" t="str">
        <f>IFERROR(MAX(tblRiskRegister322[[#This Row],[Risk Treatment Safeguard Impact to Mission]:[Risk Treatment Safeguard Impact to Obligations]])*tblRiskRegister322[[#This Row],[Risk Treatment
Safeguard Expectancy Score]],"")</f>
        <v/>
      </c>
      <c r="AG130" s="27" t="str">
        <f>IF(tblRiskRegister322[[#This Row],[Risk Score]]&gt;AcceptableRisk1,IF(tblRiskRegister322[[#This Row],[Risk Treatment Safeguard Risk Score]]&lt;AcceptableRisk1, IF(tblRiskRegister322[[#This Row],[Risk Treatment Safeguard Risk Score]]&lt;=tblRiskRegister322[[#This Row],[Risk Score]],"Yes","No"),"No"),"Yes")</f>
        <v>Yes</v>
      </c>
      <c r="AH130" s="18"/>
      <c r="AI130" s="18"/>
      <c r="AJ130" s="19"/>
    </row>
    <row r="131" spans="2:36" ht="38.25" x14ac:dyDescent="0.2">
      <c r="B131" s="44" t="s">
        <v>134</v>
      </c>
      <c r="C131" s="44"/>
      <c r="D131" s="13">
        <v>5.2</v>
      </c>
      <c r="E131" s="14" t="s">
        <v>22</v>
      </c>
      <c r="F131" s="17" t="s">
        <v>785</v>
      </c>
      <c r="G131" s="17" t="s">
        <v>785</v>
      </c>
      <c r="H131" s="17" t="s">
        <v>928</v>
      </c>
      <c r="I131" s="14"/>
      <c r="J131" s="14"/>
      <c r="K131" s="14"/>
      <c r="L131" s="137">
        <v>1</v>
      </c>
      <c r="M131" s="26">
        <f>IFERROR(VLOOKUP(tblRiskRegister322[[#This Row],[Asset Class]],tblVCDBIndex[],4,FALSE),"")</f>
        <v>3</v>
      </c>
      <c r="N131" s="26">
        <f>IFERROR(VLOOKUP(10*tblRiskRegister322[[#This Row],[Safeguard Maturity Score]]+tblRiskRegister322[[#This Row],[VCDB Index]],tblHITIndexWeightTable[],4,FALSE),"")</f>
        <v>5</v>
      </c>
      <c r="O131" s="26">
        <f>VLOOKUP(tblRiskRegister322[[#This Row],[Asset Class]],tblInherentImpacts3046[],2,FALSE)</f>
        <v>3</v>
      </c>
      <c r="P131" s="26">
        <f>VLOOKUP(tblRiskRegister322[[#This Row],[Asset Class]],tblInherentImpacts3046[],3,FALSE)</f>
        <v>3</v>
      </c>
      <c r="Q131" s="26">
        <f>VLOOKUP(tblRiskRegister322[[#This Row],[Asset Class]],tblInherentImpacts3046[],4,FALSE)</f>
        <v>4</v>
      </c>
      <c r="R131" s="26">
        <f>VLOOKUP(tblRiskRegister322[[#This Row],[Asset Class]],tblInherentImpacts3046[],5,FALSE)</f>
        <v>4</v>
      </c>
      <c r="S131" s="26">
        <f>IFERROR(MAX(tblRiskRegister322[[#This Row],[Impact to Mission]:[Impact to Obligations]])*tblRiskRegister322[[#This Row],[Expectancy Score]],"")</f>
        <v>20</v>
      </c>
      <c r="T131" s="29">
        <f>tblRiskRegister322[[#This Row],[Risk Score]]</f>
        <v>20</v>
      </c>
      <c r="U131" s="17"/>
      <c r="V131" s="112">
        <v>5.2</v>
      </c>
      <c r="W131" s="44" t="s">
        <v>22</v>
      </c>
      <c r="X131" s="44" t="s">
        <v>449</v>
      </c>
      <c r="Y131" s="30"/>
      <c r="Z131" s="16"/>
      <c r="AA131" s="25" t="str">
        <f>IFERROR(VLOOKUP(10*tblRiskRegister322[[#This Row],[Risk Treatment Safeguard Maturity Score]]+tblRiskRegister322[[#This Row],[VCDB Index]],tblHITIndexWeightTable[],4,FALSE),"")</f>
        <v/>
      </c>
      <c r="AB131" s="136"/>
      <c r="AC131" s="136"/>
      <c r="AD131" s="136"/>
      <c r="AE131" s="136"/>
      <c r="AF131" s="25" t="str">
        <f>IFERROR(MAX(tblRiskRegister322[[#This Row],[Risk Treatment Safeguard Impact to Mission]:[Risk Treatment Safeguard Impact to Obligations]])*tblRiskRegister322[[#This Row],[Risk Treatment
Safeguard Expectancy Score]],"")</f>
        <v/>
      </c>
      <c r="AG131" s="27" t="str">
        <f>IF(tblRiskRegister322[[#This Row],[Risk Score]]&gt;AcceptableRisk1,IF(tblRiskRegister322[[#This Row],[Risk Treatment Safeguard Risk Score]]&lt;AcceptableRisk1, IF(tblRiskRegister322[[#This Row],[Risk Treatment Safeguard Risk Score]]&lt;=tblRiskRegister322[[#This Row],[Risk Score]],"Yes","No"),"No"),"Yes")</f>
        <v>No</v>
      </c>
      <c r="AH131" s="18"/>
      <c r="AI131" s="18"/>
      <c r="AJ131" s="19"/>
    </row>
    <row r="132" spans="2:36" ht="25.5" x14ac:dyDescent="0.2">
      <c r="B132" s="44" t="s">
        <v>134</v>
      </c>
      <c r="C132" s="44"/>
      <c r="D132" s="13">
        <v>5.3</v>
      </c>
      <c r="E132" s="14" t="s">
        <v>33</v>
      </c>
      <c r="F132" s="17" t="s">
        <v>785</v>
      </c>
      <c r="G132" s="17" t="s">
        <v>785</v>
      </c>
      <c r="H132" s="17" t="s">
        <v>927</v>
      </c>
      <c r="I132" s="14"/>
      <c r="J132" s="14"/>
      <c r="K132" s="14"/>
      <c r="L132" s="137">
        <v>2</v>
      </c>
      <c r="M132" s="26">
        <f>IFERROR(VLOOKUP(tblRiskRegister322[[#This Row],[Asset Class]],tblVCDBIndex[],4,FALSE),"")</f>
        <v>3</v>
      </c>
      <c r="N132" s="26">
        <f>IFERROR(VLOOKUP(10*tblRiskRegister322[[#This Row],[Safeguard Maturity Score]]+tblRiskRegister322[[#This Row],[VCDB Index]],tblHITIndexWeightTable[],4,FALSE),"")</f>
        <v>4</v>
      </c>
      <c r="O132" s="26">
        <f>VLOOKUP(tblRiskRegister322[[#This Row],[Asset Class]],tblInherentImpacts3046[],2,FALSE)</f>
        <v>3</v>
      </c>
      <c r="P132" s="26">
        <f>VLOOKUP(tblRiskRegister322[[#This Row],[Asset Class]],tblInherentImpacts3046[],3,FALSE)</f>
        <v>3</v>
      </c>
      <c r="Q132" s="26">
        <f>VLOOKUP(tblRiskRegister322[[#This Row],[Asset Class]],tblInherentImpacts3046[],4,FALSE)</f>
        <v>4</v>
      </c>
      <c r="R132" s="26">
        <f>VLOOKUP(tblRiskRegister322[[#This Row],[Asset Class]],tblInherentImpacts3046[],5,FALSE)</f>
        <v>4</v>
      </c>
      <c r="S132" s="26">
        <f>IFERROR(MAX(tblRiskRegister322[[#This Row],[Impact to Mission]:[Impact to Obligations]])*tblRiskRegister322[[#This Row],[Expectancy Score]],"")</f>
        <v>16</v>
      </c>
      <c r="T132" s="29">
        <f>tblRiskRegister322[[#This Row],[Risk Score]]</f>
        <v>16</v>
      </c>
      <c r="U132" s="17"/>
      <c r="V132" s="112">
        <v>5.3</v>
      </c>
      <c r="W132" s="44" t="s">
        <v>33</v>
      </c>
      <c r="X132" s="44" t="s">
        <v>450</v>
      </c>
      <c r="Y132" s="30"/>
      <c r="Z132" s="16"/>
      <c r="AA132" s="25" t="str">
        <f>IFERROR(VLOOKUP(10*tblRiskRegister322[[#This Row],[Risk Treatment Safeguard Maturity Score]]+tblRiskRegister322[[#This Row],[VCDB Index]],tblHITIndexWeightTable[],4,FALSE),"")</f>
        <v/>
      </c>
      <c r="AB132" s="136"/>
      <c r="AC132" s="136"/>
      <c r="AD132" s="136"/>
      <c r="AE132" s="136"/>
      <c r="AF132" s="25" t="str">
        <f>IFERROR(MAX(tblRiskRegister322[[#This Row],[Risk Treatment Safeguard Impact to Mission]:[Risk Treatment Safeguard Impact to Obligations]])*tblRiskRegister322[[#This Row],[Risk Treatment
Safeguard Expectancy Score]],"")</f>
        <v/>
      </c>
      <c r="AG132" s="27" t="str">
        <f>IF(tblRiskRegister322[[#This Row],[Risk Score]]&gt;AcceptableRisk1,IF(tblRiskRegister322[[#This Row],[Risk Treatment Safeguard Risk Score]]&lt;AcceptableRisk1, IF(tblRiskRegister322[[#This Row],[Risk Treatment Safeguard Risk Score]]&lt;=tblRiskRegister322[[#This Row],[Risk Score]],"Yes","No"),"No"),"Yes")</f>
        <v>No</v>
      </c>
      <c r="AH132" s="18"/>
      <c r="AI132" s="18"/>
      <c r="AJ132" s="19"/>
    </row>
    <row r="133" spans="2:36" ht="38.25" x14ac:dyDescent="0.2">
      <c r="B133" s="44" t="s">
        <v>134</v>
      </c>
      <c r="C133" s="44"/>
      <c r="D133" s="13">
        <v>5.4</v>
      </c>
      <c r="E133" s="14" t="s">
        <v>96</v>
      </c>
      <c r="F133" s="17" t="s">
        <v>785</v>
      </c>
      <c r="G133" s="17" t="s">
        <v>785</v>
      </c>
      <c r="H133" s="17" t="s">
        <v>928</v>
      </c>
      <c r="I133" s="14"/>
      <c r="J133" s="14"/>
      <c r="K133" s="14"/>
      <c r="L133" s="137">
        <v>3</v>
      </c>
      <c r="M133" s="26">
        <f>IFERROR(VLOOKUP(tblRiskRegister322[[#This Row],[Asset Class]],tblVCDBIndex[],4,FALSE),"")</f>
        <v>3</v>
      </c>
      <c r="N133" s="26">
        <f>IFERROR(VLOOKUP(10*tblRiskRegister322[[#This Row],[Safeguard Maturity Score]]+tblRiskRegister322[[#This Row],[VCDB Index]],tblHITIndexWeightTable[],4,FALSE),"")</f>
        <v>3</v>
      </c>
      <c r="O133" s="26">
        <f>VLOOKUP(tblRiskRegister322[[#This Row],[Asset Class]],tblInherentImpacts3046[],2,FALSE)</f>
        <v>3</v>
      </c>
      <c r="P133" s="26">
        <f>VLOOKUP(tblRiskRegister322[[#This Row],[Asset Class]],tblInherentImpacts3046[],3,FALSE)</f>
        <v>3</v>
      </c>
      <c r="Q133" s="26">
        <f>VLOOKUP(tblRiskRegister322[[#This Row],[Asset Class]],tblInherentImpacts3046[],4,FALSE)</f>
        <v>4</v>
      </c>
      <c r="R133" s="26">
        <f>VLOOKUP(tblRiskRegister322[[#This Row],[Asset Class]],tblInherentImpacts3046[],5,FALSE)</f>
        <v>4</v>
      </c>
      <c r="S133" s="26">
        <f>IFERROR(MAX(tblRiskRegister322[[#This Row],[Impact to Mission]:[Impact to Obligations]])*tblRiskRegister322[[#This Row],[Expectancy Score]],"")</f>
        <v>12</v>
      </c>
      <c r="T133" s="29">
        <f>tblRiskRegister322[[#This Row],[Risk Score]]</f>
        <v>12</v>
      </c>
      <c r="U133" s="17"/>
      <c r="V133" s="112">
        <v>5.4</v>
      </c>
      <c r="W133" s="44" t="s">
        <v>96</v>
      </c>
      <c r="X133" s="44" t="s">
        <v>451</v>
      </c>
      <c r="Y133" s="30"/>
      <c r="Z133" s="16"/>
      <c r="AA133" s="25" t="str">
        <f>IFERROR(VLOOKUP(10*tblRiskRegister322[[#This Row],[Risk Treatment Safeguard Maturity Score]]+tblRiskRegister322[[#This Row],[VCDB Index]],tblHITIndexWeightTable[],4,FALSE),"")</f>
        <v/>
      </c>
      <c r="AB133" s="136"/>
      <c r="AC133" s="136"/>
      <c r="AD133" s="136"/>
      <c r="AE133" s="136"/>
      <c r="AF133" s="25" t="str">
        <f>IFERROR(MAX(tblRiskRegister322[[#This Row],[Risk Treatment Safeguard Impact to Mission]:[Risk Treatment Safeguard Impact to Obligations]])*tblRiskRegister322[[#This Row],[Risk Treatment
Safeguard Expectancy Score]],"")</f>
        <v/>
      </c>
      <c r="AG133" s="27" t="str">
        <f>IF(tblRiskRegister322[[#This Row],[Risk Score]]&gt;AcceptableRisk1,IF(tblRiskRegister322[[#This Row],[Risk Treatment Safeguard Risk Score]]&lt;AcceptableRisk1, IF(tblRiskRegister322[[#This Row],[Risk Treatment Safeguard Risk Score]]&lt;=tblRiskRegister322[[#This Row],[Risk Score]],"Yes","No"),"No"),"Yes")</f>
        <v>No</v>
      </c>
      <c r="AH133" s="18"/>
      <c r="AI133" s="18"/>
      <c r="AJ133" s="19"/>
    </row>
    <row r="134" spans="2:36" ht="51" x14ac:dyDescent="0.2">
      <c r="B134" s="44" t="s">
        <v>134</v>
      </c>
      <c r="C134" s="44"/>
      <c r="D134" s="13">
        <v>5.5</v>
      </c>
      <c r="E134" s="14" t="s">
        <v>295</v>
      </c>
      <c r="F134" s="17"/>
      <c r="G134" s="17" t="s">
        <v>785</v>
      </c>
      <c r="H134" s="17" t="s">
        <v>926</v>
      </c>
      <c r="I134" s="14"/>
      <c r="J134" s="14"/>
      <c r="K134" s="14"/>
      <c r="L134" s="137">
        <v>4</v>
      </c>
      <c r="M134" s="26">
        <f>IFERROR(VLOOKUP(tblRiskRegister322[[#This Row],[Asset Class]],tblVCDBIndex[],4,FALSE),"")</f>
        <v>3</v>
      </c>
      <c r="N134" s="26">
        <f>IFERROR(VLOOKUP(10*tblRiskRegister322[[#This Row],[Safeguard Maturity Score]]+tblRiskRegister322[[#This Row],[VCDB Index]],tblHITIndexWeightTable[],4,FALSE),"")</f>
        <v>2</v>
      </c>
      <c r="O134" s="26">
        <f>VLOOKUP(tblRiskRegister322[[#This Row],[Asset Class]],tblInherentImpacts3046[],2,FALSE)</f>
        <v>3</v>
      </c>
      <c r="P134" s="26">
        <f>VLOOKUP(tblRiskRegister322[[#This Row],[Asset Class]],tblInherentImpacts3046[],3,FALSE)</f>
        <v>3</v>
      </c>
      <c r="Q134" s="26">
        <f>VLOOKUP(tblRiskRegister322[[#This Row],[Asset Class]],tblInherentImpacts3046[],4,FALSE)</f>
        <v>4</v>
      </c>
      <c r="R134" s="26">
        <f>VLOOKUP(tblRiskRegister322[[#This Row],[Asset Class]],tblInherentImpacts3046[],5,FALSE)</f>
        <v>4</v>
      </c>
      <c r="S134" s="26">
        <f>IFERROR(MAX(tblRiskRegister322[[#This Row],[Impact to Mission]:[Impact to Obligations]])*tblRiskRegister322[[#This Row],[Expectancy Score]],"")</f>
        <v>8</v>
      </c>
      <c r="T134" s="29">
        <f>tblRiskRegister322[[#This Row],[Risk Score]]</f>
        <v>8</v>
      </c>
      <c r="U134" s="17"/>
      <c r="V134" s="112">
        <v>5.5</v>
      </c>
      <c r="W134" s="44" t="s">
        <v>295</v>
      </c>
      <c r="X134" s="44" t="s">
        <v>452</v>
      </c>
      <c r="Y134" s="30"/>
      <c r="Z134" s="16"/>
      <c r="AA134" s="25" t="str">
        <f>IFERROR(VLOOKUP(10*tblRiskRegister322[[#This Row],[Risk Treatment Safeguard Maturity Score]]+tblRiskRegister322[[#This Row],[VCDB Index]],tblHITIndexWeightTable[],4,FALSE),"")</f>
        <v/>
      </c>
      <c r="AB134" s="136"/>
      <c r="AC134" s="136"/>
      <c r="AD134" s="136"/>
      <c r="AE134" s="136"/>
      <c r="AF134" s="25" t="str">
        <f>IFERROR(MAX(tblRiskRegister322[[#This Row],[Risk Treatment Safeguard Impact to Mission]:[Risk Treatment Safeguard Impact to Obligations]])*tblRiskRegister322[[#This Row],[Risk Treatment
Safeguard Expectancy Score]],"")</f>
        <v/>
      </c>
      <c r="AG134" s="27" t="str">
        <f>IF(tblRiskRegister322[[#This Row],[Risk Score]]&gt;AcceptableRisk1,IF(tblRiskRegister322[[#This Row],[Risk Treatment Safeguard Risk Score]]&lt;AcceptableRisk1, IF(tblRiskRegister322[[#This Row],[Risk Treatment Safeguard Risk Score]]&lt;=tblRiskRegister322[[#This Row],[Risk Score]],"Yes","No"),"No"),"Yes")</f>
        <v>Yes</v>
      </c>
      <c r="AH134" s="18"/>
      <c r="AI134" s="18"/>
      <c r="AJ134" s="19"/>
    </row>
    <row r="135" spans="2:36" x14ac:dyDescent="0.2">
      <c r="B135" s="44" t="s">
        <v>134</v>
      </c>
      <c r="C135" s="44"/>
      <c r="D135" s="13">
        <v>5.6</v>
      </c>
      <c r="E135" s="14" t="s">
        <v>296</v>
      </c>
      <c r="F135" s="17"/>
      <c r="G135" s="17" t="s">
        <v>785</v>
      </c>
      <c r="H135" s="17" t="s">
        <v>928</v>
      </c>
      <c r="I135" s="14"/>
      <c r="J135" s="14"/>
      <c r="K135" s="14"/>
      <c r="L135" s="137">
        <v>5</v>
      </c>
      <c r="M135" s="26">
        <f>IFERROR(VLOOKUP(tblRiskRegister322[[#This Row],[Asset Class]],tblVCDBIndex[],4,FALSE),"")</f>
        <v>3</v>
      </c>
      <c r="N135" s="26">
        <f>IFERROR(VLOOKUP(10*tblRiskRegister322[[#This Row],[Safeguard Maturity Score]]+tblRiskRegister322[[#This Row],[VCDB Index]],tblHITIndexWeightTable[],4,FALSE),"")</f>
        <v>1</v>
      </c>
      <c r="O135" s="26">
        <f>VLOOKUP(tblRiskRegister322[[#This Row],[Asset Class]],tblInherentImpacts3046[],2,FALSE)</f>
        <v>3</v>
      </c>
      <c r="P135" s="26">
        <f>VLOOKUP(tblRiskRegister322[[#This Row],[Asset Class]],tblInherentImpacts3046[],3,FALSE)</f>
        <v>3</v>
      </c>
      <c r="Q135" s="26">
        <f>VLOOKUP(tblRiskRegister322[[#This Row],[Asset Class]],tblInherentImpacts3046[],4,FALSE)</f>
        <v>4</v>
      </c>
      <c r="R135" s="26">
        <f>VLOOKUP(tblRiskRegister322[[#This Row],[Asset Class]],tblInherentImpacts3046[],5,FALSE)</f>
        <v>4</v>
      </c>
      <c r="S135" s="26">
        <f>IFERROR(MAX(tblRiskRegister322[[#This Row],[Impact to Mission]:[Impact to Obligations]])*tblRiskRegister322[[#This Row],[Expectancy Score]],"")</f>
        <v>4</v>
      </c>
      <c r="T135" s="29">
        <f>tblRiskRegister322[[#This Row],[Risk Score]]</f>
        <v>4</v>
      </c>
      <c r="U135" s="17"/>
      <c r="V135" s="112">
        <v>5.6</v>
      </c>
      <c r="W135" s="44" t="s">
        <v>296</v>
      </c>
      <c r="X135" s="44" t="s">
        <v>453</v>
      </c>
      <c r="Y135" s="30"/>
      <c r="Z135" s="16"/>
      <c r="AA135" s="25" t="str">
        <f>IFERROR(VLOOKUP(10*tblRiskRegister322[[#This Row],[Risk Treatment Safeguard Maturity Score]]+tblRiskRegister322[[#This Row],[VCDB Index]],tblHITIndexWeightTable[],4,FALSE),"")</f>
        <v/>
      </c>
      <c r="AB135" s="136"/>
      <c r="AC135" s="136"/>
      <c r="AD135" s="136"/>
      <c r="AE135" s="136"/>
      <c r="AF135" s="25" t="str">
        <f>IFERROR(MAX(tblRiskRegister322[[#This Row],[Risk Treatment Safeguard Impact to Mission]:[Risk Treatment Safeguard Impact to Obligations]])*tblRiskRegister322[[#This Row],[Risk Treatment
Safeguard Expectancy Score]],"")</f>
        <v/>
      </c>
      <c r="AG135" s="27" t="str">
        <f>IF(tblRiskRegister322[[#This Row],[Risk Score]]&gt;AcceptableRisk1,IF(tblRiskRegister322[[#This Row],[Risk Treatment Safeguard Risk Score]]&lt;AcceptableRisk1, IF(tblRiskRegister322[[#This Row],[Risk Treatment Safeguard Risk Score]]&lt;=tblRiskRegister322[[#This Row],[Risk Score]],"Yes","No"),"No"),"Yes")</f>
        <v>Yes</v>
      </c>
      <c r="AH135" s="18"/>
      <c r="AI135" s="18"/>
      <c r="AJ135" s="19"/>
    </row>
    <row r="136" spans="2:36" ht="25.5" x14ac:dyDescent="0.2">
      <c r="B136" s="44" t="s">
        <v>134</v>
      </c>
      <c r="C136" s="44"/>
      <c r="D136" s="13">
        <v>6.1</v>
      </c>
      <c r="E136" s="14" t="s">
        <v>97</v>
      </c>
      <c r="F136" s="17" t="s">
        <v>785</v>
      </c>
      <c r="G136" s="17" t="s">
        <v>785</v>
      </c>
      <c r="H136" s="17" t="s">
        <v>928</v>
      </c>
      <c r="I136" s="14"/>
      <c r="J136" s="14"/>
      <c r="K136" s="14"/>
      <c r="L136" s="137">
        <v>2</v>
      </c>
      <c r="M136" s="26">
        <f>IFERROR(VLOOKUP(tblRiskRegister322[[#This Row],[Asset Class]],tblVCDBIndex[],4,FALSE),"")</f>
        <v>3</v>
      </c>
      <c r="N136" s="26">
        <f>IFERROR(VLOOKUP(10*tblRiskRegister322[[#This Row],[Safeguard Maturity Score]]+tblRiskRegister322[[#This Row],[VCDB Index]],tblHITIndexWeightTable[],4,FALSE),"")</f>
        <v>4</v>
      </c>
      <c r="O136" s="26">
        <f>VLOOKUP(tblRiskRegister322[[#This Row],[Asset Class]],tblInherentImpacts3046[],2,FALSE)</f>
        <v>3</v>
      </c>
      <c r="P136" s="26">
        <f>VLOOKUP(tblRiskRegister322[[#This Row],[Asset Class]],tblInherentImpacts3046[],3,FALSE)</f>
        <v>3</v>
      </c>
      <c r="Q136" s="26">
        <f>VLOOKUP(tblRiskRegister322[[#This Row],[Asset Class]],tblInherentImpacts3046[],4,FALSE)</f>
        <v>4</v>
      </c>
      <c r="R136" s="26">
        <f>VLOOKUP(tblRiskRegister322[[#This Row],[Asset Class]],tblInherentImpacts3046[],5,FALSE)</f>
        <v>4</v>
      </c>
      <c r="S136" s="26">
        <f>IFERROR(MAX(tblRiskRegister322[[#This Row],[Impact to Mission]:[Impact to Obligations]])*tblRiskRegister322[[#This Row],[Expectancy Score]],"")</f>
        <v>16</v>
      </c>
      <c r="T136" s="29">
        <f>tblRiskRegister322[[#This Row],[Risk Score]]</f>
        <v>16</v>
      </c>
      <c r="U136" s="17"/>
      <c r="V136" s="112">
        <v>6.1</v>
      </c>
      <c r="W136" s="44" t="s">
        <v>97</v>
      </c>
      <c r="X136" s="44" t="s">
        <v>454</v>
      </c>
      <c r="Y136" s="30"/>
      <c r="Z136" s="16"/>
      <c r="AA136" s="25" t="str">
        <f>IFERROR(VLOOKUP(10*tblRiskRegister322[[#This Row],[Risk Treatment Safeguard Maturity Score]]+tblRiskRegister322[[#This Row],[VCDB Index]],tblHITIndexWeightTable[],4,FALSE),"")</f>
        <v/>
      </c>
      <c r="AB136" s="136"/>
      <c r="AC136" s="136"/>
      <c r="AD136" s="136"/>
      <c r="AE136" s="136"/>
      <c r="AF136" s="25" t="str">
        <f>IFERROR(MAX(tblRiskRegister322[[#This Row],[Risk Treatment Safeguard Impact to Mission]:[Risk Treatment Safeguard Impact to Obligations]])*tblRiskRegister322[[#This Row],[Risk Treatment
Safeguard Expectancy Score]],"")</f>
        <v/>
      </c>
      <c r="AG136" s="27" t="str">
        <f>IF(tblRiskRegister322[[#This Row],[Risk Score]]&gt;AcceptableRisk1,IF(tblRiskRegister322[[#This Row],[Risk Treatment Safeguard Risk Score]]&lt;AcceptableRisk1, IF(tblRiskRegister322[[#This Row],[Risk Treatment Safeguard Risk Score]]&lt;=tblRiskRegister322[[#This Row],[Risk Score]],"Yes","No"),"No"),"Yes")</f>
        <v>No</v>
      </c>
      <c r="AH136" s="18"/>
      <c r="AI136" s="18"/>
      <c r="AJ136" s="19"/>
    </row>
    <row r="137" spans="2:36" ht="51" x14ac:dyDescent="0.2">
      <c r="B137" s="44" t="s">
        <v>134</v>
      </c>
      <c r="C137" s="44"/>
      <c r="D137" s="13">
        <v>6.2</v>
      </c>
      <c r="E137" s="14" t="s">
        <v>98</v>
      </c>
      <c r="F137" s="17" t="s">
        <v>785</v>
      </c>
      <c r="G137" s="17" t="s">
        <v>785</v>
      </c>
      <c r="H137" s="17" t="s">
        <v>928</v>
      </c>
      <c r="I137" s="14"/>
      <c r="J137" s="14"/>
      <c r="K137" s="14"/>
      <c r="L137" s="137">
        <v>1</v>
      </c>
      <c r="M137" s="26">
        <f>IFERROR(VLOOKUP(tblRiskRegister322[[#This Row],[Asset Class]],tblVCDBIndex[],4,FALSE),"")</f>
        <v>3</v>
      </c>
      <c r="N137" s="26">
        <f>IFERROR(VLOOKUP(10*tblRiskRegister322[[#This Row],[Safeguard Maturity Score]]+tblRiskRegister322[[#This Row],[VCDB Index]],tblHITIndexWeightTable[],4,FALSE),"")</f>
        <v>5</v>
      </c>
      <c r="O137" s="26">
        <f>VLOOKUP(tblRiskRegister322[[#This Row],[Asset Class]],tblInherentImpacts3046[],2,FALSE)</f>
        <v>3</v>
      </c>
      <c r="P137" s="26">
        <f>VLOOKUP(tblRiskRegister322[[#This Row],[Asset Class]],tblInherentImpacts3046[],3,FALSE)</f>
        <v>3</v>
      </c>
      <c r="Q137" s="26">
        <f>VLOOKUP(tblRiskRegister322[[#This Row],[Asset Class]],tblInherentImpacts3046[],4,FALSE)</f>
        <v>4</v>
      </c>
      <c r="R137" s="26">
        <f>VLOOKUP(tblRiskRegister322[[#This Row],[Asset Class]],tblInherentImpacts3046[],5,FALSE)</f>
        <v>4</v>
      </c>
      <c r="S137" s="26">
        <f>IFERROR(MAX(tblRiskRegister322[[#This Row],[Impact to Mission]:[Impact to Obligations]])*tblRiskRegister322[[#This Row],[Expectancy Score]],"")</f>
        <v>20</v>
      </c>
      <c r="T137" s="29">
        <f>tblRiskRegister322[[#This Row],[Risk Score]]</f>
        <v>20</v>
      </c>
      <c r="U137" s="17"/>
      <c r="V137" s="112">
        <v>6.2</v>
      </c>
      <c r="W137" s="44" t="s">
        <v>98</v>
      </c>
      <c r="X137" s="44" t="s">
        <v>455</v>
      </c>
      <c r="Y137" s="30"/>
      <c r="Z137" s="16"/>
      <c r="AA137" s="25" t="str">
        <f>IFERROR(VLOOKUP(10*tblRiskRegister322[[#This Row],[Risk Treatment Safeguard Maturity Score]]+tblRiskRegister322[[#This Row],[VCDB Index]],tblHITIndexWeightTable[],4,FALSE),"")</f>
        <v/>
      </c>
      <c r="AB137" s="136"/>
      <c r="AC137" s="136"/>
      <c r="AD137" s="136"/>
      <c r="AE137" s="136"/>
      <c r="AF137" s="25" t="str">
        <f>IFERROR(MAX(tblRiskRegister322[[#This Row],[Risk Treatment Safeguard Impact to Mission]:[Risk Treatment Safeguard Impact to Obligations]])*tblRiskRegister322[[#This Row],[Risk Treatment
Safeguard Expectancy Score]],"")</f>
        <v/>
      </c>
      <c r="AG137" s="27" t="str">
        <f>IF(tblRiskRegister322[[#This Row],[Risk Score]]&gt;AcceptableRisk1,IF(tblRiskRegister322[[#This Row],[Risk Treatment Safeguard Risk Score]]&lt;AcceptableRisk1, IF(tblRiskRegister322[[#This Row],[Risk Treatment Safeguard Risk Score]]&lt;=tblRiskRegister322[[#This Row],[Risk Score]],"Yes","No"),"No"),"Yes")</f>
        <v>No</v>
      </c>
      <c r="AH137" s="18"/>
      <c r="AI137" s="18"/>
      <c r="AJ137" s="19"/>
    </row>
    <row r="138" spans="2:36" ht="38.25" x14ac:dyDescent="0.2">
      <c r="B138" s="44" t="s">
        <v>134</v>
      </c>
      <c r="C138" s="44"/>
      <c r="D138" s="13">
        <v>6.3</v>
      </c>
      <c r="E138" s="14" t="s">
        <v>99</v>
      </c>
      <c r="F138" s="17" t="s">
        <v>785</v>
      </c>
      <c r="G138" s="17" t="s">
        <v>785</v>
      </c>
      <c r="H138" s="17" t="s">
        <v>928</v>
      </c>
      <c r="I138" s="14"/>
      <c r="J138" s="14"/>
      <c r="K138" s="14"/>
      <c r="L138" s="137">
        <v>1</v>
      </c>
      <c r="M138" s="26">
        <f>IFERROR(VLOOKUP(tblRiskRegister322[[#This Row],[Asset Class]],tblVCDBIndex[],4,FALSE),"")</f>
        <v>3</v>
      </c>
      <c r="N138" s="26">
        <f>IFERROR(VLOOKUP(10*tblRiskRegister322[[#This Row],[Safeguard Maturity Score]]+tblRiskRegister322[[#This Row],[VCDB Index]],tblHITIndexWeightTable[],4,FALSE),"")</f>
        <v>5</v>
      </c>
      <c r="O138" s="26">
        <f>VLOOKUP(tblRiskRegister322[[#This Row],[Asset Class]],tblInherentImpacts3046[],2,FALSE)</f>
        <v>3</v>
      </c>
      <c r="P138" s="26">
        <f>VLOOKUP(tblRiskRegister322[[#This Row],[Asset Class]],tblInherentImpacts3046[],3,FALSE)</f>
        <v>3</v>
      </c>
      <c r="Q138" s="26">
        <f>VLOOKUP(tblRiskRegister322[[#This Row],[Asset Class]],tblInherentImpacts3046[],4,FALSE)</f>
        <v>4</v>
      </c>
      <c r="R138" s="26">
        <f>VLOOKUP(tblRiskRegister322[[#This Row],[Asset Class]],tblInherentImpacts3046[],5,FALSE)</f>
        <v>4</v>
      </c>
      <c r="S138" s="26">
        <f>IFERROR(MAX(tblRiskRegister322[[#This Row],[Impact to Mission]:[Impact to Obligations]])*tblRiskRegister322[[#This Row],[Expectancy Score]],"")</f>
        <v>20</v>
      </c>
      <c r="T138" s="29">
        <f>tblRiskRegister322[[#This Row],[Risk Score]]</f>
        <v>20</v>
      </c>
      <c r="U138" s="17"/>
      <c r="V138" s="112">
        <v>6.3</v>
      </c>
      <c r="W138" s="44" t="s">
        <v>99</v>
      </c>
      <c r="X138" s="44" t="s">
        <v>456</v>
      </c>
      <c r="Y138" s="30"/>
      <c r="Z138" s="16"/>
      <c r="AA138" s="25" t="str">
        <f>IFERROR(VLOOKUP(10*tblRiskRegister322[[#This Row],[Risk Treatment Safeguard Maturity Score]]+tblRiskRegister322[[#This Row],[VCDB Index]],tblHITIndexWeightTable[],4,FALSE),"")</f>
        <v/>
      </c>
      <c r="AB138" s="136"/>
      <c r="AC138" s="136"/>
      <c r="AD138" s="136"/>
      <c r="AE138" s="136"/>
      <c r="AF138" s="25" t="str">
        <f>IFERROR(MAX(tblRiskRegister322[[#This Row],[Risk Treatment Safeguard Impact to Mission]:[Risk Treatment Safeguard Impact to Obligations]])*tblRiskRegister322[[#This Row],[Risk Treatment
Safeguard Expectancy Score]],"")</f>
        <v/>
      </c>
      <c r="AG138" s="27" t="str">
        <f>IF(tblRiskRegister322[[#This Row],[Risk Score]]&gt;AcceptableRisk1,IF(tblRiskRegister322[[#This Row],[Risk Treatment Safeguard Risk Score]]&lt;AcceptableRisk1, IF(tblRiskRegister322[[#This Row],[Risk Treatment Safeguard Risk Score]]&lt;=tblRiskRegister322[[#This Row],[Risk Score]],"Yes","No"),"No"),"Yes")</f>
        <v>No</v>
      </c>
      <c r="AH138" s="18"/>
      <c r="AI138" s="18"/>
      <c r="AJ138" s="19"/>
    </row>
    <row r="139" spans="2:36" ht="25.5" x14ac:dyDescent="0.2">
      <c r="B139" s="44" t="s">
        <v>134</v>
      </c>
      <c r="C139" s="44"/>
      <c r="D139" s="13">
        <v>6.4</v>
      </c>
      <c r="E139" s="14" t="s">
        <v>100</v>
      </c>
      <c r="F139" s="17" t="s">
        <v>785</v>
      </c>
      <c r="G139" s="17" t="s">
        <v>785</v>
      </c>
      <c r="H139" s="17" t="s">
        <v>928</v>
      </c>
      <c r="I139" s="14"/>
      <c r="J139" s="14"/>
      <c r="K139" s="14"/>
      <c r="L139" s="137">
        <v>3</v>
      </c>
      <c r="M139" s="26">
        <f>IFERROR(VLOOKUP(tblRiskRegister322[[#This Row],[Asset Class]],tblVCDBIndex[],4,FALSE),"")</f>
        <v>3</v>
      </c>
      <c r="N139" s="26">
        <f>IFERROR(VLOOKUP(10*tblRiskRegister322[[#This Row],[Safeguard Maturity Score]]+tblRiskRegister322[[#This Row],[VCDB Index]],tblHITIndexWeightTable[],4,FALSE),"")</f>
        <v>3</v>
      </c>
      <c r="O139" s="26">
        <f>VLOOKUP(tblRiskRegister322[[#This Row],[Asset Class]],tblInherentImpacts3046[],2,FALSE)</f>
        <v>3</v>
      </c>
      <c r="P139" s="26">
        <f>VLOOKUP(tblRiskRegister322[[#This Row],[Asset Class]],tblInherentImpacts3046[],3,FALSE)</f>
        <v>3</v>
      </c>
      <c r="Q139" s="26">
        <f>VLOOKUP(tblRiskRegister322[[#This Row],[Asset Class]],tblInherentImpacts3046[],4,FALSE)</f>
        <v>4</v>
      </c>
      <c r="R139" s="26">
        <f>VLOOKUP(tblRiskRegister322[[#This Row],[Asset Class]],tblInherentImpacts3046[],5,FALSE)</f>
        <v>4</v>
      </c>
      <c r="S139" s="26">
        <f>IFERROR(MAX(tblRiskRegister322[[#This Row],[Impact to Mission]:[Impact to Obligations]])*tblRiskRegister322[[#This Row],[Expectancy Score]],"")</f>
        <v>12</v>
      </c>
      <c r="T139" s="29">
        <f>tblRiskRegister322[[#This Row],[Risk Score]]</f>
        <v>12</v>
      </c>
      <c r="U139" s="17"/>
      <c r="V139" s="112">
        <v>6.4</v>
      </c>
      <c r="W139" s="44" t="s">
        <v>100</v>
      </c>
      <c r="X139" s="44" t="s">
        <v>457</v>
      </c>
      <c r="Y139" s="30"/>
      <c r="Z139" s="16"/>
      <c r="AA139" s="25" t="str">
        <f>IFERROR(VLOOKUP(10*tblRiskRegister322[[#This Row],[Risk Treatment Safeguard Maturity Score]]+tblRiskRegister322[[#This Row],[VCDB Index]],tblHITIndexWeightTable[],4,FALSE),"")</f>
        <v/>
      </c>
      <c r="AB139" s="136"/>
      <c r="AC139" s="136"/>
      <c r="AD139" s="136"/>
      <c r="AE139" s="136"/>
      <c r="AF139" s="25" t="str">
        <f>IFERROR(MAX(tblRiskRegister322[[#This Row],[Risk Treatment Safeguard Impact to Mission]:[Risk Treatment Safeguard Impact to Obligations]])*tblRiskRegister322[[#This Row],[Risk Treatment
Safeguard Expectancy Score]],"")</f>
        <v/>
      </c>
      <c r="AG139" s="27" t="str">
        <f>IF(tblRiskRegister322[[#This Row],[Risk Score]]&gt;AcceptableRisk1,IF(tblRiskRegister322[[#This Row],[Risk Treatment Safeguard Risk Score]]&lt;AcceptableRisk1, IF(tblRiskRegister322[[#This Row],[Risk Treatment Safeguard Risk Score]]&lt;=tblRiskRegister322[[#This Row],[Risk Score]],"Yes","No"),"No"),"Yes")</f>
        <v>No</v>
      </c>
      <c r="AH139" s="18"/>
      <c r="AI139" s="18"/>
      <c r="AJ139" s="19"/>
    </row>
    <row r="140" spans="2:36" ht="25.5" x14ac:dyDescent="0.2">
      <c r="B140" s="44" t="s">
        <v>134</v>
      </c>
      <c r="C140" s="44"/>
      <c r="D140" s="13">
        <v>6.5</v>
      </c>
      <c r="E140" s="14" t="s">
        <v>101</v>
      </c>
      <c r="F140" s="17" t="s">
        <v>785</v>
      </c>
      <c r="G140" s="17" t="s">
        <v>785</v>
      </c>
      <c r="H140" s="17" t="s">
        <v>928</v>
      </c>
      <c r="I140" s="14"/>
      <c r="J140" s="14"/>
      <c r="K140" s="14"/>
      <c r="L140" s="16"/>
      <c r="M140" s="26">
        <f>IFERROR(VLOOKUP(tblRiskRegister322[[#This Row],[Asset Class]],tblVCDBIndex[],4,FALSE),"")</f>
        <v>3</v>
      </c>
      <c r="N140" s="26" t="str">
        <f>IFERROR(VLOOKUP(10*tblRiskRegister322[[#This Row],[Safeguard Maturity Score]]+tblRiskRegister322[[#This Row],[VCDB Index]],tblHITIndexWeightTable[],4,FALSE),"")</f>
        <v/>
      </c>
      <c r="O140" s="26">
        <f>VLOOKUP(tblRiskRegister322[[#This Row],[Asset Class]],tblInherentImpacts3046[],2,FALSE)</f>
        <v>3</v>
      </c>
      <c r="P140" s="26">
        <f>VLOOKUP(tblRiskRegister322[[#This Row],[Asset Class]],tblInherentImpacts3046[],3,FALSE)</f>
        <v>3</v>
      </c>
      <c r="Q140" s="26">
        <f>VLOOKUP(tblRiskRegister322[[#This Row],[Asset Class]],tblInherentImpacts3046[],4,FALSE)</f>
        <v>4</v>
      </c>
      <c r="R140" s="26">
        <f>VLOOKUP(tblRiskRegister322[[#This Row],[Asset Class]],tblInherentImpacts3046[],5,FALSE)</f>
        <v>4</v>
      </c>
      <c r="S140" s="26" t="str">
        <f>IFERROR(MAX(tblRiskRegister322[[#This Row],[Impact to Mission]:[Impact to Obligations]])*tblRiskRegister322[[#This Row],[Expectancy Score]],"")</f>
        <v/>
      </c>
      <c r="T140" s="29" t="str">
        <f>tblRiskRegister322[[#This Row],[Risk Score]]</f>
        <v/>
      </c>
      <c r="U140" s="17"/>
      <c r="V140" s="112">
        <v>6.5</v>
      </c>
      <c r="W140" s="44" t="s">
        <v>101</v>
      </c>
      <c r="X140" s="44" t="s">
        <v>458</v>
      </c>
      <c r="Y140" s="30"/>
      <c r="Z140" s="16"/>
      <c r="AA140" s="25" t="str">
        <f>IFERROR(VLOOKUP(10*tblRiskRegister322[[#This Row],[Risk Treatment Safeguard Maturity Score]]+tblRiskRegister322[[#This Row],[VCDB Index]],tblHITIndexWeightTable[],4,FALSE),"")</f>
        <v/>
      </c>
      <c r="AB140" s="136"/>
      <c r="AC140" s="136"/>
      <c r="AD140" s="136"/>
      <c r="AE140" s="136"/>
      <c r="AF140" s="25" t="str">
        <f>IFERROR(MAX(tblRiskRegister322[[#This Row],[Risk Treatment Safeguard Impact to Mission]:[Risk Treatment Safeguard Impact to Obligations]])*tblRiskRegister322[[#This Row],[Risk Treatment
Safeguard Expectancy Score]],"")</f>
        <v/>
      </c>
      <c r="AG140" s="27" t="str">
        <f>IF(tblRiskRegister322[[#This Row],[Risk Score]]&gt;AcceptableRisk1,IF(tblRiskRegister322[[#This Row],[Risk Treatment Safeguard Risk Score]]&lt;AcceptableRisk1, IF(tblRiskRegister322[[#This Row],[Risk Treatment Safeguard Risk Score]]&lt;=tblRiskRegister322[[#This Row],[Risk Score]],"Yes","No"),"No"),"Yes")</f>
        <v>No</v>
      </c>
      <c r="AH140" s="18"/>
      <c r="AI140" s="18"/>
      <c r="AJ140" s="19"/>
    </row>
    <row r="141" spans="2:36" ht="38.25" x14ac:dyDescent="0.2">
      <c r="B141" s="44" t="s">
        <v>134</v>
      </c>
      <c r="C141" s="44"/>
      <c r="D141" s="13">
        <v>6.6</v>
      </c>
      <c r="E141" s="14" t="s">
        <v>297</v>
      </c>
      <c r="F141" s="17"/>
      <c r="G141" s="17" t="s">
        <v>785</v>
      </c>
      <c r="H141" s="17" t="s">
        <v>926</v>
      </c>
      <c r="I141" s="14"/>
      <c r="J141" s="14"/>
      <c r="K141" s="14"/>
      <c r="L141" s="16"/>
      <c r="M141" s="26">
        <f>IFERROR(VLOOKUP(tblRiskRegister322[[#This Row],[Asset Class]],tblVCDBIndex[],4,FALSE),"")</f>
        <v>3</v>
      </c>
      <c r="N141" s="26" t="str">
        <f>IFERROR(VLOOKUP(10*tblRiskRegister322[[#This Row],[Safeguard Maturity Score]]+tblRiskRegister322[[#This Row],[VCDB Index]],tblHITIndexWeightTable[],4,FALSE),"")</f>
        <v/>
      </c>
      <c r="O141" s="26">
        <f>VLOOKUP(tblRiskRegister322[[#This Row],[Asset Class]],tblInherentImpacts3046[],2,FALSE)</f>
        <v>3</v>
      </c>
      <c r="P141" s="26">
        <f>VLOOKUP(tblRiskRegister322[[#This Row],[Asset Class]],tblInherentImpacts3046[],3,FALSE)</f>
        <v>3</v>
      </c>
      <c r="Q141" s="26">
        <f>VLOOKUP(tblRiskRegister322[[#This Row],[Asset Class]],tblInherentImpacts3046[],4,FALSE)</f>
        <v>4</v>
      </c>
      <c r="R141" s="26">
        <f>VLOOKUP(tblRiskRegister322[[#This Row],[Asset Class]],tblInherentImpacts3046[],5,FALSE)</f>
        <v>4</v>
      </c>
      <c r="S141" s="26" t="str">
        <f>IFERROR(MAX(tblRiskRegister322[[#This Row],[Impact to Mission]:[Impact to Obligations]])*tblRiskRegister322[[#This Row],[Expectancy Score]],"")</f>
        <v/>
      </c>
      <c r="T141" s="29" t="str">
        <f>tblRiskRegister322[[#This Row],[Risk Score]]</f>
        <v/>
      </c>
      <c r="U141" s="17"/>
      <c r="V141" s="112">
        <v>6.6</v>
      </c>
      <c r="W141" s="44" t="s">
        <v>297</v>
      </c>
      <c r="X141" s="44" t="s">
        <v>459</v>
      </c>
      <c r="Y141" s="30"/>
      <c r="Z141" s="16"/>
      <c r="AA141" s="25" t="str">
        <f>IFERROR(VLOOKUP(10*tblRiskRegister322[[#This Row],[Risk Treatment Safeguard Maturity Score]]+tblRiskRegister322[[#This Row],[VCDB Index]],tblHITIndexWeightTable[],4,FALSE),"")</f>
        <v/>
      </c>
      <c r="AB141" s="136"/>
      <c r="AC141" s="136"/>
      <c r="AD141" s="136"/>
      <c r="AE141" s="136"/>
      <c r="AF141" s="25" t="str">
        <f>IFERROR(MAX(tblRiskRegister322[[#This Row],[Risk Treatment Safeguard Impact to Mission]:[Risk Treatment Safeguard Impact to Obligations]])*tblRiskRegister322[[#This Row],[Risk Treatment
Safeguard Expectancy Score]],"")</f>
        <v/>
      </c>
      <c r="AG141" s="27" t="str">
        <f>IF(tblRiskRegister322[[#This Row],[Risk Score]]&gt;AcceptableRisk1,IF(tblRiskRegister322[[#This Row],[Risk Treatment Safeguard Risk Score]]&lt;AcceptableRisk1, IF(tblRiskRegister322[[#This Row],[Risk Treatment Safeguard Risk Score]]&lt;=tblRiskRegister322[[#This Row],[Risk Score]],"Yes","No"),"No"),"Yes")</f>
        <v>No</v>
      </c>
      <c r="AH141" s="18"/>
      <c r="AI141" s="18"/>
      <c r="AJ141" s="19"/>
    </row>
    <row r="142" spans="2:36" ht="25.5" x14ac:dyDescent="0.2">
      <c r="B142" s="44" t="s">
        <v>134</v>
      </c>
      <c r="C142" s="44"/>
      <c r="D142" s="13">
        <v>6.7</v>
      </c>
      <c r="E142" s="14" t="s">
        <v>298</v>
      </c>
      <c r="F142" s="17"/>
      <c r="G142" s="17" t="s">
        <v>785</v>
      </c>
      <c r="H142" s="17" t="s">
        <v>928</v>
      </c>
      <c r="I142" s="14"/>
      <c r="J142" s="14"/>
      <c r="K142" s="14"/>
      <c r="L142" s="16"/>
      <c r="M142" s="26">
        <f>IFERROR(VLOOKUP(tblRiskRegister322[[#This Row],[Asset Class]],tblVCDBIndex[],4,FALSE),"")</f>
        <v>3</v>
      </c>
      <c r="N142" s="26" t="str">
        <f>IFERROR(VLOOKUP(10*tblRiskRegister322[[#This Row],[Safeguard Maturity Score]]+tblRiskRegister322[[#This Row],[VCDB Index]],tblHITIndexWeightTable[],4,FALSE),"")</f>
        <v/>
      </c>
      <c r="O142" s="26">
        <f>VLOOKUP(tblRiskRegister322[[#This Row],[Asset Class]],tblInherentImpacts3046[],2,FALSE)</f>
        <v>3</v>
      </c>
      <c r="P142" s="26">
        <f>VLOOKUP(tblRiskRegister322[[#This Row],[Asset Class]],tblInherentImpacts3046[],3,FALSE)</f>
        <v>3</v>
      </c>
      <c r="Q142" s="26">
        <f>VLOOKUP(tblRiskRegister322[[#This Row],[Asset Class]],tblInherentImpacts3046[],4,FALSE)</f>
        <v>4</v>
      </c>
      <c r="R142" s="26">
        <f>VLOOKUP(tblRiskRegister322[[#This Row],[Asset Class]],tblInherentImpacts3046[],5,FALSE)</f>
        <v>4</v>
      </c>
      <c r="S142" s="26" t="str">
        <f>IFERROR(MAX(tblRiskRegister322[[#This Row],[Impact to Mission]:[Impact to Obligations]])*tblRiskRegister322[[#This Row],[Expectancy Score]],"")</f>
        <v/>
      </c>
      <c r="T142" s="29" t="str">
        <f>tblRiskRegister322[[#This Row],[Risk Score]]</f>
        <v/>
      </c>
      <c r="U142" s="17"/>
      <c r="V142" s="112">
        <v>6.7</v>
      </c>
      <c r="W142" s="44" t="s">
        <v>298</v>
      </c>
      <c r="X142" s="44" t="s">
        <v>460</v>
      </c>
      <c r="Y142" s="30"/>
      <c r="Z142" s="16"/>
      <c r="AA142" s="25" t="str">
        <f>IFERROR(VLOOKUP(10*tblRiskRegister322[[#This Row],[Risk Treatment Safeguard Maturity Score]]+tblRiskRegister322[[#This Row],[VCDB Index]],tblHITIndexWeightTable[],4,FALSE),"")</f>
        <v/>
      </c>
      <c r="AB142" s="136"/>
      <c r="AC142" s="136"/>
      <c r="AD142" s="136"/>
      <c r="AE142" s="136"/>
      <c r="AF142" s="25" t="str">
        <f>IFERROR(MAX(tblRiskRegister322[[#This Row],[Risk Treatment Safeguard Impact to Mission]:[Risk Treatment Safeguard Impact to Obligations]])*tblRiskRegister322[[#This Row],[Risk Treatment
Safeguard Expectancy Score]],"")</f>
        <v/>
      </c>
      <c r="AG142" s="27" t="str">
        <f>IF(tblRiskRegister322[[#This Row],[Risk Score]]&gt;AcceptableRisk1,IF(tblRiskRegister322[[#This Row],[Risk Treatment Safeguard Risk Score]]&lt;AcceptableRisk1, IF(tblRiskRegister322[[#This Row],[Risk Treatment Safeguard Risk Score]]&lt;=tblRiskRegister322[[#This Row],[Risk Score]],"Yes","No"),"No"),"Yes")</f>
        <v>No</v>
      </c>
      <c r="AH142" s="18"/>
      <c r="AI142" s="18"/>
      <c r="AJ142" s="19"/>
    </row>
  </sheetData>
  <sheetProtection sheet="1" formatCells="0" formatColumns="0" formatRows="0" insertRows="0" sort="0" autoFilter="0" pivotTables="0"/>
  <mergeCells count="8">
    <mergeCell ref="C8:S8"/>
    <mergeCell ref="AL8:AN8"/>
    <mergeCell ref="U8:AJ8"/>
    <mergeCell ref="G2:Q4"/>
    <mergeCell ref="B2:B4"/>
    <mergeCell ref="D2:E2"/>
    <mergeCell ref="D3:E3"/>
    <mergeCell ref="D4:E4"/>
  </mergeCells>
  <phoneticPr fontId="30" type="noConversion"/>
  <conditionalFormatting sqref="T11:T142">
    <cfRule type="iconSet" priority="5">
      <iconSet showValue="0" reverse="1">
        <cfvo type="percent" val="0"/>
        <cfvo type="num" val="9"/>
        <cfvo type="num" val="15"/>
      </iconSet>
    </cfRule>
    <cfRule type="iconSet" priority="6">
      <iconSet showValue="0" reverse="1">
        <cfvo type="percent" val="0"/>
        <cfvo type="num" val="AcceptableRisk"/>
        <cfvo type="num" val="15"/>
      </iconSet>
    </cfRule>
  </conditionalFormatting>
  <dataValidations count="5">
    <dataValidation type="list" allowBlank="1" showInputMessage="1" showErrorMessage="1" sqref="Z11:Z142 L11:L142" xr:uid="{463B40CC-B80A-4404-8048-57AC420A15A7}">
      <formula1>Maturity_Score</formula1>
    </dataValidation>
    <dataValidation type="list" allowBlank="1" showInputMessage="1" showErrorMessage="1" sqref="AJ11:AJ142" xr:uid="{7E714C81-27D2-4066-A252-38816336793D}">
      <formula1>"2021,2022,2023,2024,2025,2026,2027,2028,2029,2030,2031"</formula1>
    </dataValidation>
    <dataValidation type="list" allowBlank="1" showInputMessage="1" showErrorMessage="1" sqref="B11:B142" xr:uid="{8A7B9C93-F011-4A2A-A693-C6D9F6345717}">
      <formula1>Asset_Class</formula1>
    </dataValidation>
    <dataValidation type="list" allowBlank="1" showInputMessage="1" showErrorMessage="1" sqref="AI11:AI142" xr:uid="{03B1CEFF-8EAA-4668-8814-340B63152624}">
      <formula1>"Q1, Q2, Q3, Q4"</formula1>
    </dataValidation>
    <dataValidation type="list" allowBlank="1" showInputMessage="1" showErrorMessage="1" sqref="U11:U142" xr:uid="{FA175817-382B-420C-8759-213C7D78422B}">
      <formula1>"Accept,Reduce"</formula1>
    </dataValidation>
  </dataValidations>
  <pageMargins left="0.7" right="0.7" top="0.75" bottom="0.75" header="0.3" footer="0.3"/>
  <pageSetup orientation="portrait" r:id="rId1"/>
  <legacyDrawing r:id="rId2"/>
  <tableParts count="2">
    <tablePart r:id="rId3"/>
    <tablePart r:id="rId4"/>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FE48F3-FE2A-4E40-B58F-2B8C8C076662}">
  <sheetPr>
    <tabColor rgb="FFFF0000"/>
  </sheetPr>
  <dimension ref="B1:AB155"/>
  <sheetViews>
    <sheetView showGridLines="0" workbookViewId="0">
      <selection activeCell="B1" sqref="B1:X1"/>
    </sheetView>
  </sheetViews>
  <sheetFormatPr defaultColWidth="9.140625" defaultRowHeight="12.75" x14ac:dyDescent="0.2"/>
  <cols>
    <col min="1" max="1" width="9.140625" style="52"/>
    <col min="2" max="2" width="19" style="55" customWidth="1"/>
    <col min="3" max="3" width="21.140625" style="52" bestFit="1" customWidth="1"/>
    <col min="4" max="4" width="28.140625" style="52" bestFit="1" customWidth="1"/>
    <col min="5" max="5" width="26.5703125" style="52" customWidth="1"/>
    <col min="6" max="6" width="24.85546875" style="52" bestFit="1" customWidth="1"/>
    <col min="7" max="7" width="18.140625" style="52" customWidth="1"/>
    <col min="8" max="8" width="20.42578125" style="52" bestFit="1" customWidth="1"/>
    <col min="9" max="9" width="18.28515625" style="52" bestFit="1" customWidth="1"/>
    <col min="10" max="10" width="16.42578125" style="52" bestFit="1" customWidth="1"/>
    <col min="11" max="11" width="22" style="52" bestFit="1" customWidth="1"/>
    <col min="12" max="12" width="22" style="52" customWidth="1"/>
    <col min="13" max="13" width="9.140625" style="52"/>
    <col min="14" max="14" width="25" style="56" customWidth="1"/>
    <col min="15" max="15" width="23.140625" style="52" bestFit="1" customWidth="1"/>
    <col min="16" max="16" width="29.7109375" style="52" bestFit="1" customWidth="1"/>
    <col min="17" max="17" width="27.42578125" style="52" bestFit="1" customWidth="1"/>
    <col min="18" max="18" width="25.7109375" style="52" bestFit="1" customWidth="1"/>
    <col min="19" max="19" width="14" style="52" bestFit="1" customWidth="1"/>
    <col min="20" max="20" width="20.42578125" style="52" bestFit="1" customWidth="1"/>
    <col min="21" max="21" width="18.28515625" style="52" bestFit="1" customWidth="1"/>
    <col min="22" max="22" width="16.42578125" style="52" bestFit="1" customWidth="1"/>
    <col min="23" max="24" width="16.85546875" style="52" bestFit="1" customWidth="1"/>
    <col min="25" max="26" width="9.140625" style="52"/>
    <col min="27" max="27" width="19.7109375" style="52" bestFit="1" customWidth="1"/>
    <col min="28" max="28" width="88.7109375" style="52" customWidth="1"/>
    <col min="29" max="16384" width="9.140625" style="52"/>
  </cols>
  <sheetData>
    <row r="1" spans="2:28" ht="67.5" customHeight="1" thickBot="1" x14ac:dyDescent="0.25">
      <c r="B1" s="350" t="s">
        <v>358</v>
      </c>
      <c r="C1" s="351"/>
      <c r="D1" s="351"/>
      <c r="E1" s="351"/>
      <c r="F1" s="351"/>
      <c r="G1" s="351"/>
      <c r="H1" s="351"/>
      <c r="I1" s="351"/>
      <c r="J1" s="351"/>
      <c r="K1" s="351"/>
      <c r="L1" s="351"/>
      <c r="M1" s="351"/>
      <c r="N1" s="351"/>
      <c r="O1" s="351"/>
      <c r="P1" s="351"/>
      <c r="Q1" s="351"/>
      <c r="R1" s="351"/>
      <c r="S1" s="351"/>
      <c r="T1" s="351"/>
      <c r="U1" s="351"/>
      <c r="V1" s="351"/>
      <c r="W1" s="351"/>
      <c r="X1" s="352"/>
    </row>
    <row r="2" spans="2:28" ht="13.5" thickBot="1" x14ac:dyDescent="0.25">
      <c r="AA2" s="59"/>
      <c r="AB2" s="59"/>
    </row>
    <row r="3" spans="2:28" ht="27" thickTop="1" thickBot="1" x14ac:dyDescent="0.25">
      <c r="B3" s="78" t="s">
        <v>361</v>
      </c>
      <c r="C3" s="79" t="s">
        <v>362</v>
      </c>
      <c r="D3" s="79" t="s">
        <v>363</v>
      </c>
      <c r="E3" s="79" t="s">
        <v>364</v>
      </c>
      <c r="F3" s="80" t="s">
        <v>365</v>
      </c>
      <c r="G3" s="81" t="s">
        <v>361</v>
      </c>
      <c r="I3" s="370" t="s">
        <v>854</v>
      </c>
      <c r="J3" s="370"/>
      <c r="K3" s="370"/>
      <c r="L3" s="370"/>
      <c r="M3" s="370"/>
      <c r="N3" s="370"/>
      <c r="O3" s="370"/>
      <c r="AA3" s="59"/>
      <c r="AB3" s="64"/>
    </row>
    <row r="4" spans="2:28" ht="12.75" customHeight="1" x14ac:dyDescent="0.2">
      <c r="B4" s="82">
        <v>1</v>
      </c>
      <c r="C4" s="83" t="s">
        <v>366</v>
      </c>
      <c r="D4" s="83" t="s">
        <v>367</v>
      </c>
      <c r="E4" s="83" t="s">
        <v>368</v>
      </c>
      <c r="F4" s="84" t="s">
        <v>369</v>
      </c>
      <c r="G4" s="85">
        <v>1</v>
      </c>
      <c r="I4" s="370"/>
      <c r="J4" s="370"/>
      <c r="K4" s="370"/>
      <c r="L4" s="370"/>
      <c r="M4" s="370"/>
      <c r="N4" s="370"/>
      <c r="O4" s="370"/>
      <c r="AA4" s="59"/>
      <c r="AB4" s="64"/>
    </row>
    <row r="5" spans="2:28" ht="12.75" customHeight="1" x14ac:dyDescent="0.2">
      <c r="B5" s="86">
        <v>2</v>
      </c>
      <c r="C5" s="87" t="s">
        <v>370</v>
      </c>
      <c r="D5" s="87" t="s">
        <v>371</v>
      </c>
      <c r="E5" s="87" t="s">
        <v>372</v>
      </c>
      <c r="F5" s="88" t="s">
        <v>373</v>
      </c>
      <c r="G5" s="89">
        <v>2</v>
      </c>
      <c r="I5" s="370"/>
      <c r="J5" s="370"/>
      <c r="K5" s="370"/>
      <c r="L5" s="370"/>
      <c r="M5" s="370"/>
      <c r="N5" s="370"/>
      <c r="O5" s="370"/>
      <c r="AA5" s="59"/>
      <c r="AB5" s="64"/>
    </row>
    <row r="6" spans="2:28" ht="12.75" customHeight="1" x14ac:dyDescent="0.2">
      <c r="B6" s="86">
        <v>3</v>
      </c>
      <c r="C6" s="87" t="s">
        <v>374</v>
      </c>
      <c r="D6" s="87" t="s">
        <v>375</v>
      </c>
      <c r="E6" s="87" t="s">
        <v>376</v>
      </c>
      <c r="F6" s="88" t="s">
        <v>377</v>
      </c>
      <c r="G6" s="89">
        <v>3</v>
      </c>
      <c r="I6" s="370"/>
      <c r="J6" s="370"/>
      <c r="K6" s="370"/>
      <c r="L6" s="370"/>
      <c r="M6" s="370"/>
      <c r="N6" s="370"/>
      <c r="O6" s="370"/>
      <c r="AA6" s="59"/>
      <c r="AB6" s="64"/>
    </row>
    <row r="7" spans="2:28" ht="12.75" customHeight="1" x14ac:dyDescent="0.2">
      <c r="B7" s="86">
        <v>4</v>
      </c>
      <c r="C7" s="87" t="s">
        <v>378</v>
      </c>
      <c r="D7" s="87" t="s">
        <v>379</v>
      </c>
      <c r="E7" s="87" t="s">
        <v>380</v>
      </c>
      <c r="F7" s="88" t="s">
        <v>381</v>
      </c>
      <c r="G7" s="89">
        <v>4</v>
      </c>
      <c r="I7" s="370"/>
      <c r="J7" s="370"/>
      <c r="K7" s="370"/>
      <c r="L7" s="370"/>
      <c r="M7" s="370"/>
      <c r="N7" s="370"/>
      <c r="O7" s="370"/>
      <c r="AA7" s="59"/>
      <c r="AB7" s="64"/>
    </row>
    <row r="8" spans="2:28" ht="12.75" customHeight="1" x14ac:dyDescent="0.2">
      <c r="B8" s="86">
        <v>5</v>
      </c>
      <c r="C8" s="87" t="s">
        <v>382</v>
      </c>
      <c r="D8" s="87" t="s">
        <v>383</v>
      </c>
      <c r="E8" s="87" t="s">
        <v>384</v>
      </c>
      <c r="F8" s="88" t="s">
        <v>385</v>
      </c>
      <c r="G8" s="89">
        <v>5</v>
      </c>
      <c r="I8" s="370"/>
      <c r="J8" s="370"/>
      <c r="K8" s="370"/>
      <c r="L8" s="370"/>
      <c r="M8" s="370"/>
      <c r="N8" s="370"/>
      <c r="O8" s="370"/>
    </row>
    <row r="9" spans="2:28" ht="25.5" customHeight="1" x14ac:dyDescent="0.2">
      <c r="B9" s="86" t="s">
        <v>386</v>
      </c>
      <c r="C9" s="87" t="s">
        <v>387</v>
      </c>
      <c r="D9" s="87" t="s">
        <v>387</v>
      </c>
      <c r="E9" s="87" t="s">
        <v>387</v>
      </c>
      <c r="F9" s="88" t="s">
        <v>387</v>
      </c>
      <c r="G9" s="89" t="s">
        <v>386</v>
      </c>
      <c r="I9" s="370"/>
      <c r="J9" s="370"/>
      <c r="K9" s="370"/>
      <c r="L9" s="370"/>
      <c r="M9" s="370"/>
      <c r="N9" s="370"/>
      <c r="O9" s="370"/>
    </row>
    <row r="10" spans="2:28" ht="13.5" customHeight="1" thickBot="1" x14ac:dyDescent="0.25">
      <c r="B10" s="90" t="s">
        <v>388</v>
      </c>
      <c r="C10" s="91" t="s">
        <v>389</v>
      </c>
      <c r="D10" s="91" t="s">
        <v>389</v>
      </c>
      <c r="E10" s="91" t="s">
        <v>389</v>
      </c>
      <c r="F10" s="92" t="s">
        <v>389</v>
      </c>
      <c r="G10" s="93" t="s">
        <v>388</v>
      </c>
    </row>
    <row r="11" spans="2:28" ht="14.25" thickTop="1" thickBot="1" x14ac:dyDescent="0.25"/>
    <row r="12" spans="2:28" s="94" customFormat="1" ht="39" customHeight="1" thickBot="1" x14ac:dyDescent="0.3">
      <c r="B12" s="159" t="s">
        <v>390</v>
      </c>
      <c r="C12" s="360" t="s">
        <v>391</v>
      </c>
      <c r="D12" s="371"/>
      <c r="E12" s="371"/>
      <c r="F12" s="372"/>
      <c r="G12" s="373" t="s">
        <v>392</v>
      </c>
      <c r="H12" s="371"/>
      <c r="I12" s="371"/>
      <c r="J12" s="371"/>
      <c r="K12" s="374" t="s">
        <v>393</v>
      </c>
      <c r="L12" s="374" t="s">
        <v>357</v>
      </c>
      <c r="N12" s="158" t="s">
        <v>394</v>
      </c>
      <c r="O12" s="355" t="s">
        <v>391</v>
      </c>
      <c r="P12" s="348"/>
      <c r="Q12" s="348"/>
      <c r="R12" s="349"/>
      <c r="S12" s="347" t="s">
        <v>392</v>
      </c>
      <c r="T12" s="348"/>
      <c r="U12" s="348"/>
      <c r="V12" s="358"/>
      <c r="W12" s="359" t="s">
        <v>393</v>
      </c>
      <c r="X12" s="361" t="s">
        <v>357</v>
      </c>
    </row>
    <row r="13" spans="2:28" s="63" customFormat="1" ht="27" thickTop="1" thickBot="1" x14ac:dyDescent="0.3">
      <c r="B13" s="159" t="s">
        <v>912</v>
      </c>
      <c r="C13" s="95" t="s">
        <v>362</v>
      </c>
      <c r="D13" s="60" t="s">
        <v>363</v>
      </c>
      <c r="E13" s="60" t="s">
        <v>364</v>
      </c>
      <c r="F13" s="60" t="s">
        <v>365</v>
      </c>
      <c r="G13" s="60" t="s">
        <v>362</v>
      </c>
      <c r="H13" s="60" t="s">
        <v>363</v>
      </c>
      <c r="I13" s="60" t="s">
        <v>364</v>
      </c>
      <c r="J13" s="159" t="s">
        <v>365</v>
      </c>
      <c r="K13" s="375"/>
      <c r="L13" s="375"/>
      <c r="N13" s="159" t="s">
        <v>913</v>
      </c>
      <c r="O13" s="95" t="s">
        <v>362</v>
      </c>
      <c r="P13" s="60" t="s">
        <v>363</v>
      </c>
      <c r="Q13" s="60" t="s">
        <v>364</v>
      </c>
      <c r="R13" s="60" t="s">
        <v>365</v>
      </c>
      <c r="S13" s="60" t="s">
        <v>362</v>
      </c>
      <c r="T13" s="60" t="s">
        <v>363</v>
      </c>
      <c r="U13" s="60" t="s">
        <v>364</v>
      </c>
      <c r="V13" s="96" t="s">
        <v>365</v>
      </c>
      <c r="W13" s="360"/>
      <c r="X13" s="362"/>
    </row>
    <row r="14" spans="2:28" ht="13.5" thickTop="1" x14ac:dyDescent="0.2">
      <c r="B14" s="65">
        <v>1.1000000000000001</v>
      </c>
      <c r="C14" s="65" t="s">
        <v>382</v>
      </c>
      <c r="D14" s="65" t="s">
        <v>379</v>
      </c>
      <c r="E14" s="65" t="s">
        <v>384</v>
      </c>
      <c r="F14" s="65" t="s">
        <v>377</v>
      </c>
      <c r="G14" s="66">
        <f>VLOOKUP(C14,$C$4:$G$10,5,FALSE)</f>
        <v>5</v>
      </c>
      <c r="H14" s="66">
        <f>VLOOKUP(D14,$D$4:$G$10,4,FALSE)</f>
        <v>4</v>
      </c>
      <c r="I14" s="66">
        <f>VLOOKUP(E14,$E$4:$G$10,3,FALSE)</f>
        <v>5</v>
      </c>
      <c r="J14" s="66">
        <f>VLOOKUP(F14,$F$4:$G$10,2,FALSE)</f>
        <v>3</v>
      </c>
      <c r="K14" s="66">
        <f>ROUND(AVERAGE(G14:J14),0)</f>
        <v>4</v>
      </c>
      <c r="L14" s="71">
        <f>K14</f>
        <v>4</v>
      </c>
      <c r="N14" s="104">
        <v>1.1000000000000001</v>
      </c>
      <c r="O14" s="97" t="s">
        <v>382</v>
      </c>
      <c r="P14" s="97" t="s">
        <v>379</v>
      </c>
      <c r="Q14" s="97" t="s">
        <v>384</v>
      </c>
      <c r="R14" s="97" t="s">
        <v>377</v>
      </c>
      <c r="S14" s="98">
        <f>VLOOKUP(O14,$C$4:$G$10,5,FALSE)</f>
        <v>5</v>
      </c>
      <c r="T14" s="98">
        <f>VLOOKUP(P14,$D$4:$G$10,4,FALSE)</f>
        <v>4</v>
      </c>
      <c r="U14" s="98">
        <f>VLOOKUP(Q14,$E$4:$G$10,3,FALSE)</f>
        <v>5</v>
      </c>
      <c r="V14" s="98">
        <f>VLOOKUP(R14,$F$4:$G$10,2,FALSE)</f>
        <v>3</v>
      </c>
      <c r="W14" s="98">
        <f>ROUND(AVERAGE(S14:V14),0)</f>
        <v>4</v>
      </c>
      <c r="X14" s="67">
        <f>W14</f>
        <v>4</v>
      </c>
    </row>
    <row r="15" spans="2:28" x14ac:dyDescent="0.2">
      <c r="B15" s="68">
        <v>1.3</v>
      </c>
      <c r="C15" s="68" t="s">
        <v>374</v>
      </c>
      <c r="D15" s="68" t="s">
        <v>375</v>
      </c>
      <c r="E15" s="68" t="s">
        <v>376</v>
      </c>
      <c r="F15" s="68" t="s">
        <v>381</v>
      </c>
      <c r="G15" s="69">
        <f t="shared" ref="G15:G78" si="0">VLOOKUP(C15,$C$4:$G$10,5,FALSE)</f>
        <v>3</v>
      </c>
      <c r="H15" s="69">
        <f t="shared" ref="H15:H78" si="1">VLOOKUP(D15,$D$4:$G$10,4,FALSE)</f>
        <v>3</v>
      </c>
      <c r="I15" s="69">
        <f t="shared" ref="I15:I78" si="2">VLOOKUP(E15,$E$4:$G$10,3,FALSE)</f>
        <v>3</v>
      </c>
      <c r="J15" s="69">
        <f t="shared" ref="J15:J78" si="3">VLOOKUP(F15,$F$4:$G$10,2,FALSE)</f>
        <v>4</v>
      </c>
      <c r="K15" s="69">
        <f t="shared" ref="K15:K78" si="4">ROUND(AVERAGE(G15:J15),0)</f>
        <v>3</v>
      </c>
      <c r="L15" s="70">
        <f t="shared" ref="L15:L78" si="5">K15</f>
        <v>3</v>
      </c>
      <c r="N15" s="105">
        <v>1.2</v>
      </c>
      <c r="O15" s="68" t="s">
        <v>374</v>
      </c>
      <c r="P15" s="68" t="s">
        <v>375</v>
      </c>
      <c r="Q15" s="68" t="s">
        <v>376</v>
      </c>
      <c r="R15" s="68" t="s">
        <v>381</v>
      </c>
      <c r="S15" s="69">
        <f t="shared" ref="S15:S78" si="6">VLOOKUP(O15,$C$4:$G$10,5,FALSE)</f>
        <v>3</v>
      </c>
      <c r="T15" s="69">
        <f t="shared" ref="T15:T78" si="7">VLOOKUP(P15,$D$4:$G$10,4,FALSE)</f>
        <v>3</v>
      </c>
      <c r="U15" s="69">
        <f t="shared" ref="U15:U78" si="8">VLOOKUP(Q15,$E$4:$G$10,3,FALSE)</f>
        <v>3</v>
      </c>
      <c r="V15" s="69">
        <f t="shared" ref="V15:V78" si="9">VLOOKUP(R15,$F$4:$G$10,2,FALSE)</f>
        <v>4</v>
      </c>
      <c r="W15" s="69">
        <f t="shared" ref="W15:W78" si="10">ROUND(AVERAGE(S15:V15),0)</f>
        <v>3</v>
      </c>
      <c r="X15" s="70">
        <f t="shared" ref="X15:X78" si="11">W15</f>
        <v>3</v>
      </c>
    </row>
    <row r="16" spans="2:28" x14ac:dyDescent="0.2">
      <c r="B16" s="65">
        <v>1.4</v>
      </c>
      <c r="C16" s="65" t="s">
        <v>382</v>
      </c>
      <c r="D16" s="65" t="s">
        <v>383</v>
      </c>
      <c r="E16" s="65" t="s">
        <v>384</v>
      </c>
      <c r="F16" s="65" t="s">
        <v>385</v>
      </c>
      <c r="G16" s="66">
        <f t="shared" si="0"/>
        <v>5</v>
      </c>
      <c r="H16" s="66">
        <f t="shared" si="1"/>
        <v>5</v>
      </c>
      <c r="I16" s="66">
        <f t="shared" si="2"/>
        <v>5</v>
      </c>
      <c r="J16" s="66">
        <f t="shared" si="3"/>
        <v>5</v>
      </c>
      <c r="K16" s="66">
        <f>ROUND(AVERAGE(G16:J16),0)</f>
        <v>5</v>
      </c>
      <c r="L16" s="71">
        <f>K16</f>
        <v>5</v>
      </c>
      <c r="N16" s="104">
        <v>1.3</v>
      </c>
      <c r="O16" s="65" t="s">
        <v>382</v>
      </c>
      <c r="P16" s="65" t="s">
        <v>383</v>
      </c>
      <c r="Q16" s="65" t="s">
        <v>384</v>
      </c>
      <c r="R16" s="65" t="s">
        <v>385</v>
      </c>
      <c r="S16" s="66">
        <f t="shared" si="6"/>
        <v>5</v>
      </c>
      <c r="T16" s="66">
        <f t="shared" si="7"/>
        <v>5</v>
      </c>
      <c r="U16" s="66">
        <f t="shared" si="8"/>
        <v>5</v>
      </c>
      <c r="V16" s="66">
        <f t="shared" si="9"/>
        <v>5</v>
      </c>
      <c r="W16" s="66">
        <f t="shared" si="10"/>
        <v>5</v>
      </c>
      <c r="X16" s="71">
        <f t="shared" si="11"/>
        <v>5</v>
      </c>
    </row>
    <row r="17" spans="2:24" x14ac:dyDescent="0.2">
      <c r="B17" s="68">
        <v>1.5</v>
      </c>
      <c r="C17" s="68" t="s">
        <v>374</v>
      </c>
      <c r="D17" s="68" t="s">
        <v>375</v>
      </c>
      <c r="E17" s="68" t="s">
        <v>380</v>
      </c>
      <c r="F17" s="68" t="s">
        <v>385</v>
      </c>
      <c r="G17" s="69">
        <f t="shared" si="0"/>
        <v>3</v>
      </c>
      <c r="H17" s="69">
        <f t="shared" si="1"/>
        <v>3</v>
      </c>
      <c r="I17" s="69">
        <f t="shared" si="2"/>
        <v>4</v>
      </c>
      <c r="J17" s="69">
        <f t="shared" si="3"/>
        <v>5</v>
      </c>
      <c r="K17" s="69">
        <f t="shared" si="4"/>
        <v>4</v>
      </c>
      <c r="L17" s="70">
        <f t="shared" si="5"/>
        <v>4</v>
      </c>
      <c r="N17" s="105">
        <v>1.4</v>
      </c>
      <c r="O17" s="68" t="s">
        <v>374</v>
      </c>
      <c r="P17" s="68" t="s">
        <v>375</v>
      </c>
      <c r="Q17" s="68" t="s">
        <v>380</v>
      </c>
      <c r="R17" s="68" t="s">
        <v>385</v>
      </c>
      <c r="S17" s="69">
        <f t="shared" si="6"/>
        <v>3</v>
      </c>
      <c r="T17" s="69">
        <f t="shared" si="7"/>
        <v>3</v>
      </c>
      <c r="U17" s="69">
        <f t="shared" si="8"/>
        <v>4</v>
      </c>
      <c r="V17" s="69">
        <f t="shared" si="9"/>
        <v>5</v>
      </c>
      <c r="W17" s="69">
        <f t="shared" si="10"/>
        <v>4</v>
      </c>
      <c r="X17" s="70">
        <f t="shared" si="11"/>
        <v>4</v>
      </c>
    </row>
    <row r="18" spans="2:24" x14ac:dyDescent="0.2">
      <c r="B18" s="65">
        <v>1.6</v>
      </c>
      <c r="C18" s="65" t="s">
        <v>370</v>
      </c>
      <c r="D18" s="65" t="s">
        <v>371</v>
      </c>
      <c r="E18" s="65" t="s">
        <v>372</v>
      </c>
      <c r="F18" s="65" t="s">
        <v>377</v>
      </c>
      <c r="G18" s="66">
        <f t="shared" si="0"/>
        <v>2</v>
      </c>
      <c r="H18" s="66">
        <f t="shared" si="1"/>
        <v>2</v>
      </c>
      <c r="I18" s="66">
        <f t="shared" si="2"/>
        <v>2</v>
      </c>
      <c r="J18" s="66">
        <f t="shared" si="3"/>
        <v>3</v>
      </c>
      <c r="K18" s="66">
        <f t="shared" si="4"/>
        <v>2</v>
      </c>
      <c r="L18" s="71">
        <f t="shared" si="5"/>
        <v>2</v>
      </c>
      <c r="N18" s="104">
        <v>2.1</v>
      </c>
      <c r="O18" s="65" t="s">
        <v>370</v>
      </c>
      <c r="P18" s="65" t="s">
        <v>371</v>
      </c>
      <c r="Q18" s="65" t="s">
        <v>372</v>
      </c>
      <c r="R18" s="65" t="s">
        <v>377</v>
      </c>
      <c r="S18" s="66">
        <f t="shared" si="6"/>
        <v>2</v>
      </c>
      <c r="T18" s="66">
        <f t="shared" si="7"/>
        <v>2</v>
      </c>
      <c r="U18" s="66">
        <f t="shared" si="8"/>
        <v>2</v>
      </c>
      <c r="V18" s="66">
        <f t="shared" si="9"/>
        <v>3</v>
      </c>
      <c r="W18" s="66">
        <f t="shared" si="10"/>
        <v>2</v>
      </c>
      <c r="X18" s="71">
        <f t="shared" si="11"/>
        <v>2</v>
      </c>
    </row>
    <row r="19" spans="2:24" x14ac:dyDescent="0.2">
      <c r="B19" s="68">
        <v>1.7</v>
      </c>
      <c r="C19" s="68" t="s">
        <v>374</v>
      </c>
      <c r="D19" s="68" t="s">
        <v>375</v>
      </c>
      <c r="E19" s="68" t="s">
        <v>376</v>
      </c>
      <c r="F19" s="68" t="s">
        <v>381</v>
      </c>
      <c r="G19" s="69">
        <f t="shared" si="0"/>
        <v>3</v>
      </c>
      <c r="H19" s="69">
        <f t="shared" si="1"/>
        <v>3</v>
      </c>
      <c r="I19" s="69">
        <f t="shared" si="2"/>
        <v>3</v>
      </c>
      <c r="J19" s="69">
        <f t="shared" si="3"/>
        <v>4</v>
      </c>
      <c r="K19" s="69">
        <f t="shared" si="4"/>
        <v>3</v>
      </c>
      <c r="L19" s="70">
        <f t="shared" si="5"/>
        <v>3</v>
      </c>
      <c r="N19" s="105">
        <v>2.2000000000000002</v>
      </c>
      <c r="O19" s="68" t="s">
        <v>374</v>
      </c>
      <c r="P19" s="68" t="s">
        <v>375</v>
      </c>
      <c r="Q19" s="68" t="s">
        <v>376</v>
      </c>
      <c r="R19" s="68" t="s">
        <v>381</v>
      </c>
      <c r="S19" s="69">
        <f t="shared" si="6"/>
        <v>3</v>
      </c>
      <c r="T19" s="69">
        <f t="shared" si="7"/>
        <v>3</v>
      </c>
      <c r="U19" s="69">
        <f t="shared" si="8"/>
        <v>3</v>
      </c>
      <c r="V19" s="69">
        <f t="shared" si="9"/>
        <v>4</v>
      </c>
      <c r="W19" s="69">
        <f t="shared" si="10"/>
        <v>3</v>
      </c>
      <c r="X19" s="70">
        <f t="shared" si="11"/>
        <v>3</v>
      </c>
    </row>
    <row r="20" spans="2:24" x14ac:dyDescent="0.2">
      <c r="B20" s="65">
        <v>2.1</v>
      </c>
      <c r="C20" s="65" t="s">
        <v>374</v>
      </c>
      <c r="D20" s="65" t="s">
        <v>375</v>
      </c>
      <c r="E20" s="65" t="s">
        <v>376</v>
      </c>
      <c r="F20" s="65" t="s">
        <v>377</v>
      </c>
      <c r="G20" s="66">
        <f t="shared" si="0"/>
        <v>3</v>
      </c>
      <c r="H20" s="66">
        <f t="shared" si="1"/>
        <v>3</v>
      </c>
      <c r="I20" s="66">
        <f t="shared" si="2"/>
        <v>3</v>
      </c>
      <c r="J20" s="66">
        <f t="shared" si="3"/>
        <v>3</v>
      </c>
      <c r="K20" s="66">
        <f t="shared" si="4"/>
        <v>3</v>
      </c>
      <c r="L20" s="71">
        <f t="shared" si="5"/>
        <v>3</v>
      </c>
      <c r="N20" s="104">
        <v>2.2999999999999998</v>
      </c>
      <c r="O20" s="65" t="s">
        <v>374</v>
      </c>
      <c r="P20" s="65" t="s">
        <v>375</v>
      </c>
      <c r="Q20" s="65" t="s">
        <v>376</v>
      </c>
      <c r="R20" s="65" t="s">
        <v>377</v>
      </c>
      <c r="S20" s="66">
        <f t="shared" si="6"/>
        <v>3</v>
      </c>
      <c r="T20" s="66">
        <f t="shared" si="7"/>
        <v>3</v>
      </c>
      <c r="U20" s="66">
        <f t="shared" si="8"/>
        <v>3</v>
      </c>
      <c r="V20" s="66">
        <f t="shared" si="9"/>
        <v>3</v>
      </c>
      <c r="W20" s="66">
        <f t="shared" si="10"/>
        <v>3</v>
      </c>
      <c r="X20" s="71">
        <f t="shared" si="11"/>
        <v>3</v>
      </c>
    </row>
    <row r="21" spans="2:24" x14ac:dyDescent="0.2">
      <c r="B21" s="68">
        <v>2.2000000000000002</v>
      </c>
      <c r="C21" s="68" t="s">
        <v>374</v>
      </c>
      <c r="D21" s="68" t="s">
        <v>383</v>
      </c>
      <c r="E21" s="68" t="s">
        <v>376</v>
      </c>
      <c r="F21" s="68" t="s">
        <v>381</v>
      </c>
      <c r="G21" s="69">
        <f t="shared" si="0"/>
        <v>3</v>
      </c>
      <c r="H21" s="69">
        <f t="shared" si="1"/>
        <v>5</v>
      </c>
      <c r="I21" s="69">
        <f t="shared" si="2"/>
        <v>3</v>
      </c>
      <c r="J21" s="69">
        <f t="shared" si="3"/>
        <v>4</v>
      </c>
      <c r="K21" s="69">
        <f t="shared" si="4"/>
        <v>4</v>
      </c>
      <c r="L21" s="70">
        <f t="shared" si="5"/>
        <v>4</v>
      </c>
      <c r="N21" s="105">
        <v>2.4</v>
      </c>
      <c r="O21" s="68" t="s">
        <v>374</v>
      </c>
      <c r="P21" s="68" t="s">
        <v>383</v>
      </c>
      <c r="Q21" s="68" t="s">
        <v>376</v>
      </c>
      <c r="R21" s="68" t="s">
        <v>381</v>
      </c>
      <c r="S21" s="69">
        <f t="shared" si="6"/>
        <v>3</v>
      </c>
      <c r="T21" s="69">
        <f t="shared" si="7"/>
        <v>5</v>
      </c>
      <c r="U21" s="69">
        <f t="shared" si="8"/>
        <v>3</v>
      </c>
      <c r="V21" s="69">
        <f t="shared" si="9"/>
        <v>4</v>
      </c>
      <c r="W21" s="69">
        <f t="shared" si="10"/>
        <v>4</v>
      </c>
      <c r="X21" s="70">
        <f t="shared" si="11"/>
        <v>4</v>
      </c>
    </row>
    <row r="22" spans="2:24" x14ac:dyDescent="0.2">
      <c r="B22" s="65">
        <v>2.2999999999999998</v>
      </c>
      <c r="C22" s="65" t="s">
        <v>382</v>
      </c>
      <c r="D22" s="65" t="s">
        <v>383</v>
      </c>
      <c r="E22" s="65" t="s">
        <v>384</v>
      </c>
      <c r="F22" s="65" t="s">
        <v>385</v>
      </c>
      <c r="G22" s="66">
        <f t="shared" si="0"/>
        <v>5</v>
      </c>
      <c r="H22" s="66">
        <f t="shared" si="1"/>
        <v>5</v>
      </c>
      <c r="I22" s="66">
        <f t="shared" si="2"/>
        <v>5</v>
      </c>
      <c r="J22" s="66">
        <f t="shared" si="3"/>
        <v>5</v>
      </c>
      <c r="K22" s="66">
        <f t="shared" si="4"/>
        <v>5</v>
      </c>
      <c r="L22" s="71">
        <f t="shared" si="5"/>
        <v>5</v>
      </c>
      <c r="N22" s="104">
        <v>2.5</v>
      </c>
      <c r="O22" s="65" t="s">
        <v>382</v>
      </c>
      <c r="P22" s="65" t="s">
        <v>383</v>
      </c>
      <c r="Q22" s="65" t="s">
        <v>384</v>
      </c>
      <c r="R22" s="65" t="s">
        <v>385</v>
      </c>
      <c r="S22" s="66">
        <f t="shared" si="6"/>
        <v>5</v>
      </c>
      <c r="T22" s="66">
        <f t="shared" si="7"/>
        <v>5</v>
      </c>
      <c r="U22" s="66">
        <f t="shared" si="8"/>
        <v>5</v>
      </c>
      <c r="V22" s="66">
        <f t="shared" si="9"/>
        <v>5</v>
      </c>
      <c r="W22" s="66">
        <f t="shared" si="10"/>
        <v>5</v>
      </c>
      <c r="X22" s="71">
        <f t="shared" si="11"/>
        <v>5</v>
      </c>
    </row>
    <row r="23" spans="2:24" x14ac:dyDescent="0.2">
      <c r="B23" s="68">
        <v>2.4</v>
      </c>
      <c r="C23" s="68" t="s">
        <v>382</v>
      </c>
      <c r="D23" s="68" t="s">
        <v>375</v>
      </c>
      <c r="E23" s="68" t="s">
        <v>380</v>
      </c>
      <c r="F23" s="68" t="s">
        <v>385</v>
      </c>
      <c r="G23" s="69">
        <f t="shared" si="0"/>
        <v>5</v>
      </c>
      <c r="H23" s="69">
        <f t="shared" si="1"/>
        <v>3</v>
      </c>
      <c r="I23" s="69">
        <f t="shared" si="2"/>
        <v>4</v>
      </c>
      <c r="J23" s="69">
        <f t="shared" si="3"/>
        <v>5</v>
      </c>
      <c r="K23" s="69">
        <f t="shared" si="4"/>
        <v>4</v>
      </c>
      <c r="L23" s="70">
        <f t="shared" si="5"/>
        <v>4</v>
      </c>
      <c r="N23" s="105">
        <v>2.6</v>
      </c>
      <c r="O23" s="68" t="s">
        <v>382</v>
      </c>
      <c r="P23" s="68" t="s">
        <v>375</v>
      </c>
      <c r="Q23" s="68" t="s">
        <v>380</v>
      </c>
      <c r="R23" s="68" t="s">
        <v>385</v>
      </c>
      <c r="S23" s="69">
        <f t="shared" si="6"/>
        <v>5</v>
      </c>
      <c r="T23" s="69">
        <f t="shared" si="7"/>
        <v>3</v>
      </c>
      <c r="U23" s="69">
        <f t="shared" si="8"/>
        <v>4</v>
      </c>
      <c r="V23" s="69">
        <f t="shared" si="9"/>
        <v>5</v>
      </c>
      <c r="W23" s="69">
        <f t="shared" si="10"/>
        <v>4</v>
      </c>
      <c r="X23" s="70">
        <f t="shared" si="11"/>
        <v>4</v>
      </c>
    </row>
    <row r="24" spans="2:24" x14ac:dyDescent="0.2">
      <c r="B24" s="65">
        <v>2.6</v>
      </c>
      <c r="C24" s="65" t="s">
        <v>382</v>
      </c>
      <c r="D24" s="65" t="s">
        <v>379</v>
      </c>
      <c r="E24" s="65" t="s">
        <v>380</v>
      </c>
      <c r="F24" s="65" t="s">
        <v>385</v>
      </c>
      <c r="G24" s="66">
        <f t="shared" si="0"/>
        <v>5</v>
      </c>
      <c r="H24" s="66">
        <f t="shared" si="1"/>
        <v>4</v>
      </c>
      <c r="I24" s="66">
        <f t="shared" si="2"/>
        <v>4</v>
      </c>
      <c r="J24" s="66">
        <f t="shared" si="3"/>
        <v>5</v>
      </c>
      <c r="K24" s="66">
        <f t="shared" si="4"/>
        <v>5</v>
      </c>
      <c r="L24" s="71">
        <f t="shared" si="5"/>
        <v>5</v>
      </c>
      <c r="N24" s="104">
        <v>3.1</v>
      </c>
      <c r="O24" s="65" t="s">
        <v>382</v>
      </c>
      <c r="P24" s="65" t="s">
        <v>379</v>
      </c>
      <c r="Q24" s="65" t="s">
        <v>380</v>
      </c>
      <c r="R24" s="65" t="s">
        <v>385</v>
      </c>
      <c r="S24" s="66">
        <f t="shared" si="6"/>
        <v>5</v>
      </c>
      <c r="T24" s="66">
        <f t="shared" si="7"/>
        <v>4</v>
      </c>
      <c r="U24" s="66">
        <f t="shared" si="8"/>
        <v>4</v>
      </c>
      <c r="V24" s="66">
        <f t="shared" si="9"/>
        <v>5</v>
      </c>
      <c r="W24" s="66">
        <f t="shared" si="10"/>
        <v>5</v>
      </c>
      <c r="X24" s="71">
        <f t="shared" si="11"/>
        <v>5</v>
      </c>
    </row>
    <row r="25" spans="2:24" x14ac:dyDescent="0.2">
      <c r="B25" s="68">
        <v>3.1</v>
      </c>
      <c r="C25" s="68" t="s">
        <v>374</v>
      </c>
      <c r="D25" s="68" t="s">
        <v>379</v>
      </c>
      <c r="E25" s="68" t="s">
        <v>384</v>
      </c>
      <c r="F25" s="68" t="s">
        <v>381</v>
      </c>
      <c r="G25" s="69">
        <f t="shared" si="0"/>
        <v>3</v>
      </c>
      <c r="H25" s="69">
        <f t="shared" si="1"/>
        <v>4</v>
      </c>
      <c r="I25" s="69">
        <f t="shared" si="2"/>
        <v>5</v>
      </c>
      <c r="J25" s="69">
        <f t="shared" si="3"/>
        <v>4</v>
      </c>
      <c r="K25" s="69">
        <f t="shared" si="4"/>
        <v>4</v>
      </c>
      <c r="L25" s="70">
        <f t="shared" si="5"/>
        <v>4</v>
      </c>
      <c r="N25" s="105">
        <v>3.2</v>
      </c>
      <c r="O25" s="68" t="s">
        <v>374</v>
      </c>
      <c r="P25" s="68" t="s">
        <v>379</v>
      </c>
      <c r="Q25" s="68" t="s">
        <v>384</v>
      </c>
      <c r="R25" s="68" t="s">
        <v>381</v>
      </c>
      <c r="S25" s="69">
        <f t="shared" si="6"/>
        <v>3</v>
      </c>
      <c r="T25" s="69">
        <f t="shared" si="7"/>
        <v>4</v>
      </c>
      <c r="U25" s="69">
        <f t="shared" si="8"/>
        <v>5</v>
      </c>
      <c r="V25" s="69">
        <f t="shared" si="9"/>
        <v>4</v>
      </c>
      <c r="W25" s="69">
        <f t="shared" si="10"/>
        <v>4</v>
      </c>
      <c r="X25" s="70">
        <f t="shared" si="11"/>
        <v>4</v>
      </c>
    </row>
    <row r="26" spans="2:24" x14ac:dyDescent="0.2">
      <c r="B26" s="65">
        <v>3.2</v>
      </c>
      <c r="C26" s="65" t="s">
        <v>374</v>
      </c>
      <c r="D26" s="65" t="s">
        <v>379</v>
      </c>
      <c r="E26" s="65" t="s">
        <v>380</v>
      </c>
      <c r="F26" s="65" t="s">
        <v>381</v>
      </c>
      <c r="G26" s="66">
        <f t="shared" si="0"/>
        <v>3</v>
      </c>
      <c r="H26" s="66">
        <f t="shared" si="1"/>
        <v>4</v>
      </c>
      <c r="I26" s="66">
        <f t="shared" si="2"/>
        <v>4</v>
      </c>
      <c r="J26" s="66">
        <f t="shared" si="3"/>
        <v>4</v>
      </c>
      <c r="K26" s="66">
        <f t="shared" si="4"/>
        <v>4</v>
      </c>
      <c r="L26" s="71">
        <f t="shared" si="5"/>
        <v>4</v>
      </c>
      <c r="N26" s="104">
        <v>3.3</v>
      </c>
      <c r="O26" s="65" t="s">
        <v>374</v>
      </c>
      <c r="P26" s="65" t="s">
        <v>379</v>
      </c>
      <c r="Q26" s="65" t="s">
        <v>380</v>
      </c>
      <c r="R26" s="65" t="s">
        <v>381</v>
      </c>
      <c r="S26" s="66">
        <f t="shared" si="6"/>
        <v>3</v>
      </c>
      <c r="T26" s="66">
        <f t="shared" si="7"/>
        <v>4</v>
      </c>
      <c r="U26" s="66">
        <f t="shared" si="8"/>
        <v>4</v>
      </c>
      <c r="V26" s="66">
        <f t="shared" si="9"/>
        <v>4</v>
      </c>
      <c r="W26" s="66">
        <f t="shared" si="10"/>
        <v>4</v>
      </c>
      <c r="X26" s="71">
        <f t="shared" si="11"/>
        <v>4</v>
      </c>
    </row>
    <row r="27" spans="2:24" x14ac:dyDescent="0.2">
      <c r="B27" s="68">
        <v>3.3</v>
      </c>
      <c r="C27" s="68" t="s">
        <v>366</v>
      </c>
      <c r="D27" s="68" t="s">
        <v>367</v>
      </c>
      <c r="E27" s="68" t="s">
        <v>372</v>
      </c>
      <c r="F27" s="68" t="s">
        <v>369</v>
      </c>
      <c r="G27" s="69">
        <f t="shared" si="0"/>
        <v>1</v>
      </c>
      <c r="H27" s="69">
        <f t="shared" si="1"/>
        <v>1</v>
      </c>
      <c r="I27" s="69">
        <f t="shared" si="2"/>
        <v>2</v>
      </c>
      <c r="J27" s="69">
        <f t="shared" si="3"/>
        <v>1</v>
      </c>
      <c r="K27" s="69">
        <f t="shared" si="4"/>
        <v>1</v>
      </c>
      <c r="L27" s="70">
        <f t="shared" si="5"/>
        <v>1</v>
      </c>
      <c r="N27" s="105">
        <v>3.4</v>
      </c>
      <c r="O27" s="68" t="s">
        <v>366</v>
      </c>
      <c r="P27" s="68" t="s">
        <v>367</v>
      </c>
      <c r="Q27" s="68" t="s">
        <v>372</v>
      </c>
      <c r="R27" s="68" t="s">
        <v>369</v>
      </c>
      <c r="S27" s="69">
        <f t="shared" si="6"/>
        <v>1</v>
      </c>
      <c r="T27" s="69">
        <f t="shared" si="7"/>
        <v>1</v>
      </c>
      <c r="U27" s="69">
        <f t="shared" si="8"/>
        <v>2</v>
      </c>
      <c r="V27" s="69">
        <f t="shared" si="9"/>
        <v>1</v>
      </c>
      <c r="W27" s="69">
        <f t="shared" si="10"/>
        <v>1</v>
      </c>
      <c r="X27" s="70">
        <f t="shared" si="11"/>
        <v>1</v>
      </c>
    </row>
    <row r="28" spans="2:24" x14ac:dyDescent="0.2">
      <c r="B28" s="65">
        <v>3.4</v>
      </c>
      <c r="C28" s="65" t="s">
        <v>366</v>
      </c>
      <c r="D28" s="65" t="s">
        <v>367</v>
      </c>
      <c r="E28" s="65" t="s">
        <v>372</v>
      </c>
      <c r="F28" s="65" t="s">
        <v>369</v>
      </c>
      <c r="G28" s="66">
        <f t="shared" si="0"/>
        <v>1</v>
      </c>
      <c r="H28" s="66">
        <f t="shared" si="1"/>
        <v>1</v>
      </c>
      <c r="I28" s="66">
        <f t="shared" si="2"/>
        <v>2</v>
      </c>
      <c r="J28" s="66">
        <f t="shared" si="3"/>
        <v>1</v>
      </c>
      <c r="K28" s="66">
        <f t="shared" si="4"/>
        <v>1</v>
      </c>
      <c r="L28" s="71">
        <f t="shared" si="5"/>
        <v>1</v>
      </c>
      <c r="N28" s="104">
        <v>3.5</v>
      </c>
      <c r="O28" s="65" t="s">
        <v>366</v>
      </c>
      <c r="P28" s="65" t="s">
        <v>367</v>
      </c>
      <c r="Q28" s="65" t="s">
        <v>372</v>
      </c>
      <c r="R28" s="65" t="s">
        <v>369</v>
      </c>
      <c r="S28" s="66">
        <f t="shared" si="6"/>
        <v>1</v>
      </c>
      <c r="T28" s="66">
        <f t="shared" si="7"/>
        <v>1</v>
      </c>
      <c r="U28" s="66">
        <f t="shared" si="8"/>
        <v>2</v>
      </c>
      <c r="V28" s="66">
        <f t="shared" si="9"/>
        <v>1</v>
      </c>
      <c r="W28" s="66">
        <f t="shared" si="10"/>
        <v>1</v>
      </c>
      <c r="X28" s="71">
        <f t="shared" si="11"/>
        <v>1</v>
      </c>
    </row>
    <row r="29" spans="2:24" x14ac:dyDescent="0.2">
      <c r="B29" s="68">
        <v>3.5</v>
      </c>
      <c r="C29" s="68" t="s">
        <v>366</v>
      </c>
      <c r="D29" s="68" t="s">
        <v>367</v>
      </c>
      <c r="E29" s="68" t="s">
        <v>368</v>
      </c>
      <c r="F29" s="68" t="s">
        <v>369</v>
      </c>
      <c r="G29" s="69">
        <f t="shared" si="0"/>
        <v>1</v>
      </c>
      <c r="H29" s="69">
        <f t="shared" si="1"/>
        <v>1</v>
      </c>
      <c r="I29" s="69">
        <f t="shared" si="2"/>
        <v>1</v>
      </c>
      <c r="J29" s="69">
        <f t="shared" si="3"/>
        <v>1</v>
      </c>
      <c r="K29" s="69">
        <f t="shared" si="4"/>
        <v>1</v>
      </c>
      <c r="L29" s="70">
        <f t="shared" si="5"/>
        <v>1</v>
      </c>
      <c r="N29" s="105">
        <v>3.6</v>
      </c>
      <c r="O29" s="68" t="s">
        <v>366</v>
      </c>
      <c r="P29" s="68" t="s">
        <v>367</v>
      </c>
      <c r="Q29" s="68" t="s">
        <v>368</v>
      </c>
      <c r="R29" s="68" t="s">
        <v>369</v>
      </c>
      <c r="S29" s="69">
        <f t="shared" si="6"/>
        <v>1</v>
      </c>
      <c r="T29" s="69">
        <f t="shared" si="7"/>
        <v>1</v>
      </c>
      <c r="U29" s="69">
        <f t="shared" si="8"/>
        <v>1</v>
      </c>
      <c r="V29" s="69">
        <f t="shared" si="9"/>
        <v>1</v>
      </c>
      <c r="W29" s="69">
        <f t="shared" si="10"/>
        <v>1</v>
      </c>
      <c r="X29" s="70">
        <f t="shared" si="11"/>
        <v>1</v>
      </c>
    </row>
    <row r="30" spans="2:24" x14ac:dyDescent="0.2">
      <c r="B30" s="65">
        <v>3.6</v>
      </c>
      <c r="C30" s="65" t="s">
        <v>382</v>
      </c>
      <c r="D30" s="65" t="s">
        <v>379</v>
      </c>
      <c r="E30" s="65" t="s">
        <v>380</v>
      </c>
      <c r="F30" s="65" t="s">
        <v>381</v>
      </c>
      <c r="G30" s="66">
        <f t="shared" si="0"/>
        <v>5</v>
      </c>
      <c r="H30" s="66">
        <f t="shared" si="1"/>
        <v>4</v>
      </c>
      <c r="I30" s="66">
        <f t="shared" si="2"/>
        <v>4</v>
      </c>
      <c r="J30" s="66">
        <f t="shared" si="3"/>
        <v>4</v>
      </c>
      <c r="K30" s="66">
        <f t="shared" si="4"/>
        <v>4</v>
      </c>
      <c r="L30" s="71">
        <f t="shared" si="5"/>
        <v>4</v>
      </c>
      <c r="N30" s="104">
        <v>3.7</v>
      </c>
      <c r="O30" s="65" t="s">
        <v>382</v>
      </c>
      <c r="P30" s="65" t="s">
        <v>379</v>
      </c>
      <c r="Q30" s="65" t="s">
        <v>380</v>
      </c>
      <c r="R30" s="65" t="s">
        <v>381</v>
      </c>
      <c r="S30" s="66">
        <f t="shared" si="6"/>
        <v>5</v>
      </c>
      <c r="T30" s="66">
        <f t="shared" si="7"/>
        <v>4</v>
      </c>
      <c r="U30" s="66">
        <f t="shared" si="8"/>
        <v>4</v>
      </c>
      <c r="V30" s="66">
        <f t="shared" si="9"/>
        <v>4</v>
      </c>
      <c r="W30" s="66">
        <f t="shared" si="10"/>
        <v>4</v>
      </c>
      <c r="X30" s="71">
        <f t="shared" si="11"/>
        <v>4</v>
      </c>
    </row>
    <row r="31" spans="2:24" x14ac:dyDescent="0.2">
      <c r="B31" s="68">
        <v>3.7</v>
      </c>
      <c r="C31" s="68" t="s">
        <v>378</v>
      </c>
      <c r="D31" s="68" t="s">
        <v>379</v>
      </c>
      <c r="E31" s="68" t="s">
        <v>384</v>
      </c>
      <c r="F31" s="68" t="s">
        <v>377</v>
      </c>
      <c r="G31" s="69">
        <f t="shared" si="0"/>
        <v>4</v>
      </c>
      <c r="H31" s="69">
        <f t="shared" si="1"/>
        <v>4</v>
      </c>
      <c r="I31" s="69">
        <f t="shared" si="2"/>
        <v>5</v>
      </c>
      <c r="J31" s="69">
        <f t="shared" si="3"/>
        <v>3</v>
      </c>
      <c r="K31" s="69">
        <f t="shared" si="4"/>
        <v>4</v>
      </c>
      <c r="L31" s="70">
        <f t="shared" si="5"/>
        <v>4</v>
      </c>
      <c r="N31" s="105">
        <v>3.8</v>
      </c>
      <c r="O31" s="68" t="s">
        <v>378</v>
      </c>
      <c r="P31" s="68" t="s">
        <v>379</v>
      </c>
      <c r="Q31" s="68" t="s">
        <v>384</v>
      </c>
      <c r="R31" s="68" t="s">
        <v>377</v>
      </c>
      <c r="S31" s="69">
        <f t="shared" si="6"/>
        <v>4</v>
      </c>
      <c r="T31" s="69">
        <f t="shared" si="7"/>
        <v>4</v>
      </c>
      <c r="U31" s="69">
        <f t="shared" si="8"/>
        <v>5</v>
      </c>
      <c r="V31" s="69">
        <f t="shared" si="9"/>
        <v>3</v>
      </c>
      <c r="W31" s="69">
        <f t="shared" si="10"/>
        <v>4</v>
      </c>
      <c r="X31" s="70">
        <f t="shared" si="11"/>
        <v>4</v>
      </c>
    </row>
    <row r="32" spans="2:24" x14ac:dyDescent="0.2">
      <c r="B32" s="65">
        <v>4.0999999999999996</v>
      </c>
      <c r="C32" s="65" t="s">
        <v>374</v>
      </c>
      <c r="D32" s="65" t="s">
        <v>379</v>
      </c>
      <c r="E32" s="65" t="s">
        <v>380</v>
      </c>
      <c r="F32" s="65" t="s">
        <v>385</v>
      </c>
      <c r="G32" s="66">
        <f t="shared" si="0"/>
        <v>3</v>
      </c>
      <c r="H32" s="66">
        <f t="shared" si="1"/>
        <v>4</v>
      </c>
      <c r="I32" s="66">
        <f t="shared" si="2"/>
        <v>4</v>
      </c>
      <c r="J32" s="66">
        <f t="shared" si="3"/>
        <v>5</v>
      </c>
      <c r="K32" s="66">
        <f t="shared" si="4"/>
        <v>4</v>
      </c>
      <c r="L32" s="71">
        <f t="shared" si="5"/>
        <v>4</v>
      </c>
      <c r="N32" s="104">
        <v>3.9</v>
      </c>
      <c r="O32" s="65" t="s">
        <v>374</v>
      </c>
      <c r="P32" s="65" t="s">
        <v>379</v>
      </c>
      <c r="Q32" s="65" t="s">
        <v>380</v>
      </c>
      <c r="R32" s="65" t="s">
        <v>385</v>
      </c>
      <c r="S32" s="66">
        <f t="shared" si="6"/>
        <v>3</v>
      </c>
      <c r="T32" s="66">
        <f t="shared" si="7"/>
        <v>4</v>
      </c>
      <c r="U32" s="66">
        <f t="shared" si="8"/>
        <v>4</v>
      </c>
      <c r="V32" s="66">
        <f t="shared" si="9"/>
        <v>5</v>
      </c>
      <c r="W32" s="66">
        <f t="shared" si="10"/>
        <v>4</v>
      </c>
      <c r="X32" s="71">
        <f t="shared" si="11"/>
        <v>4</v>
      </c>
    </row>
    <row r="33" spans="2:24" x14ac:dyDescent="0.2">
      <c r="B33" s="68">
        <v>4.2</v>
      </c>
      <c r="C33" s="68" t="s">
        <v>378</v>
      </c>
      <c r="D33" s="68" t="s">
        <v>383</v>
      </c>
      <c r="E33" s="68" t="s">
        <v>380</v>
      </c>
      <c r="F33" s="68" t="s">
        <v>385</v>
      </c>
      <c r="G33" s="69">
        <f t="shared" si="0"/>
        <v>4</v>
      </c>
      <c r="H33" s="69">
        <f t="shared" si="1"/>
        <v>5</v>
      </c>
      <c r="I33" s="69">
        <f t="shared" si="2"/>
        <v>4</v>
      </c>
      <c r="J33" s="69">
        <f t="shared" si="3"/>
        <v>5</v>
      </c>
      <c r="K33" s="69">
        <f t="shared" si="4"/>
        <v>5</v>
      </c>
      <c r="L33" s="70">
        <f t="shared" si="5"/>
        <v>5</v>
      </c>
      <c r="N33" s="106">
        <v>3.1</v>
      </c>
      <c r="O33" s="68" t="s">
        <v>378</v>
      </c>
      <c r="P33" s="68" t="s">
        <v>383</v>
      </c>
      <c r="Q33" s="68" t="s">
        <v>380</v>
      </c>
      <c r="R33" s="68" t="s">
        <v>385</v>
      </c>
      <c r="S33" s="69">
        <f t="shared" si="6"/>
        <v>4</v>
      </c>
      <c r="T33" s="69">
        <f t="shared" si="7"/>
        <v>5</v>
      </c>
      <c r="U33" s="69">
        <f t="shared" si="8"/>
        <v>4</v>
      </c>
      <c r="V33" s="69">
        <f t="shared" si="9"/>
        <v>5</v>
      </c>
      <c r="W33" s="69">
        <f t="shared" si="10"/>
        <v>5</v>
      </c>
      <c r="X33" s="70">
        <f t="shared" si="11"/>
        <v>5</v>
      </c>
    </row>
    <row r="34" spans="2:24" x14ac:dyDescent="0.2">
      <c r="B34" s="65">
        <v>4.3</v>
      </c>
      <c r="C34" s="65" t="s">
        <v>378</v>
      </c>
      <c r="D34" s="65" t="s">
        <v>383</v>
      </c>
      <c r="E34" s="65" t="s">
        <v>384</v>
      </c>
      <c r="F34" s="65" t="s">
        <v>385</v>
      </c>
      <c r="G34" s="66">
        <f t="shared" si="0"/>
        <v>4</v>
      </c>
      <c r="H34" s="66">
        <f t="shared" si="1"/>
        <v>5</v>
      </c>
      <c r="I34" s="66">
        <f t="shared" si="2"/>
        <v>5</v>
      </c>
      <c r="J34" s="66">
        <f t="shared" si="3"/>
        <v>5</v>
      </c>
      <c r="K34" s="66">
        <f t="shared" si="4"/>
        <v>5</v>
      </c>
      <c r="L34" s="71">
        <f t="shared" si="5"/>
        <v>5</v>
      </c>
      <c r="N34" s="104">
        <v>3.11</v>
      </c>
      <c r="O34" s="65" t="s">
        <v>378</v>
      </c>
      <c r="P34" s="65" t="s">
        <v>383</v>
      </c>
      <c r="Q34" s="65" t="s">
        <v>384</v>
      </c>
      <c r="R34" s="65" t="s">
        <v>385</v>
      </c>
      <c r="S34" s="66">
        <f t="shared" si="6"/>
        <v>4</v>
      </c>
      <c r="T34" s="66">
        <f t="shared" si="7"/>
        <v>5</v>
      </c>
      <c r="U34" s="66">
        <f t="shared" si="8"/>
        <v>5</v>
      </c>
      <c r="V34" s="66">
        <f t="shared" si="9"/>
        <v>5</v>
      </c>
      <c r="W34" s="66">
        <f t="shared" si="10"/>
        <v>5</v>
      </c>
      <c r="X34" s="71">
        <f t="shared" si="11"/>
        <v>5</v>
      </c>
    </row>
    <row r="35" spans="2:24" x14ac:dyDescent="0.2">
      <c r="B35" s="68">
        <v>4.4000000000000004</v>
      </c>
      <c r="C35" s="68" t="s">
        <v>382</v>
      </c>
      <c r="D35" s="68" t="s">
        <v>379</v>
      </c>
      <c r="E35" s="68" t="s">
        <v>384</v>
      </c>
      <c r="F35" s="68" t="s">
        <v>381</v>
      </c>
      <c r="G35" s="69">
        <f t="shared" si="0"/>
        <v>5</v>
      </c>
      <c r="H35" s="69">
        <f t="shared" si="1"/>
        <v>4</v>
      </c>
      <c r="I35" s="69">
        <f t="shared" si="2"/>
        <v>5</v>
      </c>
      <c r="J35" s="69">
        <f t="shared" si="3"/>
        <v>4</v>
      </c>
      <c r="K35" s="69">
        <f t="shared" si="4"/>
        <v>5</v>
      </c>
      <c r="L35" s="70">
        <f t="shared" si="5"/>
        <v>5</v>
      </c>
      <c r="N35" s="105">
        <v>3.12</v>
      </c>
      <c r="O35" s="68" t="s">
        <v>382</v>
      </c>
      <c r="P35" s="68" t="s">
        <v>379</v>
      </c>
      <c r="Q35" s="68" t="s">
        <v>384</v>
      </c>
      <c r="R35" s="68" t="s">
        <v>381</v>
      </c>
      <c r="S35" s="69">
        <f t="shared" si="6"/>
        <v>5</v>
      </c>
      <c r="T35" s="69">
        <f t="shared" si="7"/>
        <v>4</v>
      </c>
      <c r="U35" s="69">
        <f t="shared" si="8"/>
        <v>5</v>
      </c>
      <c r="V35" s="69">
        <f t="shared" si="9"/>
        <v>4</v>
      </c>
      <c r="W35" s="69">
        <f t="shared" si="10"/>
        <v>5</v>
      </c>
      <c r="X35" s="70">
        <f t="shared" si="11"/>
        <v>5</v>
      </c>
    </row>
    <row r="36" spans="2:24" ht="25.5" x14ac:dyDescent="0.2">
      <c r="B36" s="65">
        <v>4.5</v>
      </c>
      <c r="C36" s="65" t="s">
        <v>387</v>
      </c>
      <c r="D36" s="65" t="s">
        <v>387</v>
      </c>
      <c r="E36" s="65" t="s">
        <v>387</v>
      </c>
      <c r="F36" s="65" t="s">
        <v>387</v>
      </c>
      <c r="G36" s="66" t="str">
        <f t="shared" si="0"/>
        <v>Unknown - Unscored</v>
      </c>
      <c r="H36" s="66" t="str">
        <f t="shared" si="1"/>
        <v>Unknown - Unscored</v>
      </c>
      <c r="I36" s="66" t="str">
        <f t="shared" si="2"/>
        <v>Unknown - Unscored</v>
      </c>
      <c r="J36" s="66" t="str">
        <f t="shared" si="3"/>
        <v>Unknown - Unscored</v>
      </c>
      <c r="K36" s="66" t="e">
        <f t="shared" si="4"/>
        <v>#DIV/0!</v>
      </c>
      <c r="L36" s="71" t="e">
        <f t="shared" si="5"/>
        <v>#DIV/0!</v>
      </c>
      <c r="N36" s="104">
        <v>4.0999999999999996</v>
      </c>
      <c r="O36" s="65" t="s">
        <v>387</v>
      </c>
      <c r="P36" s="65" t="s">
        <v>387</v>
      </c>
      <c r="Q36" s="65" t="s">
        <v>387</v>
      </c>
      <c r="R36" s="65" t="s">
        <v>387</v>
      </c>
      <c r="S36" s="66" t="str">
        <f t="shared" si="6"/>
        <v>Unknown - Unscored</v>
      </c>
      <c r="T36" s="66" t="str">
        <f t="shared" si="7"/>
        <v>Unknown - Unscored</v>
      </c>
      <c r="U36" s="66" t="str">
        <f t="shared" si="8"/>
        <v>Unknown - Unscored</v>
      </c>
      <c r="V36" s="66" t="str">
        <f t="shared" si="9"/>
        <v>Unknown - Unscored</v>
      </c>
      <c r="W36" s="66" t="e">
        <f t="shared" si="10"/>
        <v>#DIV/0!</v>
      </c>
      <c r="X36" s="71" t="e">
        <f t="shared" si="11"/>
        <v>#DIV/0!</v>
      </c>
    </row>
    <row r="37" spans="2:24" ht="25.5" x14ac:dyDescent="0.2">
      <c r="B37" s="68">
        <v>4.5999999999999996</v>
      </c>
      <c r="C37" s="68" t="s">
        <v>387</v>
      </c>
      <c r="D37" s="68" t="s">
        <v>387</v>
      </c>
      <c r="E37" s="68" t="s">
        <v>387</v>
      </c>
      <c r="F37" s="68" t="s">
        <v>387</v>
      </c>
      <c r="G37" s="69" t="str">
        <f t="shared" si="0"/>
        <v>Unknown - Unscored</v>
      </c>
      <c r="H37" s="69" t="str">
        <f t="shared" si="1"/>
        <v>Unknown - Unscored</v>
      </c>
      <c r="I37" s="69" t="str">
        <f t="shared" si="2"/>
        <v>Unknown - Unscored</v>
      </c>
      <c r="J37" s="69" t="str">
        <f t="shared" si="3"/>
        <v>Unknown - Unscored</v>
      </c>
      <c r="K37" s="69" t="e">
        <f t="shared" si="4"/>
        <v>#DIV/0!</v>
      </c>
      <c r="L37" s="70" t="e">
        <f t="shared" si="5"/>
        <v>#DIV/0!</v>
      </c>
      <c r="N37" s="105">
        <v>4.2</v>
      </c>
      <c r="O37" s="68" t="s">
        <v>387</v>
      </c>
      <c r="P37" s="68" t="s">
        <v>387</v>
      </c>
      <c r="Q37" s="68" t="s">
        <v>387</v>
      </c>
      <c r="R37" s="68" t="s">
        <v>387</v>
      </c>
      <c r="S37" s="69" t="str">
        <f t="shared" si="6"/>
        <v>Unknown - Unscored</v>
      </c>
      <c r="T37" s="69" t="str">
        <f t="shared" si="7"/>
        <v>Unknown - Unscored</v>
      </c>
      <c r="U37" s="69" t="str">
        <f t="shared" si="8"/>
        <v>Unknown - Unscored</v>
      </c>
      <c r="V37" s="69" t="str">
        <f t="shared" si="9"/>
        <v>Unknown - Unscored</v>
      </c>
      <c r="W37" s="69" t="e">
        <f t="shared" si="10"/>
        <v>#DIV/0!</v>
      </c>
      <c r="X37" s="70" t="e">
        <f t="shared" si="11"/>
        <v>#DIV/0!</v>
      </c>
    </row>
    <row r="38" spans="2:24" ht="25.5" x14ac:dyDescent="0.2">
      <c r="B38" s="65">
        <v>4.7</v>
      </c>
      <c r="C38" s="65" t="s">
        <v>387</v>
      </c>
      <c r="D38" s="65" t="s">
        <v>387</v>
      </c>
      <c r="E38" s="65" t="s">
        <v>387</v>
      </c>
      <c r="F38" s="65" t="s">
        <v>387</v>
      </c>
      <c r="G38" s="66" t="str">
        <f t="shared" si="0"/>
        <v>Unknown - Unscored</v>
      </c>
      <c r="H38" s="66" t="str">
        <f t="shared" si="1"/>
        <v>Unknown - Unscored</v>
      </c>
      <c r="I38" s="66" t="str">
        <f t="shared" si="2"/>
        <v>Unknown - Unscored</v>
      </c>
      <c r="J38" s="66" t="str">
        <f t="shared" si="3"/>
        <v>Unknown - Unscored</v>
      </c>
      <c r="K38" s="66" t="e">
        <f t="shared" si="4"/>
        <v>#DIV/0!</v>
      </c>
      <c r="L38" s="71" t="e">
        <f t="shared" si="5"/>
        <v>#DIV/0!</v>
      </c>
      <c r="N38" s="104">
        <v>4.3</v>
      </c>
      <c r="O38" s="65" t="s">
        <v>387</v>
      </c>
      <c r="P38" s="65" t="s">
        <v>387</v>
      </c>
      <c r="Q38" s="65" t="s">
        <v>387</v>
      </c>
      <c r="R38" s="65" t="s">
        <v>387</v>
      </c>
      <c r="S38" s="66" t="str">
        <f t="shared" si="6"/>
        <v>Unknown - Unscored</v>
      </c>
      <c r="T38" s="66" t="str">
        <f t="shared" si="7"/>
        <v>Unknown - Unscored</v>
      </c>
      <c r="U38" s="66" t="str">
        <f t="shared" si="8"/>
        <v>Unknown - Unscored</v>
      </c>
      <c r="V38" s="66" t="str">
        <f t="shared" si="9"/>
        <v>Unknown - Unscored</v>
      </c>
      <c r="W38" s="66" t="e">
        <f t="shared" si="10"/>
        <v>#DIV/0!</v>
      </c>
      <c r="X38" s="71" t="e">
        <f t="shared" si="11"/>
        <v>#DIV/0!</v>
      </c>
    </row>
    <row r="39" spans="2:24" ht="25.5" x14ac:dyDescent="0.2">
      <c r="B39" s="68">
        <v>4.8</v>
      </c>
      <c r="C39" s="68" t="s">
        <v>387</v>
      </c>
      <c r="D39" s="68" t="s">
        <v>387</v>
      </c>
      <c r="E39" s="68" t="s">
        <v>387</v>
      </c>
      <c r="F39" s="68" t="s">
        <v>387</v>
      </c>
      <c r="G39" s="69" t="str">
        <f t="shared" si="0"/>
        <v>Unknown - Unscored</v>
      </c>
      <c r="H39" s="69" t="str">
        <f t="shared" si="1"/>
        <v>Unknown - Unscored</v>
      </c>
      <c r="I39" s="69" t="str">
        <f t="shared" si="2"/>
        <v>Unknown - Unscored</v>
      </c>
      <c r="J39" s="69" t="str">
        <f t="shared" si="3"/>
        <v>Unknown - Unscored</v>
      </c>
      <c r="K39" s="69" t="e">
        <f t="shared" si="4"/>
        <v>#DIV/0!</v>
      </c>
      <c r="L39" s="70" t="e">
        <f t="shared" si="5"/>
        <v>#DIV/0!</v>
      </c>
      <c r="N39" s="105">
        <v>4.4000000000000004</v>
      </c>
      <c r="O39" s="68" t="s">
        <v>387</v>
      </c>
      <c r="P39" s="68" t="s">
        <v>387</v>
      </c>
      <c r="Q39" s="68" t="s">
        <v>387</v>
      </c>
      <c r="R39" s="68" t="s">
        <v>387</v>
      </c>
      <c r="S39" s="69" t="str">
        <f t="shared" si="6"/>
        <v>Unknown - Unscored</v>
      </c>
      <c r="T39" s="69" t="str">
        <f t="shared" si="7"/>
        <v>Unknown - Unscored</v>
      </c>
      <c r="U39" s="69" t="str">
        <f t="shared" si="8"/>
        <v>Unknown - Unscored</v>
      </c>
      <c r="V39" s="69" t="str">
        <f t="shared" si="9"/>
        <v>Unknown - Unscored</v>
      </c>
      <c r="W39" s="69" t="e">
        <f t="shared" si="10"/>
        <v>#DIV/0!</v>
      </c>
      <c r="X39" s="70" t="e">
        <f t="shared" si="11"/>
        <v>#DIV/0!</v>
      </c>
    </row>
    <row r="40" spans="2:24" ht="25.5" x14ac:dyDescent="0.2">
      <c r="B40" s="65">
        <v>4.9000000000000004</v>
      </c>
      <c r="C40" s="65" t="s">
        <v>387</v>
      </c>
      <c r="D40" s="65" t="s">
        <v>387</v>
      </c>
      <c r="E40" s="65" t="s">
        <v>387</v>
      </c>
      <c r="F40" s="65" t="s">
        <v>387</v>
      </c>
      <c r="G40" s="66" t="str">
        <f t="shared" si="0"/>
        <v>Unknown - Unscored</v>
      </c>
      <c r="H40" s="66" t="str">
        <f t="shared" si="1"/>
        <v>Unknown - Unscored</v>
      </c>
      <c r="I40" s="66" t="str">
        <f t="shared" si="2"/>
        <v>Unknown - Unscored</v>
      </c>
      <c r="J40" s="66" t="str">
        <f t="shared" si="3"/>
        <v>Unknown - Unscored</v>
      </c>
      <c r="K40" s="66" t="e">
        <f t="shared" si="4"/>
        <v>#DIV/0!</v>
      </c>
      <c r="L40" s="71" t="e">
        <f t="shared" si="5"/>
        <v>#DIV/0!</v>
      </c>
      <c r="N40" s="104">
        <v>4.5</v>
      </c>
      <c r="O40" s="65" t="s">
        <v>387</v>
      </c>
      <c r="P40" s="65" t="s">
        <v>387</v>
      </c>
      <c r="Q40" s="65" t="s">
        <v>387</v>
      </c>
      <c r="R40" s="65" t="s">
        <v>387</v>
      </c>
      <c r="S40" s="66" t="str">
        <f t="shared" si="6"/>
        <v>Unknown - Unscored</v>
      </c>
      <c r="T40" s="66" t="str">
        <f t="shared" si="7"/>
        <v>Unknown - Unscored</v>
      </c>
      <c r="U40" s="66" t="str">
        <f t="shared" si="8"/>
        <v>Unknown - Unscored</v>
      </c>
      <c r="V40" s="66" t="str">
        <f t="shared" si="9"/>
        <v>Unknown - Unscored</v>
      </c>
      <c r="W40" s="66" t="e">
        <f t="shared" si="10"/>
        <v>#DIV/0!</v>
      </c>
      <c r="X40" s="71" t="e">
        <f t="shared" si="11"/>
        <v>#DIV/0!</v>
      </c>
    </row>
    <row r="41" spans="2:24" x14ac:dyDescent="0.2">
      <c r="B41" s="68">
        <v>5.0999999999999996</v>
      </c>
      <c r="C41" s="68" t="s">
        <v>382</v>
      </c>
      <c r="D41" s="68" t="s">
        <v>383</v>
      </c>
      <c r="E41" s="68" t="s">
        <v>384</v>
      </c>
      <c r="F41" s="68" t="s">
        <v>385</v>
      </c>
      <c r="G41" s="69">
        <f t="shared" si="0"/>
        <v>5</v>
      </c>
      <c r="H41" s="69">
        <f t="shared" si="1"/>
        <v>5</v>
      </c>
      <c r="I41" s="69">
        <f t="shared" si="2"/>
        <v>5</v>
      </c>
      <c r="J41" s="69">
        <f t="shared" si="3"/>
        <v>5</v>
      </c>
      <c r="K41" s="69">
        <f t="shared" si="4"/>
        <v>5</v>
      </c>
      <c r="L41" s="70">
        <f t="shared" si="5"/>
        <v>5</v>
      </c>
      <c r="N41" s="105">
        <v>4.5999999999999996</v>
      </c>
      <c r="O41" s="68" t="s">
        <v>382</v>
      </c>
      <c r="P41" s="68" t="s">
        <v>383</v>
      </c>
      <c r="Q41" s="68" t="s">
        <v>384</v>
      </c>
      <c r="R41" s="68" t="s">
        <v>385</v>
      </c>
      <c r="S41" s="69">
        <f t="shared" si="6"/>
        <v>5</v>
      </c>
      <c r="T41" s="69">
        <f t="shared" si="7"/>
        <v>5</v>
      </c>
      <c r="U41" s="69">
        <f t="shared" si="8"/>
        <v>5</v>
      </c>
      <c r="V41" s="69">
        <f t="shared" si="9"/>
        <v>5</v>
      </c>
      <c r="W41" s="69">
        <f t="shared" si="10"/>
        <v>5</v>
      </c>
      <c r="X41" s="70">
        <f t="shared" si="11"/>
        <v>5</v>
      </c>
    </row>
    <row r="42" spans="2:24" x14ac:dyDescent="0.2">
      <c r="B42" s="65">
        <v>5.2</v>
      </c>
      <c r="C42" s="65" t="s">
        <v>382</v>
      </c>
      <c r="D42" s="65" t="s">
        <v>383</v>
      </c>
      <c r="E42" s="65" t="s">
        <v>384</v>
      </c>
      <c r="F42" s="65" t="s">
        <v>385</v>
      </c>
      <c r="G42" s="66">
        <f t="shared" si="0"/>
        <v>5</v>
      </c>
      <c r="H42" s="66">
        <f t="shared" si="1"/>
        <v>5</v>
      </c>
      <c r="I42" s="66">
        <f t="shared" si="2"/>
        <v>5</v>
      </c>
      <c r="J42" s="66">
        <f t="shared" si="3"/>
        <v>5</v>
      </c>
      <c r="K42" s="66">
        <f t="shared" si="4"/>
        <v>5</v>
      </c>
      <c r="L42" s="71">
        <f t="shared" si="5"/>
        <v>5</v>
      </c>
      <c r="N42" s="104">
        <v>4.7</v>
      </c>
      <c r="O42" s="65" t="s">
        <v>382</v>
      </c>
      <c r="P42" s="65" t="s">
        <v>383</v>
      </c>
      <c r="Q42" s="65" t="s">
        <v>384</v>
      </c>
      <c r="R42" s="65" t="s">
        <v>385</v>
      </c>
      <c r="S42" s="66">
        <f t="shared" si="6"/>
        <v>5</v>
      </c>
      <c r="T42" s="66">
        <f t="shared" si="7"/>
        <v>5</v>
      </c>
      <c r="U42" s="66">
        <f t="shared" si="8"/>
        <v>5</v>
      </c>
      <c r="V42" s="66">
        <f t="shared" si="9"/>
        <v>5</v>
      </c>
      <c r="W42" s="66">
        <f t="shared" si="10"/>
        <v>5</v>
      </c>
      <c r="X42" s="71">
        <f t="shared" si="11"/>
        <v>5</v>
      </c>
    </row>
    <row r="43" spans="2:24" x14ac:dyDescent="0.2">
      <c r="B43" s="73">
        <v>5.3</v>
      </c>
      <c r="C43" s="68" t="s">
        <v>382</v>
      </c>
      <c r="D43" s="68" t="s">
        <v>383</v>
      </c>
      <c r="E43" s="68" t="s">
        <v>384</v>
      </c>
      <c r="F43" s="68" t="s">
        <v>385</v>
      </c>
      <c r="G43" s="69">
        <f t="shared" si="0"/>
        <v>5</v>
      </c>
      <c r="H43" s="69">
        <f t="shared" si="1"/>
        <v>5</v>
      </c>
      <c r="I43" s="69">
        <f t="shared" si="2"/>
        <v>5</v>
      </c>
      <c r="J43" s="69">
        <f t="shared" si="3"/>
        <v>5</v>
      </c>
      <c r="K43" s="69">
        <f t="shared" si="4"/>
        <v>5</v>
      </c>
      <c r="L43" s="70">
        <f t="shared" si="5"/>
        <v>5</v>
      </c>
      <c r="N43" s="105">
        <v>4.8</v>
      </c>
      <c r="O43" s="68" t="s">
        <v>382</v>
      </c>
      <c r="P43" s="68" t="s">
        <v>383</v>
      </c>
      <c r="Q43" s="68" t="s">
        <v>384</v>
      </c>
      <c r="R43" s="68" t="s">
        <v>385</v>
      </c>
      <c r="S43" s="69">
        <f t="shared" si="6"/>
        <v>5</v>
      </c>
      <c r="T43" s="69">
        <f t="shared" si="7"/>
        <v>5</v>
      </c>
      <c r="U43" s="69">
        <f t="shared" si="8"/>
        <v>5</v>
      </c>
      <c r="V43" s="69">
        <f t="shared" si="9"/>
        <v>5</v>
      </c>
      <c r="W43" s="69">
        <f t="shared" si="10"/>
        <v>5</v>
      </c>
      <c r="X43" s="70">
        <f t="shared" si="11"/>
        <v>5</v>
      </c>
    </row>
    <row r="44" spans="2:24" ht="25.5" x14ac:dyDescent="0.2">
      <c r="B44" s="65">
        <v>5.4</v>
      </c>
      <c r="C44" s="65" t="s">
        <v>387</v>
      </c>
      <c r="D44" s="65" t="s">
        <v>387</v>
      </c>
      <c r="E44" s="65" t="s">
        <v>387</v>
      </c>
      <c r="F44" s="65" t="s">
        <v>387</v>
      </c>
      <c r="G44" s="66" t="str">
        <f t="shared" si="0"/>
        <v>Unknown - Unscored</v>
      </c>
      <c r="H44" s="66" t="str">
        <f t="shared" si="1"/>
        <v>Unknown - Unscored</v>
      </c>
      <c r="I44" s="66" t="str">
        <f t="shared" si="2"/>
        <v>Unknown - Unscored</v>
      </c>
      <c r="J44" s="66" t="str">
        <f t="shared" si="3"/>
        <v>Unknown - Unscored</v>
      </c>
      <c r="K44" s="66" t="e">
        <f t="shared" si="4"/>
        <v>#DIV/0!</v>
      </c>
      <c r="L44" s="71" t="e">
        <f t="shared" si="5"/>
        <v>#DIV/0!</v>
      </c>
      <c r="N44" s="104">
        <v>4.9000000000000004</v>
      </c>
      <c r="O44" s="65" t="s">
        <v>387</v>
      </c>
      <c r="P44" s="65" t="s">
        <v>387</v>
      </c>
      <c r="Q44" s="65" t="s">
        <v>387</v>
      </c>
      <c r="R44" s="65" t="s">
        <v>387</v>
      </c>
      <c r="S44" s="66" t="str">
        <f t="shared" si="6"/>
        <v>Unknown - Unscored</v>
      </c>
      <c r="T44" s="66" t="str">
        <f t="shared" si="7"/>
        <v>Unknown - Unscored</v>
      </c>
      <c r="U44" s="66" t="str">
        <f t="shared" si="8"/>
        <v>Unknown - Unscored</v>
      </c>
      <c r="V44" s="66" t="str">
        <f t="shared" si="9"/>
        <v>Unknown - Unscored</v>
      </c>
      <c r="W44" s="66" t="e">
        <f t="shared" si="10"/>
        <v>#DIV/0!</v>
      </c>
      <c r="X44" s="71" t="e">
        <f t="shared" si="11"/>
        <v>#DIV/0!</v>
      </c>
    </row>
    <row r="45" spans="2:24" ht="25.5" x14ac:dyDescent="0.2">
      <c r="B45" s="68">
        <v>5.5</v>
      </c>
      <c r="C45" s="68" t="s">
        <v>387</v>
      </c>
      <c r="D45" s="68" t="s">
        <v>387</v>
      </c>
      <c r="E45" s="68" t="s">
        <v>387</v>
      </c>
      <c r="F45" s="68" t="s">
        <v>387</v>
      </c>
      <c r="G45" s="69" t="str">
        <f t="shared" si="0"/>
        <v>Unknown - Unscored</v>
      </c>
      <c r="H45" s="69" t="str">
        <f t="shared" si="1"/>
        <v>Unknown - Unscored</v>
      </c>
      <c r="I45" s="69" t="str">
        <f t="shared" si="2"/>
        <v>Unknown - Unscored</v>
      </c>
      <c r="J45" s="69" t="str">
        <f t="shared" si="3"/>
        <v>Unknown - Unscored</v>
      </c>
      <c r="K45" s="69" t="e">
        <f t="shared" si="4"/>
        <v>#DIV/0!</v>
      </c>
      <c r="L45" s="70" t="e">
        <f t="shared" si="5"/>
        <v>#DIV/0!</v>
      </c>
      <c r="N45" s="106">
        <v>4.0999999999999996</v>
      </c>
      <c r="O45" s="68" t="s">
        <v>387</v>
      </c>
      <c r="P45" s="68" t="s">
        <v>387</v>
      </c>
      <c r="Q45" s="68" t="s">
        <v>387</v>
      </c>
      <c r="R45" s="68" t="s">
        <v>387</v>
      </c>
      <c r="S45" s="69" t="str">
        <f t="shared" si="6"/>
        <v>Unknown - Unscored</v>
      </c>
      <c r="T45" s="69" t="str">
        <f t="shared" si="7"/>
        <v>Unknown - Unscored</v>
      </c>
      <c r="U45" s="69" t="str">
        <f t="shared" si="8"/>
        <v>Unknown - Unscored</v>
      </c>
      <c r="V45" s="69" t="str">
        <f t="shared" si="9"/>
        <v>Unknown - Unscored</v>
      </c>
      <c r="W45" s="69" t="e">
        <f t="shared" si="10"/>
        <v>#DIV/0!</v>
      </c>
      <c r="X45" s="70" t="e">
        <f t="shared" si="11"/>
        <v>#DIV/0!</v>
      </c>
    </row>
    <row r="46" spans="2:24" x14ac:dyDescent="0.2">
      <c r="B46" s="65">
        <v>6.1</v>
      </c>
      <c r="C46" s="65" t="s">
        <v>382</v>
      </c>
      <c r="D46" s="65" t="s">
        <v>383</v>
      </c>
      <c r="E46" s="65" t="s">
        <v>384</v>
      </c>
      <c r="F46" s="65" t="s">
        <v>385</v>
      </c>
      <c r="G46" s="66">
        <f t="shared" si="0"/>
        <v>5</v>
      </c>
      <c r="H46" s="66">
        <f t="shared" si="1"/>
        <v>5</v>
      </c>
      <c r="I46" s="66">
        <f t="shared" si="2"/>
        <v>5</v>
      </c>
      <c r="J46" s="66">
        <f t="shared" si="3"/>
        <v>5</v>
      </c>
      <c r="K46" s="66">
        <f t="shared" si="4"/>
        <v>5</v>
      </c>
      <c r="L46" s="71">
        <f t="shared" si="5"/>
        <v>5</v>
      </c>
      <c r="N46" s="104">
        <v>4.1100000000000003</v>
      </c>
      <c r="O46" s="65" t="s">
        <v>382</v>
      </c>
      <c r="P46" s="65" t="s">
        <v>383</v>
      </c>
      <c r="Q46" s="65" t="s">
        <v>384</v>
      </c>
      <c r="R46" s="65" t="s">
        <v>385</v>
      </c>
      <c r="S46" s="66">
        <f t="shared" si="6"/>
        <v>5</v>
      </c>
      <c r="T46" s="66">
        <f t="shared" si="7"/>
        <v>5</v>
      </c>
      <c r="U46" s="66">
        <f t="shared" si="8"/>
        <v>5</v>
      </c>
      <c r="V46" s="66">
        <f t="shared" si="9"/>
        <v>5</v>
      </c>
      <c r="W46" s="66">
        <f t="shared" si="10"/>
        <v>5</v>
      </c>
      <c r="X46" s="71">
        <f t="shared" si="11"/>
        <v>5</v>
      </c>
    </row>
    <row r="47" spans="2:24" x14ac:dyDescent="0.2">
      <c r="B47" s="68">
        <v>6.2</v>
      </c>
      <c r="C47" s="68" t="s">
        <v>382</v>
      </c>
      <c r="D47" s="68" t="s">
        <v>383</v>
      </c>
      <c r="E47" s="68" t="s">
        <v>384</v>
      </c>
      <c r="F47" s="68" t="s">
        <v>385</v>
      </c>
      <c r="G47" s="69">
        <f t="shared" si="0"/>
        <v>5</v>
      </c>
      <c r="H47" s="69">
        <f t="shared" si="1"/>
        <v>5</v>
      </c>
      <c r="I47" s="69">
        <f t="shared" si="2"/>
        <v>5</v>
      </c>
      <c r="J47" s="69">
        <f t="shared" si="3"/>
        <v>5</v>
      </c>
      <c r="K47" s="69">
        <f t="shared" si="4"/>
        <v>5</v>
      </c>
      <c r="L47" s="70">
        <f t="shared" si="5"/>
        <v>5</v>
      </c>
      <c r="N47" s="105">
        <v>5.0999999999999996</v>
      </c>
      <c r="O47" s="68" t="s">
        <v>382</v>
      </c>
      <c r="P47" s="68" t="s">
        <v>383</v>
      </c>
      <c r="Q47" s="68" t="s">
        <v>384</v>
      </c>
      <c r="R47" s="68" t="s">
        <v>385</v>
      </c>
      <c r="S47" s="69">
        <f t="shared" si="6"/>
        <v>5</v>
      </c>
      <c r="T47" s="69">
        <f t="shared" si="7"/>
        <v>5</v>
      </c>
      <c r="U47" s="69">
        <f t="shared" si="8"/>
        <v>5</v>
      </c>
      <c r="V47" s="69">
        <f t="shared" si="9"/>
        <v>5</v>
      </c>
      <c r="W47" s="69">
        <f t="shared" si="10"/>
        <v>5</v>
      </c>
      <c r="X47" s="70">
        <f t="shared" si="11"/>
        <v>5</v>
      </c>
    </row>
    <row r="48" spans="2:24" ht="25.5" x14ac:dyDescent="0.2">
      <c r="B48" s="65">
        <v>6.3</v>
      </c>
      <c r="C48" s="65" t="s">
        <v>387</v>
      </c>
      <c r="D48" s="65" t="s">
        <v>387</v>
      </c>
      <c r="E48" s="65" t="s">
        <v>387</v>
      </c>
      <c r="F48" s="65" t="s">
        <v>387</v>
      </c>
      <c r="G48" s="66" t="str">
        <f t="shared" si="0"/>
        <v>Unknown - Unscored</v>
      </c>
      <c r="H48" s="66" t="str">
        <f t="shared" si="1"/>
        <v>Unknown - Unscored</v>
      </c>
      <c r="I48" s="66" t="str">
        <f t="shared" si="2"/>
        <v>Unknown - Unscored</v>
      </c>
      <c r="J48" s="66" t="str">
        <f t="shared" si="3"/>
        <v>Unknown - Unscored</v>
      </c>
      <c r="K48" s="66" t="e">
        <f t="shared" si="4"/>
        <v>#DIV/0!</v>
      </c>
      <c r="L48" s="71" t="e">
        <f t="shared" si="5"/>
        <v>#DIV/0!</v>
      </c>
      <c r="N48" s="104">
        <v>5.2</v>
      </c>
      <c r="O48" s="65" t="s">
        <v>387</v>
      </c>
      <c r="P48" s="65" t="s">
        <v>387</v>
      </c>
      <c r="Q48" s="65" t="s">
        <v>387</v>
      </c>
      <c r="R48" s="65" t="s">
        <v>387</v>
      </c>
      <c r="S48" s="66" t="str">
        <f t="shared" si="6"/>
        <v>Unknown - Unscored</v>
      </c>
      <c r="T48" s="66" t="str">
        <f t="shared" si="7"/>
        <v>Unknown - Unscored</v>
      </c>
      <c r="U48" s="66" t="str">
        <f t="shared" si="8"/>
        <v>Unknown - Unscored</v>
      </c>
      <c r="V48" s="66" t="str">
        <f t="shared" si="9"/>
        <v>Unknown - Unscored</v>
      </c>
      <c r="W48" s="66" t="e">
        <f t="shared" si="10"/>
        <v>#DIV/0!</v>
      </c>
      <c r="X48" s="71" t="e">
        <f t="shared" si="11"/>
        <v>#DIV/0!</v>
      </c>
    </row>
    <row r="49" spans="2:24" ht="25.5" x14ac:dyDescent="0.2">
      <c r="B49" s="68">
        <v>6.4</v>
      </c>
      <c r="C49" s="68" t="s">
        <v>387</v>
      </c>
      <c r="D49" s="68" t="s">
        <v>387</v>
      </c>
      <c r="E49" s="68" t="s">
        <v>387</v>
      </c>
      <c r="F49" s="68" t="s">
        <v>387</v>
      </c>
      <c r="G49" s="69" t="str">
        <f t="shared" si="0"/>
        <v>Unknown - Unscored</v>
      </c>
      <c r="H49" s="69" t="str">
        <f t="shared" si="1"/>
        <v>Unknown - Unscored</v>
      </c>
      <c r="I49" s="69" t="str">
        <f t="shared" si="2"/>
        <v>Unknown - Unscored</v>
      </c>
      <c r="J49" s="69" t="str">
        <f t="shared" si="3"/>
        <v>Unknown - Unscored</v>
      </c>
      <c r="K49" s="69" t="e">
        <f t="shared" si="4"/>
        <v>#DIV/0!</v>
      </c>
      <c r="L49" s="70" t="e">
        <f t="shared" si="5"/>
        <v>#DIV/0!</v>
      </c>
      <c r="N49" s="105">
        <v>5.3</v>
      </c>
      <c r="O49" s="68" t="s">
        <v>387</v>
      </c>
      <c r="P49" s="68" t="s">
        <v>387</v>
      </c>
      <c r="Q49" s="68" t="s">
        <v>387</v>
      </c>
      <c r="R49" s="68" t="s">
        <v>387</v>
      </c>
      <c r="S49" s="69" t="str">
        <f t="shared" si="6"/>
        <v>Unknown - Unscored</v>
      </c>
      <c r="T49" s="69" t="str">
        <f t="shared" si="7"/>
        <v>Unknown - Unscored</v>
      </c>
      <c r="U49" s="69" t="str">
        <f t="shared" si="8"/>
        <v>Unknown - Unscored</v>
      </c>
      <c r="V49" s="69" t="str">
        <f t="shared" si="9"/>
        <v>Unknown - Unscored</v>
      </c>
      <c r="W49" s="69" t="e">
        <f t="shared" si="10"/>
        <v>#DIV/0!</v>
      </c>
      <c r="X49" s="70" t="e">
        <f t="shared" si="11"/>
        <v>#DIV/0!</v>
      </c>
    </row>
    <row r="50" spans="2:24" ht="25.5" x14ac:dyDescent="0.2">
      <c r="B50" s="65">
        <v>6.5</v>
      </c>
      <c r="C50" s="65" t="s">
        <v>387</v>
      </c>
      <c r="D50" s="65" t="s">
        <v>387</v>
      </c>
      <c r="E50" s="65" t="s">
        <v>387</v>
      </c>
      <c r="F50" s="65" t="s">
        <v>387</v>
      </c>
      <c r="G50" s="66" t="str">
        <f t="shared" si="0"/>
        <v>Unknown - Unscored</v>
      </c>
      <c r="H50" s="66" t="str">
        <f t="shared" si="1"/>
        <v>Unknown - Unscored</v>
      </c>
      <c r="I50" s="66" t="str">
        <f t="shared" si="2"/>
        <v>Unknown - Unscored</v>
      </c>
      <c r="J50" s="66" t="str">
        <f t="shared" si="3"/>
        <v>Unknown - Unscored</v>
      </c>
      <c r="K50" s="66" t="e">
        <f t="shared" si="4"/>
        <v>#DIV/0!</v>
      </c>
      <c r="L50" s="71" t="e">
        <f t="shared" si="5"/>
        <v>#DIV/0!</v>
      </c>
      <c r="N50" s="104">
        <v>5.4</v>
      </c>
      <c r="O50" s="65" t="s">
        <v>387</v>
      </c>
      <c r="P50" s="65" t="s">
        <v>387</v>
      </c>
      <c r="Q50" s="65" t="s">
        <v>387</v>
      </c>
      <c r="R50" s="65" t="s">
        <v>387</v>
      </c>
      <c r="S50" s="66" t="str">
        <f t="shared" si="6"/>
        <v>Unknown - Unscored</v>
      </c>
      <c r="T50" s="66" t="str">
        <f t="shared" si="7"/>
        <v>Unknown - Unscored</v>
      </c>
      <c r="U50" s="66" t="str">
        <f t="shared" si="8"/>
        <v>Unknown - Unscored</v>
      </c>
      <c r="V50" s="66" t="str">
        <f t="shared" si="9"/>
        <v>Unknown - Unscored</v>
      </c>
      <c r="W50" s="66" t="e">
        <f t="shared" si="10"/>
        <v>#DIV/0!</v>
      </c>
      <c r="X50" s="71" t="e">
        <f t="shared" si="11"/>
        <v>#DIV/0!</v>
      </c>
    </row>
    <row r="51" spans="2:24" ht="25.5" x14ac:dyDescent="0.2">
      <c r="B51" s="68">
        <v>6.6</v>
      </c>
      <c r="C51" s="68" t="s">
        <v>387</v>
      </c>
      <c r="D51" s="68" t="s">
        <v>387</v>
      </c>
      <c r="E51" s="68" t="s">
        <v>387</v>
      </c>
      <c r="F51" s="68" t="s">
        <v>387</v>
      </c>
      <c r="G51" s="69" t="str">
        <f t="shared" si="0"/>
        <v>Unknown - Unscored</v>
      </c>
      <c r="H51" s="69" t="str">
        <f t="shared" si="1"/>
        <v>Unknown - Unscored</v>
      </c>
      <c r="I51" s="69" t="str">
        <f t="shared" si="2"/>
        <v>Unknown - Unscored</v>
      </c>
      <c r="J51" s="69" t="str">
        <f t="shared" si="3"/>
        <v>Unknown - Unscored</v>
      </c>
      <c r="K51" s="69" t="e">
        <f t="shared" si="4"/>
        <v>#DIV/0!</v>
      </c>
      <c r="L51" s="70" t="e">
        <f t="shared" si="5"/>
        <v>#DIV/0!</v>
      </c>
      <c r="N51" s="105">
        <v>5.5</v>
      </c>
      <c r="O51" s="68" t="s">
        <v>387</v>
      </c>
      <c r="P51" s="68" t="s">
        <v>387</v>
      </c>
      <c r="Q51" s="68" t="s">
        <v>387</v>
      </c>
      <c r="R51" s="68" t="s">
        <v>387</v>
      </c>
      <c r="S51" s="69" t="str">
        <f t="shared" si="6"/>
        <v>Unknown - Unscored</v>
      </c>
      <c r="T51" s="69" t="str">
        <f t="shared" si="7"/>
        <v>Unknown - Unscored</v>
      </c>
      <c r="U51" s="69" t="str">
        <f t="shared" si="8"/>
        <v>Unknown - Unscored</v>
      </c>
      <c r="V51" s="69" t="str">
        <f t="shared" si="9"/>
        <v>Unknown - Unscored</v>
      </c>
      <c r="W51" s="69" t="e">
        <f t="shared" si="10"/>
        <v>#DIV/0!</v>
      </c>
      <c r="X51" s="70" t="e">
        <f t="shared" si="11"/>
        <v>#DIV/0!</v>
      </c>
    </row>
    <row r="52" spans="2:24" ht="25.5" x14ac:dyDescent="0.2">
      <c r="B52" s="65">
        <v>6.7</v>
      </c>
      <c r="C52" s="65" t="s">
        <v>387</v>
      </c>
      <c r="D52" s="65" t="s">
        <v>387</v>
      </c>
      <c r="E52" s="65" t="s">
        <v>387</v>
      </c>
      <c r="F52" s="65" t="s">
        <v>387</v>
      </c>
      <c r="G52" s="66" t="str">
        <f t="shared" si="0"/>
        <v>Unknown - Unscored</v>
      </c>
      <c r="H52" s="66" t="str">
        <f t="shared" si="1"/>
        <v>Unknown - Unscored</v>
      </c>
      <c r="I52" s="66" t="str">
        <f t="shared" si="2"/>
        <v>Unknown - Unscored</v>
      </c>
      <c r="J52" s="66" t="str">
        <f t="shared" si="3"/>
        <v>Unknown - Unscored</v>
      </c>
      <c r="K52" s="66" t="e">
        <f t="shared" si="4"/>
        <v>#DIV/0!</v>
      </c>
      <c r="L52" s="71" t="e">
        <f t="shared" si="5"/>
        <v>#DIV/0!</v>
      </c>
      <c r="N52" s="104">
        <v>5.6</v>
      </c>
      <c r="O52" s="65" t="s">
        <v>387</v>
      </c>
      <c r="P52" s="65" t="s">
        <v>387</v>
      </c>
      <c r="Q52" s="65" t="s">
        <v>387</v>
      </c>
      <c r="R52" s="65" t="s">
        <v>387</v>
      </c>
      <c r="S52" s="66" t="str">
        <f t="shared" si="6"/>
        <v>Unknown - Unscored</v>
      </c>
      <c r="T52" s="66" t="str">
        <f t="shared" si="7"/>
        <v>Unknown - Unscored</v>
      </c>
      <c r="U52" s="66" t="str">
        <f t="shared" si="8"/>
        <v>Unknown - Unscored</v>
      </c>
      <c r="V52" s="66" t="str">
        <f t="shared" si="9"/>
        <v>Unknown - Unscored</v>
      </c>
      <c r="W52" s="66" t="e">
        <f t="shared" si="10"/>
        <v>#DIV/0!</v>
      </c>
      <c r="X52" s="71" t="e">
        <f t="shared" si="11"/>
        <v>#DIV/0!</v>
      </c>
    </row>
    <row r="53" spans="2:24" ht="25.5" x14ac:dyDescent="0.2">
      <c r="B53" s="68">
        <v>7.1</v>
      </c>
      <c r="C53" s="68" t="s">
        <v>387</v>
      </c>
      <c r="D53" s="68" t="s">
        <v>387</v>
      </c>
      <c r="E53" s="68" t="s">
        <v>387</v>
      </c>
      <c r="F53" s="68" t="s">
        <v>387</v>
      </c>
      <c r="G53" s="69" t="str">
        <f t="shared" si="0"/>
        <v>Unknown - Unscored</v>
      </c>
      <c r="H53" s="69" t="str">
        <f t="shared" si="1"/>
        <v>Unknown - Unscored</v>
      </c>
      <c r="I53" s="69" t="str">
        <f t="shared" si="2"/>
        <v>Unknown - Unscored</v>
      </c>
      <c r="J53" s="69" t="str">
        <f t="shared" si="3"/>
        <v>Unknown - Unscored</v>
      </c>
      <c r="K53" s="69" t="e">
        <f t="shared" si="4"/>
        <v>#DIV/0!</v>
      </c>
      <c r="L53" s="70" t="e">
        <f t="shared" si="5"/>
        <v>#DIV/0!</v>
      </c>
      <c r="N53" s="105">
        <v>6.1</v>
      </c>
      <c r="O53" s="68" t="s">
        <v>387</v>
      </c>
      <c r="P53" s="68" t="s">
        <v>387</v>
      </c>
      <c r="Q53" s="68" t="s">
        <v>387</v>
      </c>
      <c r="R53" s="68" t="s">
        <v>387</v>
      </c>
      <c r="S53" s="69" t="str">
        <f t="shared" si="6"/>
        <v>Unknown - Unscored</v>
      </c>
      <c r="T53" s="69" t="str">
        <f t="shared" si="7"/>
        <v>Unknown - Unscored</v>
      </c>
      <c r="U53" s="69" t="str">
        <f t="shared" si="8"/>
        <v>Unknown - Unscored</v>
      </c>
      <c r="V53" s="69" t="str">
        <f t="shared" si="9"/>
        <v>Unknown - Unscored</v>
      </c>
      <c r="W53" s="69" t="e">
        <f t="shared" si="10"/>
        <v>#DIV/0!</v>
      </c>
      <c r="X53" s="70" t="e">
        <f t="shared" si="11"/>
        <v>#DIV/0!</v>
      </c>
    </row>
    <row r="54" spans="2:24" x14ac:dyDescent="0.2">
      <c r="B54" s="65">
        <v>7.2</v>
      </c>
      <c r="C54" s="65" t="s">
        <v>382</v>
      </c>
      <c r="D54" s="65" t="s">
        <v>383</v>
      </c>
      <c r="E54" s="65" t="s">
        <v>384</v>
      </c>
      <c r="F54" s="65" t="s">
        <v>389</v>
      </c>
      <c r="G54" s="66">
        <f t="shared" si="0"/>
        <v>5</v>
      </c>
      <c r="H54" s="66">
        <f t="shared" si="1"/>
        <v>5</v>
      </c>
      <c r="I54" s="66">
        <f t="shared" si="2"/>
        <v>5</v>
      </c>
      <c r="J54" s="66" t="str">
        <f t="shared" si="3"/>
        <v>Unknown - N/A</v>
      </c>
      <c r="K54" s="66">
        <f t="shared" si="4"/>
        <v>5</v>
      </c>
      <c r="L54" s="71">
        <f t="shared" si="5"/>
        <v>5</v>
      </c>
      <c r="N54" s="104">
        <v>6.2</v>
      </c>
      <c r="O54" s="65" t="s">
        <v>382</v>
      </c>
      <c r="P54" s="65" t="s">
        <v>383</v>
      </c>
      <c r="Q54" s="65" t="s">
        <v>384</v>
      </c>
      <c r="R54" s="65" t="s">
        <v>389</v>
      </c>
      <c r="S54" s="66">
        <f t="shared" si="6"/>
        <v>5</v>
      </c>
      <c r="T54" s="66">
        <f t="shared" si="7"/>
        <v>5</v>
      </c>
      <c r="U54" s="66">
        <f t="shared" si="8"/>
        <v>5</v>
      </c>
      <c r="V54" s="66" t="str">
        <f t="shared" si="9"/>
        <v>Unknown - N/A</v>
      </c>
      <c r="W54" s="66">
        <f t="shared" si="10"/>
        <v>5</v>
      </c>
      <c r="X54" s="71">
        <f t="shared" si="11"/>
        <v>5</v>
      </c>
    </row>
    <row r="55" spans="2:24" ht="25.5" x14ac:dyDescent="0.2">
      <c r="B55" s="68">
        <v>7.3</v>
      </c>
      <c r="C55" s="68" t="s">
        <v>387</v>
      </c>
      <c r="D55" s="68" t="s">
        <v>387</v>
      </c>
      <c r="E55" s="68" t="s">
        <v>387</v>
      </c>
      <c r="F55" s="68" t="s">
        <v>387</v>
      </c>
      <c r="G55" s="69" t="str">
        <f t="shared" si="0"/>
        <v>Unknown - Unscored</v>
      </c>
      <c r="H55" s="69" t="str">
        <f t="shared" si="1"/>
        <v>Unknown - Unscored</v>
      </c>
      <c r="I55" s="69" t="str">
        <f t="shared" si="2"/>
        <v>Unknown - Unscored</v>
      </c>
      <c r="J55" s="69" t="str">
        <f t="shared" si="3"/>
        <v>Unknown - Unscored</v>
      </c>
      <c r="K55" s="69" t="e">
        <f t="shared" si="4"/>
        <v>#DIV/0!</v>
      </c>
      <c r="L55" s="70" t="e">
        <f t="shared" si="5"/>
        <v>#DIV/0!</v>
      </c>
      <c r="N55" s="105">
        <v>6.3</v>
      </c>
      <c r="O55" s="68" t="s">
        <v>387</v>
      </c>
      <c r="P55" s="68" t="s">
        <v>387</v>
      </c>
      <c r="Q55" s="68" t="s">
        <v>387</v>
      </c>
      <c r="R55" s="68" t="s">
        <v>387</v>
      </c>
      <c r="S55" s="69" t="str">
        <f t="shared" si="6"/>
        <v>Unknown - Unscored</v>
      </c>
      <c r="T55" s="69" t="str">
        <f t="shared" si="7"/>
        <v>Unknown - Unscored</v>
      </c>
      <c r="U55" s="69" t="str">
        <f t="shared" si="8"/>
        <v>Unknown - Unscored</v>
      </c>
      <c r="V55" s="69" t="str">
        <f t="shared" si="9"/>
        <v>Unknown - Unscored</v>
      </c>
      <c r="W55" s="69" t="e">
        <f t="shared" si="10"/>
        <v>#DIV/0!</v>
      </c>
      <c r="X55" s="70" t="e">
        <f t="shared" si="11"/>
        <v>#DIV/0!</v>
      </c>
    </row>
    <row r="56" spans="2:24" ht="25.5" x14ac:dyDescent="0.2">
      <c r="B56" s="65">
        <v>7.4</v>
      </c>
      <c r="C56" s="65" t="s">
        <v>387</v>
      </c>
      <c r="D56" s="65" t="s">
        <v>387</v>
      </c>
      <c r="E56" s="65" t="s">
        <v>387</v>
      </c>
      <c r="F56" s="65" t="s">
        <v>387</v>
      </c>
      <c r="G56" s="66" t="str">
        <f t="shared" si="0"/>
        <v>Unknown - Unscored</v>
      </c>
      <c r="H56" s="66" t="str">
        <f t="shared" si="1"/>
        <v>Unknown - Unscored</v>
      </c>
      <c r="I56" s="66" t="str">
        <f t="shared" si="2"/>
        <v>Unknown - Unscored</v>
      </c>
      <c r="J56" s="66" t="str">
        <f t="shared" si="3"/>
        <v>Unknown - Unscored</v>
      </c>
      <c r="K56" s="66" t="e">
        <f t="shared" si="4"/>
        <v>#DIV/0!</v>
      </c>
      <c r="L56" s="71" t="e">
        <f t="shared" si="5"/>
        <v>#DIV/0!</v>
      </c>
      <c r="N56" s="104">
        <v>6.4</v>
      </c>
      <c r="O56" s="65" t="s">
        <v>387</v>
      </c>
      <c r="P56" s="65" t="s">
        <v>387</v>
      </c>
      <c r="Q56" s="65" t="s">
        <v>387</v>
      </c>
      <c r="R56" s="65" t="s">
        <v>387</v>
      </c>
      <c r="S56" s="66" t="str">
        <f t="shared" si="6"/>
        <v>Unknown - Unscored</v>
      </c>
      <c r="T56" s="66" t="str">
        <f t="shared" si="7"/>
        <v>Unknown - Unscored</v>
      </c>
      <c r="U56" s="66" t="str">
        <f t="shared" si="8"/>
        <v>Unknown - Unscored</v>
      </c>
      <c r="V56" s="66" t="str">
        <f t="shared" si="9"/>
        <v>Unknown - Unscored</v>
      </c>
      <c r="W56" s="66" t="e">
        <f t="shared" si="10"/>
        <v>#DIV/0!</v>
      </c>
      <c r="X56" s="71" t="e">
        <f t="shared" si="11"/>
        <v>#DIV/0!</v>
      </c>
    </row>
    <row r="57" spans="2:24" x14ac:dyDescent="0.2">
      <c r="B57" s="68">
        <v>7.5</v>
      </c>
      <c r="C57" s="68"/>
      <c r="D57" s="68"/>
      <c r="E57" s="68"/>
      <c r="F57" s="68"/>
      <c r="G57" s="69" t="e">
        <f t="shared" si="0"/>
        <v>#N/A</v>
      </c>
      <c r="H57" s="69" t="e">
        <f t="shared" si="1"/>
        <v>#N/A</v>
      </c>
      <c r="I57" s="69" t="e">
        <f t="shared" si="2"/>
        <v>#N/A</v>
      </c>
      <c r="J57" s="69" t="e">
        <f t="shared" si="3"/>
        <v>#N/A</v>
      </c>
      <c r="K57" s="69" t="e">
        <f t="shared" si="4"/>
        <v>#N/A</v>
      </c>
      <c r="L57" s="70" t="e">
        <f t="shared" si="5"/>
        <v>#N/A</v>
      </c>
      <c r="N57" s="105">
        <v>6.5</v>
      </c>
      <c r="O57" s="68" t="s">
        <v>366</v>
      </c>
      <c r="P57" s="68" t="s">
        <v>367</v>
      </c>
      <c r="Q57" s="68" t="s">
        <v>372</v>
      </c>
      <c r="R57" s="68" t="s">
        <v>369</v>
      </c>
      <c r="S57" s="69">
        <f t="shared" si="6"/>
        <v>1</v>
      </c>
      <c r="T57" s="69">
        <f t="shared" si="7"/>
        <v>1</v>
      </c>
      <c r="U57" s="69">
        <f t="shared" si="8"/>
        <v>2</v>
      </c>
      <c r="V57" s="69">
        <f t="shared" si="9"/>
        <v>1</v>
      </c>
      <c r="W57" s="69">
        <f t="shared" si="10"/>
        <v>1</v>
      </c>
      <c r="X57" s="70">
        <f t="shared" si="11"/>
        <v>1</v>
      </c>
    </row>
    <row r="58" spans="2:24" x14ac:dyDescent="0.2">
      <c r="B58" s="65">
        <v>7.6</v>
      </c>
      <c r="C58" s="65"/>
      <c r="D58" s="65"/>
      <c r="E58" s="65"/>
      <c r="F58" s="65"/>
      <c r="G58" s="66" t="e">
        <f t="shared" si="0"/>
        <v>#N/A</v>
      </c>
      <c r="H58" s="66" t="e">
        <f t="shared" si="1"/>
        <v>#N/A</v>
      </c>
      <c r="I58" s="66" t="e">
        <f t="shared" si="2"/>
        <v>#N/A</v>
      </c>
      <c r="J58" s="66" t="e">
        <f t="shared" si="3"/>
        <v>#N/A</v>
      </c>
      <c r="K58" s="66" t="e">
        <f t="shared" si="4"/>
        <v>#N/A</v>
      </c>
      <c r="L58" s="71" t="e">
        <f t="shared" si="5"/>
        <v>#N/A</v>
      </c>
      <c r="N58" s="104">
        <v>6.6</v>
      </c>
      <c r="O58" s="65" t="s">
        <v>366</v>
      </c>
      <c r="P58" s="65" t="s">
        <v>367</v>
      </c>
      <c r="Q58" s="65" t="s">
        <v>368</v>
      </c>
      <c r="R58" s="65" t="s">
        <v>369</v>
      </c>
      <c r="S58" s="66">
        <f t="shared" si="6"/>
        <v>1</v>
      </c>
      <c r="T58" s="66">
        <f t="shared" si="7"/>
        <v>1</v>
      </c>
      <c r="U58" s="66">
        <f t="shared" si="8"/>
        <v>1</v>
      </c>
      <c r="V58" s="66">
        <f t="shared" si="9"/>
        <v>1</v>
      </c>
      <c r="W58" s="66">
        <f t="shared" si="10"/>
        <v>1</v>
      </c>
      <c r="X58" s="71">
        <f t="shared" si="11"/>
        <v>1</v>
      </c>
    </row>
    <row r="59" spans="2:24" x14ac:dyDescent="0.2">
      <c r="B59" s="68">
        <v>7.7</v>
      </c>
      <c r="C59" s="68"/>
      <c r="D59" s="68"/>
      <c r="E59" s="68"/>
      <c r="F59" s="68"/>
      <c r="G59" s="69" t="e">
        <f t="shared" si="0"/>
        <v>#N/A</v>
      </c>
      <c r="H59" s="69" t="e">
        <f t="shared" si="1"/>
        <v>#N/A</v>
      </c>
      <c r="I59" s="69" t="e">
        <f t="shared" si="2"/>
        <v>#N/A</v>
      </c>
      <c r="J59" s="69" t="e">
        <f t="shared" si="3"/>
        <v>#N/A</v>
      </c>
      <c r="K59" s="69" t="e">
        <f t="shared" si="4"/>
        <v>#N/A</v>
      </c>
      <c r="L59" s="70" t="e">
        <f t="shared" si="5"/>
        <v>#N/A</v>
      </c>
      <c r="N59" s="105">
        <v>6.7</v>
      </c>
      <c r="O59" s="68" t="s">
        <v>382</v>
      </c>
      <c r="P59" s="68" t="s">
        <v>379</v>
      </c>
      <c r="Q59" s="68" t="s">
        <v>380</v>
      </c>
      <c r="R59" s="68" t="s">
        <v>381</v>
      </c>
      <c r="S59" s="69">
        <f t="shared" si="6"/>
        <v>5</v>
      </c>
      <c r="T59" s="69">
        <f t="shared" si="7"/>
        <v>4</v>
      </c>
      <c r="U59" s="69">
        <f t="shared" si="8"/>
        <v>4</v>
      </c>
      <c r="V59" s="69">
        <f t="shared" si="9"/>
        <v>4</v>
      </c>
      <c r="W59" s="69">
        <f t="shared" si="10"/>
        <v>4</v>
      </c>
      <c r="X59" s="70">
        <f t="shared" si="11"/>
        <v>4</v>
      </c>
    </row>
    <row r="60" spans="2:24" x14ac:dyDescent="0.2">
      <c r="B60" s="65">
        <v>7.8</v>
      </c>
      <c r="C60" s="65"/>
      <c r="D60" s="65"/>
      <c r="E60" s="65"/>
      <c r="F60" s="65"/>
      <c r="G60" s="66" t="e">
        <f t="shared" si="0"/>
        <v>#N/A</v>
      </c>
      <c r="H60" s="66" t="e">
        <f t="shared" si="1"/>
        <v>#N/A</v>
      </c>
      <c r="I60" s="66" t="e">
        <f t="shared" si="2"/>
        <v>#N/A</v>
      </c>
      <c r="J60" s="66" t="e">
        <f t="shared" si="3"/>
        <v>#N/A</v>
      </c>
      <c r="K60" s="66" t="e">
        <f t="shared" si="4"/>
        <v>#N/A</v>
      </c>
      <c r="L60" s="71" t="e">
        <f t="shared" si="5"/>
        <v>#N/A</v>
      </c>
      <c r="N60" s="104">
        <v>7.1</v>
      </c>
      <c r="O60" s="65" t="s">
        <v>378</v>
      </c>
      <c r="P60" s="65" t="s">
        <v>379</v>
      </c>
      <c r="Q60" s="65" t="s">
        <v>384</v>
      </c>
      <c r="R60" s="65" t="s">
        <v>377</v>
      </c>
      <c r="S60" s="66">
        <f t="shared" si="6"/>
        <v>4</v>
      </c>
      <c r="T60" s="66">
        <f t="shared" si="7"/>
        <v>4</v>
      </c>
      <c r="U60" s="66">
        <f t="shared" si="8"/>
        <v>5</v>
      </c>
      <c r="V60" s="66">
        <f t="shared" si="9"/>
        <v>3</v>
      </c>
      <c r="W60" s="66">
        <f t="shared" si="10"/>
        <v>4</v>
      </c>
      <c r="X60" s="71">
        <f t="shared" si="11"/>
        <v>4</v>
      </c>
    </row>
    <row r="61" spans="2:24" x14ac:dyDescent="0.2">
      <c r="B61" s="68">
        <v>7.9</v>
      </c>
      <c r="C61" s="68"/>
      <c r="D61" s="68"/>
      <c r="E61" s="68"/>
      <c r="F61" s="68"/>
      <c r="G61" s="69" t="e">
        <f t="shared" si="0"/>
        <v>#N/A</v>
      </c>
      <c r="H61" s="69" t="e">
        <f t="shared" si="1"/>
        <v>#N/A</v>
      </c>
      <c r="I61" s="69" t="e">
        <f t="shared" si="2"/>
        <v>#N/A</v>
      </c>
      <c r="J61" s="69" t="e">
        <f t="shared" si="3"/>
        <v>#N/A</v>
      </c>
      <c r="K61" s="69" t="e">
        <f t="shared" si="4"/>
        <v>#N/A</v>
      </c>
      <c r="L61" s="70" t="e">
        <f t="shared" si="5"/>
        <v>#N/A</v>
      </c>
      <c r="N61" s="105">
        <v>7.2</v>
      </c>
      <c r="O61" s="68" t="s">
        <v>374</v>
      </c>
      <c r="P61" s="68" t="s">
        <v>379</v>
      </c>
      <c r="Q61" s="68" t="s">
        <v>380</v>
      </c>
      <c r="R61" s="68" t="s">
        <v>385</v>
      </c>
      <c r="S61" s="69">
        <f t="shared" si="6"/>
        <v>3</v>
      </c>
      <c r="T61" s="69">
        <f t="shared" si="7"/>
        <v>4</v>
      </c>
      <c r="U61" s="69">
        <f t="shared" si="8"/>
        <v>4</v>
      </c>
      <c r="V61" s="69">
        <f t="shared" si="9"/>
        <v>5</v>
      </c>
      <c r="W61" s="69">
        <f t="shared" si="10"/>
        <v>4</v>
      </c>
      <c r="X61" s="70">
        <f t="shared" si="11"/>
        <v>4</v>
      </c>
    </row>
    <row r="62" spans="2:24" x14ac:dyDescent="0.2">
      <c r="B62" s="65">
        <v>8.1</v>
      </c>
      <c r="C62" s="65"/>
      <c r="D62" s="65"/>
      <c r="E62" s="65"/>
      <c r="F62" s="65"/>
      <c r="G62" s="66" t="e">
        <f t="shared" si="0"/>
        <v>#N/A</v>
      </c>
      <c r="H62" s="66" t="e">
        <f t="shared" si="1"/>
        <v>#N/A</v>
      </c>
      <c r="I62" s="66" t="e">
        <f t="shared" si="2"/>
        <v>#N/A</v>
      </c>
      <c r="J62" s="66" t="e">
        <f t="shared" si="3"/>
        <v>#N/A</v>
      </c>
      <c r="K62" s="66" t="e">
        <f t="shared" si="4"/>
        <v>#N/A</v>
      </c>
      <c r="L62" s="71" t="e">
        <f t="shared" si="5"/>
        <v>#N/A</v>
      </c>
      <c r="N62" s="104">
        <v>7.3</v>
      </c>
      <c r="O62" s="65" t="s">
        <v>378</v>
      </c>
      <c r="P62" s="65" t="s">
        <v>383</v>
      </c>
      <c r="Q62" s="65" t="s">
        <v>380</v>
      </c>
      <c r="R62" s="65" t="s">
        <v>385</v>
      </c>
      <c r="S62" s="66">
        <f t="shared" si="6"/>
        <v>4</v>
      </c>
      <c r="T62" s="66">
        <f t="shared" si="7"/>
        <v>5</v>
      </c>
      <c r="U62" s="66">
        <f t="shared" si="8"/>
        <v>4</v>
      </c>
      <c r="V62" s="66">
        <f t="shared" si="9"/>
        <v>5</v>
      </c>
      <c r="W62" s="66">
        <f t="shared" si="10"/>
        <v>5</v>
      </c>
      <c r="X62" s="71">
        <f t="shared" si="11"/>
        <v>5</v>
      </c>
    </row>
    <row r="63" spans="2:24" x14ac:dyDescent="0.2">
      <c r="B63" s="68">
        <v>8.1999999999999993</v>
      </c>
      <c r="C63" s="68"/>
      <c r="D63" s="68"/>
      <c r="E63" s="68"/>
      <c r="F63" s="68"/>
      <c r="G63" s="69" t="e">
        <f t="shared" si="0"/>
        <v>#N/A</v>
      </c>
      <c r="H63" s="69" t="e">
        <f t="shared" si="1"/>
        <v>#N/A</v>
      </c>
      <c r="I63" s="69" t="e">
        <f t="shared" si="2"/>
        <v>#N/A</v>
      </c>
      <c r="J63" s="69" t="e">
        <f t="shared" si="3"/>
        <v>#N/A</v>
      </c>
      <c r="K63" s="69" t="e">
        <f t="shared" si="4"/>
        <v>#N/A</v>
      </c>
      <c r="L63" s="70" t="e">
        <f t="shared" si="5"/>
        <v>#N/A</v>
      </c>
      <c r="N63" s="105">
        <v>7.4</v>
      </c>
      <c r="O63" s="68" t="s">
        <v>378</v>
      </c>
      <c r="P63" s="68" t="s">
        <v>383</v>
      </c>
      <c r="Q63" s="68" t="s">
        <v>384</v>
      </c>
      <c r="R63" s="68" t="s">
        <v>385</v>
      </c>
      <c r="S63" s="69">
        <f t="shared" si="6"/>
        <v>4</v>
      </c>
      <c r="T63" s="69">
        <f t="shared" si="7"/>
        <v>5</v>
      </c>
      <c r="U63" s="69">
        <f t="shared" si="8"/>
        <v>5</v>
      </c>
      <c r="V63" s="69">
        <f t="shared" si="9"/>
        <v>5</v>
      </c>
      <c r="W63" s="69">
        <f t="shared" si="10"/>
        <v>5</v>
      </c>
      <c r="X63" s="70">
        <f t="shared" si="11"/>
        <v>5</v>
      </c>
    </row>
    <row r="64" spans="2:24" x14ac:dyDescent="0.2">
      <c r="B64" s="65">
        <v>8.3000000000000007</v>
      </c>
      <c r="C64" s="65"/>
      <c r="D64" s="65"/>
      <c r="E64" s="65"/>
      <c r="F64" s="65"/>
      <c r="G64" s="66" t="e">
        <f t="shared" si="0"/>
        <v>#N/A</v>
      </c>
      <c r="H64" s="66" t="e">
        <f t="shared" si="1"/>
        <v>#N/A</v>
      </c>
      <c r="I64" s="66" t="e">
        <f t="shared" si="2"/>
        <v>#N/A</v>
      </c>
      <c r="J64" s="66" t="e">
        <f t="shared" si="3"/>
        <v>#N/A</v>
      </c>
      <c r="K64" s="66" t="e">
        <f t="shared" si="4"/>
        <v>#N/A</v>
      </c>
      <c r="L64" s="71" t="e">
        <f t="shared" si="5"/>
        <v>#N/A</v>
      </c>
      <c r="N64" s="104">
        <v>7.5</v>
      </c>
      <c r="O64" s="65" t="s">
        <v>382</v>
      </c>
      <c r="P64" s="65" t="s">
        <v>379</v>
      </c>
      <c r="Q64" s="65" t="s">
        <v>384</v>
      </c>
      <c r="R64" s="65" t="s">
        <v>381</v>
      </c>
      <c r="S64" s="66">
        <f t="shared" si="6"/>
        <v>5</v>
      </c>
      <c r="T64" s="66">
        <f t="shared" si="7"/>
        <v>4</v>
      </c>
      <c r="U64" s="66">
        <f t="shared" si="8"/>
        <v>5</v>
      </c>
      <c r="V64" s="66">
        <f t="shared" si="9"/>
        <v>4</v>
      </c>
      <c r="W64" s="66">
        <f t="shared" si="10"/>
        <v>5</v>
      </c>
      <c r="X64" s="71">
        <f t="shared" si="11"/>
        <v>5</v>
      </c>
    </row>
    <row r="65" spans="2:24" x14ac:dyDescent="0.2">
      <c r="B65" s="68">
        <v>8.4</v>
      </c>
      <c r="C65" s="68"/>
      <c r="D65" s="68"/>
      <c r="E65" s="68"/>
      <c r="F65" s="68"/>
      <c r="G65" s="69" t="e">
        <f t="shared" si="0"/>
        <v>#N/A</v>
      </c>
      <c r="H65" s="69" t="e">
        <f t="shared" si="1"/>
        <v>#N/A</v>
      </c>
      <c r="I65" s="69" t="e">
        <f t="shared" si="2"/>
        <v>#N/A</v>
      </c>
      <c r="J65" s="69" t="e">
        <f t="shared" si="3"/>
        <v>#N/A</v>
      </c>
      <c r="K65" s="69" t="e">
        <f t="shared" si="4"/>
        <v>#N/A</v>
      </c>
      <c r="L65" s="70" t="e">
        <f t="shared" si="5"/>
        <v>#N/A</v>
      </c>
      <c r="N65" s="105">
        <v>7.6</v>
      </c>
      <c r="O65" s="68" t="s">
        <v>374</v>
      </c>
      <c r="P65" s="68" t="s">
        <v>379</v>
      </c>
      <c r="Q65" s="68" t="s">
        <v>380</v>
      </c>
      <c r="R65" s="68" t="s">
        <v>385</v>
      </c>
      <c r="S65" s="69">
        <f t="shared" si="6"/>
        <v>3</v>
      </c>
      <c r="T65" s="69">
        <f t="shared" si="7"/>
        <v>4</v>
      </c>
      <c r="U65" s="69">
        <f t="shared" si="8"/>
        <v>4</v>
      </c>
      <c r="V65" s="69">
        <f t="shared" si="9"/>
        <v>5</v>
      </c>
      <c r="W65" s="69">
        <f t="shared" si="10"/>
        <v>4</v>
      </c>
      <c r="X65" s="70">
        <f t="shared" si="11"/>
        <v>4</v>
      </c>
    </row>
    <row r="66" spans="2:24" x14ac:dyDescent="0.2">
      <c r="B66" s="65">
        <v>8.5</v>
      </c>
      <c r="C66" s="65"/>
      <c r="D66" s="65"/>
      <c r="E66" s="65"/>
      <c r="F66" s="65"/>
      <c r="G66" s="66" t="e">
        <f t="shared" si="0"/>
        <v>#N/A</v>
      </c>
      <c r="H66" s="66" t="e">
        <f t="shared" si="1"/>
        <v>#N/A</v>
      </c>
      <c r="I66" s="66" t="e">
        <f t="shared" si="2"/>
        <v>#N/A</v>
      </c>
      <c r="J66" s="66" t="e">
        <f t="shared" si="3"/>
        <v>#N/A</v>
      </c>
      <c r="K66" s="66" t="e">
        <f t="shared" si="4"/>
        <v>#N/A</v>
      </c>
      <c r="L66" s="71" t="e">
        <f t="shared" si="5"/>
        <v>#N/A</v>
      </c>
      <c r="N66" s="104">
        <v>7.7</v>
      </c>
      <c r="O66" s="65" t="s">
        <v>378</v>
      </c>
      <c r="P66" s="65" t="s">
        <v>383</v>
      </c>
      <c r="Q66" s="65" t="s">
        <v>380</v>
      </c>
      <c r="R66" s="65" t="s">
        <v>385</v>
      </c>
      <c r="S66" s="66">
        <f t="shared" si="6"/>
        <v>4</v>
      </c>
      <c r="T66" s="66">
        <f t="shared" si="7"/>
        <v>5</v>
      </c>
      <c r="U66" s="66">
        <f t="shared" si="8"/>
        <v>4</v>
      </c>
      <c r="V66" s="66">
        <f t="shared" si="9"/>
        <v>5</v>
      </c>
      <c r="W66" s="66">
        <f t="shared" si="10"/>
        <v>5</v>
      </c>
      <c r="X66" s="71">
        <f t="shared" si="11"/>
        <v>5</v>
      </c>
    </row>
    <row r="67" spans="2:24" x14ac:dyDescent="0.2">
      <c r="B67" s="68">
        <v>8.6</v>
      </c>
      <c r="C67" s="68"/>
      <c r="D67" s="68"/>
      <c r="E67" s="68"/>
      <c r="F67" s="68"/>
      <c r="G67" s="69" t="e">
        <f t="shared" si="0"/>
        <v>#N/A</v>
      </c>
      <c r="H67" s="69" t="e">
        <f t="shared" si="1"/>
        <v>#N/A</v>
      </c>
      <c r="I67" s="69" t="e">
        <f t="shared" si="2"/>
        <v>#N/A</v>
      </c>
      <c r="J67" s="69" t="e">
        <f t="shared" si="3"/>
        <v>#N/A</v>
      </c>
      <c r="K67" s="69" t="e">
        <f t="shared" si="4"/>
        <v>#N/A</v>
      </c>
      <c r="L67" s="70" t="e">
        <f t="shared" si="5"/>
        <v>#N/A</v>
      </c>
      <c r="N67" s="105">
        <v>8.1</v>
      </c>
      <c r="O67" s="68" t="s">
        <v>378</v>
      </c>
      <c r="P67" s="68" t="s">
        <v>383</v>
      </c>
      <c r="Q67" s="68" t="s">
        <v>384</v>
      </c>
      <c r="R67" s="68" t="s">
        <v>385</v>
      </c>
      <c r="S67" s="69">
        <f t="shared" si="6"/>
        <v>4</v>
      </c>
      <c r="T67" s="69">
        <f t="shared" si="7"/>
        <v>5</v>
      </c>
      <c r="U67" s="69">
        <f t="shared" si="8"/>
        <v>5</v>
      </c>
      <c r="V67" s="69">
        <f t="shared" si="9"/>
        <v>5</v>
      </c>
      <c r="W67" s="69">
        <f t="shared" si="10"/>
        <v>5</v>
      </c>
      <c r="X67" s="70">
        <f t="shared" si="11"/>
        <v>5</v>
      </c>
    </row>
    <row r="68" spans="2:24" x14ac:dyDescent="0.2">
      <c r="B68" s="65">
        <v>8.6999999999999993</v>
      </c>
      <c r="C68" s="65"/>
      <c r="D68" s="65"/>
      <c r="E68" s="65"/>
      <c r="F68" s="65"/>
      <c r="G68" s="66" t="e">
        <f t="shared" si="0"/>
        <v>#N/A</v>
      </c>
      <c r="H68" s="66" t="e">
        <f t="shared" si="1"/>
        <v>#N/A</v>
      </c>
      <c r="I68" s="66" t="e">
        <f t="shared" si="2"/>
        <v>#N/A</v>
      </c>
      <c r="J68" s="66" t="e">
        <f t="shared" si="3"/>
        <v>#N/A</v>
      </c>
      <c r="K68" s="66" t="e">
        <f t="shared" si="4"/>
        <v>#N/A</v>
      </c>
      <c r="L68" s="71" t="e">
        <f t="shared" si="5"/>
        <v>#N/A</v>
      </c>
      <c r="N68" s="104">
        <v>8.1999999999999993</v>
      </c>
      <c r="O68" s="65" t="s">
        <v>366</v>
      </c>
      <c r="P68" s="65" t="s">
        <v>367</v>
      </c>
      <c r="Q68" s="65" t="s">
        <v>372</v>
      </c>
      <c r="R68" s="65" t="s">
        <v>369</v>
      </c>
      <c r="S68" s="66">
        <f t="shared" si="6"/>
        <v>1</v>
      </c>
      <c r="T68" s="66">
        <f t="shared" si="7"/>
        <v>1</v>
      </c>
      <c r="U68" s="66">
        <f t="shared" si="8"/>
        <v>2</v>
      </c>
      <c r="V68" s="66">
        <f t="shared" si="9"/>
        <v>1</v>
      </c>
      <c r="W68" s="66">
        <f t="shared" si="10"/>
        <v>1</v>
      </c>
      <c r="X68" s="71">
        <f t="shared" si="11"/>
        <v>1</v>
      </c>
    </row>
    <row r="69" spans="2:24" x14ac:dyDescent="0.2">
      <c r="B69" s="68">
        <v>8.8000000000000007</v>
      </c>
      <c r="C69" s="68"/>
      <c r="D69" s="68"/>
      <c r="E69" s="68"/>
      <c r="F69" s="68"/>
      <c r="G69" s="69" t="e">
        <f t="shared" si="0"/>
        <v>#N/A</v>
      </c>
      <c r="H69" s="69" t="e">
        <f t="shared" si="1"/>
        <v>#N/A</v>
      </c>
      <c r="I69" s="69" t="e">
        <f t="shared" si="2"/>
        <v>#N/A</v>
      </c>
      <c r="J69" s="69" t="e">
        <f t="shared" si="3"/>
        <v>#N/A</v>
      </c>
      <c r="K69" s="69" t="e">
        <f t="shared" si="4"/>
        <v>#N/A</v>
      </c>
      <c r="L69" s="70" t="e">
        <f t="shared" si="5"/>
        <v>#N/A</v>
      </c>
      <c r="N69" s="105">
        <v>8.3000000000000007</v>
      </c>
      <c r="O69" s="68" t="s">
        <v>366</v>
      </c>
      <c r="P69" s="68" t="s">
        <v>367</v>
      </c>
      <c r="Q69" s="68" t="s">
        <v>368</v>
      </c>
      <c r="R69" s="68" t="s">
        <v>369</v>
      </c>
      <c r="S69" s="69">
        <f t="shared" si="6"/>
        <v>1</v>
      </c>
      <c r="T69" s="69">
        <f t="shared" si="7"/>
        <v>1</v>
      </c>
      <c r="U69" s="69">
        <f t="shared" si="8"/>
        <v>1</v>
      </c>
      <c r="V69" s="69">
        <f t="shared" si="9"/>
        <v>1</v>
      </c>
      <c r="W69" s="69">
        <f t="shared" si="10"/>
        <v>1</v>
      </c>
      <c r="X69" s="71">
        <f t="shared" si="11"/>
        <v>1</v>
      </c>
    </row>
    <row r="70" spans="2:24" x14ac:dyDescent="0.2">
      <c r="B70" s="65">
        <v>9.1</v>
      </c>
      <c r="C70" s="65"/>
      <c r="D70" s="65"/>
      <c r="E70" s="65"/>
      <c r="F70" s="65"/>
      <c r="G70" s="66" t="e">
        <f t="shared" si="0"/>
        <v>#N/A</v>
      </c>
      <c r="H70" s="66" t="e">
        <f t="shared" si="1"/>
        <v>#N/A</v>
      </c>
      <c r="I70" s="66" t="e">
        <f t="shared" si="2"/>
        <v>#N/A</v>
      </c>
      <c r="J70" s="66" t="e">
        <f t="shared" si="3"/>
        <v>#N/A</v>
      </c>
      <c r="K70" s="66" t="e">
        <f t="shared" si="4"/>
        <v>#N/A</v>
      </c>
      <c r="L70" s="71" t="e">
        <f t="shared" si="5"/>
        <v>#N/A</v>
      </c>
      <c r="N70" s="104">
        <v>8.4</v>
      </c>
      <c r="O70" s="65"/>
      <c r="P70" s="65"/>
      <c r="Q70" s="65"/>
      <c r="R70" s="65"/>
      <c r="S70" s="66" t="e">
        <f t="shared" si="6"/>
        <v>#N/A</v>
      </c>
      <c r="T70" s="66" t="e">
        <f t="shared" si="7"/>
        <v>#N/A</v>
      </c>
      <c r="U70" s="66" t="e">
        <f t="shared" si="8"/>
        <v>#N/A</v>
      </c>
      <c r="V70" s="66" t="e">
        <f t="shared" si="9"/>
        <v>#N/A</v>
      </c>
      <c r="W70" s="66" t="e">
        <f t="shared" si="10"/>
        <v>#N/A</v>
      </c>
      <c r="X70" s="70" t="e">
        <f t="shared" si="11"/>
        <v>#N/A</v>
      </c>
    </row>
    <row r="71" spans="2:24" x14ac:dyDescent="0.2">
      <c r="B71" s="68">
        <v>9.1999999999999993</v>
      </c>
      <c r="C71" s="68"/>
      <c r="D71" s="68"/>
      <c r="E71" s="68"/>
      <c r="F71" s="68"/>
      <c r="G71" s="69" t="e">
        <f t="shared" si="0"/>
        <v>#N/A</v>
      </c>
      <c r="H71" s="69" t="e">
        <f t="shared" si="1"/>
        <v>#N/A</v>
      </c>
      <c r="I71" s="69" t="e">
        <f t="shared" si="2"/>
        <v>#N/A</v>
      </c>
      <c r="J71" s="69" t="e">
        <f t="shared" si="3"/>
        <v>#N/A</v>
      </c>
      <c r="K71" s="69" t="e">
        <f t="shared" si="4"/>
        <v>#N/A</v>
      </c>
      <c r="L71" s="70" t="e">
        <f t="shared" si="5"/>
        <v>#N/A</v>
      </c>
      <c r="N71" s="105">
        <v>8.5</v>
      </c>
      <c r="O71" s="68"/>
      <c r="P71" s="68"/>
      <c r="Q71" s="68"/>
      <c r="R71" s="68"/>
      <c r="S71" s="69" t="e">
        <f t="shared" si="6"/>
        <v>#N/A</v>
      </c>
      <c r="T71" s="69" t="e">
        <f t="shared" si="7"/>
        <v>#N/A</v>
      </c>
      <c r="U71" s="69" t="e">
        <f t="shared" si="8"/>
        <v>#N/A</v>
      </c>
      <c r="V71" s="69" t="e">
        <f t="shared" si="9"/>
        <v>#N/A</v>
      </c>
      <c r="W71" s="69" t="e">
        <f t="shared" si="10"/>
        <v>#N/A</v>
      </c>
      <c r="X71" s="71" t="e">
        <f t="shared" si="11"/>
        <v>#N/A</v>
      </c>
    </row>
    <row r="72" spans="2:24" x14ac:dyDescent="0.2">
      <c r="B72" s="65">
        <v>9.3000000000000007</v>
      </c>
      <c r="C72" s="65"/>
      <c r="D72" s="65"/>
      <c r="E72" s="65"/>
      <c r="F72" s="65"/>
      <c r="G72" s="66" t="e">
        <f t="shared" si="0"/>
        <v>#N/A</v>
      </c>
      <c r="H72" s="66" t="e">
        <f t="shared" si="1"/>
        <v>#N/A</v>
      </c>
      <c r="I72" s="66" t="e">
        <f t="shared" si="2"/>
        <v>#N/A</v>
      </c>
      <c r="J72" s="66" t="e">
        <f t="shared" si="3"/>
        <v>#N/A</v>
      </c>
      <c r="K72" s="66" t="e">
        <f t="shared" si="4"/>
        <v>#N/A</v>
      </c>
      <c r="L72" s="71" t="e">
        <f t="shared" si="5"/>
        <v>#N/A</v>
      </c>
      <c r="N72" s="104">
        <v>8.6</v>
      </c>
      <c r="O72" s="65"/>
      <c r="P72" s="65"/>
      <c r="Q72" s="65"/>
      <c r="R72" s="65"/>
      <c r="S72" s="66" t="e">
        <f t="shared" si="6"/>
        <v>#N/A</v>
      </c>
      <c r="T72" s="66" t="e">
        <f t="shared" si="7"/>
        <v>#N/A</v>
      </c>
      <c r="U72" s="66" t="e">
        <f t="shared" si="8"/>
        <v>#N/A</v>
      </c>
      <c r="V72" s="66" t="e">
        <f t="shared" si="9"/>
        <v>#N/A</v>
      </c>
      <c r="W72" s="66" t="e">
        <f t="shared" si="10"/>
        <v>#N/A</v>
      </c>
      <c r="X72" s="70" t="e">
        <f t="shared" si="11"/>
        <v>#N/A</v>
      </c>
    </row>
    <row r="73" spans="2:24" x14ac:dyDescent="0.2">
      <c r="B73" s="68">
        <v>9.4</v>
      </c>
      <c r="C73" s="68"/>
      <c r="D73" s="68"/>
      <c r="E73" s="68"/>
      <c r="F73" s="68"/>
      <c r="G73" s="69" t="e">
        <f t="shared" si="0"/>
        <v>#N/A</v>
      </c>
      <c r="H73" s="69" t="e">
        <f t="shared" si="1"/>
        <v>#N/A</v>
      </c>
      <c r="I73" s="69" t="e">
        <f t="shared" si="2"/>
        <v>#N/A</v>
      </c>
      <c r="J73" s="69" t="e">
        <f t="shared" si="3"/>
        <v>#N/A</v>
      </c>
      <c r="K73" s="69" t="e">
        <f t="shared" si="4"/>
        <v>#N/A</v>
      </c>
      <c r="L73" s="70" t="e">
        <f t="shared" si="5"/>
        <v>#N/A</v>
      </c>
      <c r="N73" s="105">
        <v>8.6999999999999993</v>
      </c>
      <c r="O73" s="68"/>
      <c r="P73" s="68"/>
      <c r="Q73" s="68"/>
      <c r="R73" s="68"/>
      <c r="S73" s="69" t="e">
        <f t="shared" si="6"/>
        <v>#N/A</v>
      </c>
      <c r="T73" s="69" t="e">
        <f t="shared" si="7"/>
        <v>#N/A</v>
      </c>
      <c r="U73" s="69" t="e">
        <f t="shared" si="8"/>
        <v>#N/A</v>
      </c>
      <c r="V73" s="69" t="e">
        <f t="shared" si="9"/>
        <v>#N/A</v>
      </c>
      <c r="W73" s="69" t="e">
        <f t="shared" si="10"/>
        <v>#N/A</v>
      </c>
      <c r="X73" s="71" t="e">
        <f t="shared" si="11"/>
        <v>#N/A</v>
      </c>
    </row>
    <row r="74" spans="2:24" x14ac:dyDescent="0.2">
      <c r="B74" s="65">
        <v>10.1</v>
      </c>
      <c r="C74" s="65"/>
      <c r="D74" s="65"/>
      <c r="E74" s="65"/>
      <c r="F74" s="65"/>
      <c r="G74" s="66" t="e">
        <f t="shared" si="0"/>
        <v>#N/A</v>
      </c>
      <c r="H74" s="66" t="e">
        <f t="shared" si="1"/>
        <v>#N/A</v>
      </c>
      <c r="I74" s="66" t="e">
        <f t="shared" si="2"/>
        <v>#N/A</v>
      </c>
      <c r="J74" s="66" t="e">
        <f t="shared" si="3"/>
        <v>#N/A</v>
      </c>
      <c r="K74" s="66" t="e">
        <f t="shared" si="4"/>
        <v>#N/A</v>
      </c>
      <c r="L74" s="71" t="e">
        <f t="shared" si="5"/>
        <v>#N/A</v>
      </c>
      <c r="N74" s="104">
        <v>8.8000000000000007</v>
      </c>
      <c r="O74" s="65"/>
      <c r="P74" s="65"/>
      <c r="Q74" s="65"/>
      <c r="R74" s="65"/>
      <c r="S74" s="66" t="e">
        <f t="shared" si="6"/>
        <v>#N/A</v>
      </c>
      <c r="T74" s="66" t="e">
        <f t="shared" si="7"/>
        <v>#N/A</v>
      </c>
      <c r="U74" s="66" t="e">
        <f t="shared" si="8"/>
        <v>#N/A</v>
      </c>
      <c r="V74" s="66" t="e">
        <f t="shared" si="9"/>
        <v>#N/A</v>
      </c>
      <c r="W74" s="66" t="e">
        <f t="shared" si="10"/>
        <v>#N/A</v>
      </c>
      <c r="X74" s="70" t="e">
        <f t="shared" si="11"/>
        <v>#N/A</v>
      </c>
    </row>
    <row r="75" spans="2:24" x14ac:dyDescent="0.2">
      <c r="B75" s="68">
        <v>10.199999999999999</v>
      </c>
      <c r="C75" s="68"/>
      <c r="D75" s="68"/>
      <c r="E75" s="68"/>
      <c r="F75" s="68"/>
      <c r="G75" s="69" t="e">
        <f t="shared" si="0"/>
        <v>#N/A</v>
      </c>
      <c r="H75" s="69" t="e">
        <f t="shared" si="1"/>
        <v>#N/A</v>
      </c>
      <c r="I75" s="69" t="e">
        <f t="shared" si="2"/>
        <v>#N/A</v>
      </c>
      <c r="J75" s="69" t="e">
        <f t="shared" si="3"/>
        <v>#N/A</v>
      </c>
      <c r="K75" s="69" t="e">
        <f t="shared" si="4"/>
        <v>#N/A</v>
      </c>
      <c r="L75" s="70" t="e">
        <f t="shared" si="5"/>
        <v>#N/A</v>
      </c>
      <c r="N75" s="105">
        <v>8.9</v>
      </c>
      <c r="O75" s="68"/>
      <c r="P75" s="68"/>
      <c r="Q75" s="68"/>
      <c r="R75" s="68"/>
      <c r="S75" s="69" t="e">
        <f t="shared" si="6"/>
        <v>#N/A</v>
      </c>
      <c r="T75" s="69" t="e">
        <f t="shared" si="7"/>
        <v>#N/A</v>
      </c>
      <c r="U75" s="69" t="e">
        <f t="shared" si="8"/>
        <v>#N/A</v>
      </c>
      <c r="V75" s="69" t="e">
        <f t="shared" si="9"/>
        <v>#N/A</v>
      </c>
      <c r="W75" s="69" t="e">
        <f t="shared" si="10"/>
        <v>#N/A</v>
      </c>
      <c r="X75" s="71" t="e">
        <f t="shared" si="11"/>
        <v>#N/A</v>
      </c>
    </row>
    <row r="76" spans="2:24" x14ac:dyDescent="0.2">
      <c r="B76" s="65">
        <v>10.3</v>
      </c>
      <c r="C76" s="65"/>
      <c r="D76" s="65"/>
      <c r="E76" s="65"/>
      <c r="F76" s="65"/>
      <c r="G76" s="66" t="e">
        <f t="shared" si="0"/>
        <v>#N/A</v>
      </c>
      <c r="H76" s="66" t="e">
        <f t="shared" si="1"/>
        <v>#N/A</v>
      </c>
      <c r="I76" s="66" t="e">
        <f t="shared" si="2"/>
        <v>#N/A</v>
      </c>
      <c r="J76" s="66" t="e">
        <f t="shared" si="3"/>
        <v>#N/A</v>
      </c>
      <c r="K76" s="66" t="e">
        <f t="shared" si="4"/>
        <v>#N/A</v>
      </c>
      <c r="L76" s="71" t="e">
        <f t="shared" si="5"/>
        <v>#N/A</v>
      </c>
      <c r="N76" s="127">
        <v>8.1</v>
      </c>
      <c r="O76" s="65"/>
      <c r="P76" s="65"/>
      <c r="Q76" s="65"/>
      <c r="R76" s="65"/>
      <c r="S76" s="66" t="e">
        <f t="shared" si="6"/>
        <v>#N/A</v>
      </c>
      <c r="T76" s="66" t="e">
        <f t="shared" si="7"/>
        <v>#N/A</v>
      </c>
      <c r="U76" s="66" t="e">
        <f t="shared" si="8"/>
        <v>#N/A</v>
      </c>
      <c r="V76" s="66" t="e">
        <f t="shared" si="9"/>
        <v>#N/A</v>
      </c>
      <c r="W76" s="66" t="e">
        <f t="shared" si="10"/>
        <v>#N/A</v>
      </c>
      <c r="X76" s="70" t="e">
        <f t="shared" si="11"/>
        <v>#N/A</v>
      </c>
    </row>
    <row r="77" spans="2:24" x14ac:dyDescent="0.2">
      <c r="B77" s="68">
        <v>10.4</v>
      </c>
      <c r="C77" s="68"/>
      <c r="D77" s="68"/>
      <c r="E77" s="68"/>
      <c r="F77" s="68"/>
      <c r="G77" s="69" t="e">
        <f t="shared" si="0"/>
        <v>#N/A</v>
      </c>
      <c r="H77" s="69" t="e">
        <f t="shared" si="1"/>
        <v>#N/A</v>
      </c>
      <c r="I77" s="69" t="e">
        <f t="shared" si="2"/>
        <v>#N/A</v>
      </c>
      <c r="J77" s="69" t="e">
        <f t="shared" si="3"/>
        <v>#N/A</v>
      </c>
      <c r="K77" s="69" t="e">
        <f t="shared" si="4"/>
        <v>#N/A</v>
      </c>
      <c r="L77" s="70" t="e">
        <f t="shared" si="5"/>
        <v>#N/A</v>
      </c>
      <c r="N77" s="105">
        <v>8.11</v>
      </c>
      <c r="O77" s="68"/>
      <c r="P77" s="68"/>
      <c r="Q77" s="68"/>
      <c r="R77" s="68"/>
      <c r="S77" s="69" t="e">
        <f t="shared" si="6"/>
        <v>#N/A</v>
      </c>
      <c r="T77" s="69" t="e">
        <f t="shared" si="7"/>
        <v>#N/A</v>
      </c>
      <c r="U77" s="69" t="e">
        <f t="shared" si="8"/>
        <v>#N/A</v>
      </c>
      <c r="V77" s="69" t="e">
        <f t="shared" si="9"/>
        <v>#N/A</v>
      </c>
      <c r="W77" s="69" t="e">
        <f t="shared" si="10"/>
        <v>#N/A</v>
      </c>
      <c r="X77" s="71" t="e">
        <f t="shared" si="11"/>
        <v>#N/A</v>
      </c>
    </row>
    <row r="78" spans="2:24" x14ac:dyDescent="0.2">
      <c r="B78" s="65">
        <v>10.5</v>
      </c>
      <c r="C78" s="65"/>
      <c r="D78" s="65"/>
      <c r="E78" s="65"/>
      <c r="F78" s="65"/>
      <c r="G78" s="66" t="e">
        <f t="shared" si="0"/>
        <v>#N/A</v>
      </c>
      <c r="H78" s="66" t="e">
        <f t="shared" si="1"/>
        <v>#N/A</v>
      </c>
      <c r="I78" s="66" t="e">
        <f t="shared" si="2"/>
        <v>#N/A</v>
      </c>
      <c r="J78" s="66" t="e">
        <f t="shared" si="3"/>
        <v>#N/A</v>
      </c>
      <c r="K78" s="66" t="e">
        <f t="shared" si="4"/>
        <v>#N/A</v>
      </c>
      <c r="L78" s="71" t="e">
        <f t="shared" si="5"/>
        <v>#N/A</v>
      </c>
      <c r="N78" s="104">
        <v>9.1</v>
      </c>
      <c r="O78" s="65"/>
      <c r="P78" s="65"/>
      <c r="Q78" s="65"/>
      <c r="R78" s="65"/>
      <c r="S78" s="66" t="e">
        <f t="shared" si="6"/>
        <v>#N/A</v>
      </c>
      <c r="T78" s="66" t="e">
        <f t="shared" si="7"/>
        <v>#N/A</v>
      </c>
      <c r="U78" s="66" t="e">
        <f t="shared" si="8"/>
        <v>#N/A</v>
      </c>
      <c r="V78" s="66" t="e">
        <f t="shared" si="9"/>
        <v>#N/A</v>
      </c>
      <c r="W78" s="66" t="e">
        <f t="shared" si="10"/>
        <v>#N/A</v>
      </c>
      <c r="X78" s="70" t="e">
        <f t="shared" si="11"/>
        <v>#N/A</v>
      </c>
    </row>
    <row r="79" spans="2:24" x14ac:dyDescent="0.2">
      <c r="B79" s="68">
        <v>11.1</v>
      </c>
      <c r="C79" s="68"/>
      <c r="D79" s="68"/>
      <c r="E79" s="68"/>
      <c r="F79" s="68"/>
      <c r="G79" s="69" t="e">
        <f t="shared" ref="G79:G142" si="12">VLOOKUP(C79,$C$4:$G$10,5,FALSE)</f>
        <v>#N/A</v>
      </c>
      <c r="H79" s="69" t="e">
        <f t="shared" ref="H79:H142" si="13">VLOOKUP(D79,$D$4:$G$10,4,FALSE)</f>
        <v>#N/A</v>
      </c>
      <c r="I79" s="69" t="e">
        <f t="shared" ref="I79:I142" si="14">VLOOKUP(E79,$E$4:$G$10,3,FALSE)</f>
        <v>#N/A</v>
      </c>
      <c r="J79" s="69" t="e">
        <f t="shared" ref="J79:J142" si="15">VLOOKUP(F79,$F$4:$G$10,2,FALSE)</f>
        <v>#N/A</v>
      </c>
      <c r="K79" s="69" t="e">
        <f t="shared" ref="K79:K142" si="16">ROUND(AVERAGE(G79:J79),0)</f>
        <v>#N/A</v>
      </c>
      <c r="L79" s="70" t="e">
        <f t="shared" ref="L79:L142" si="17">K79</f>
        <v>#N/A</v>
      </c>
      <c r="N79" s="105">
        <v>9.1999999999999993</v>
      </c>
      <c r="O79" s="68"/>
      <c r="P79" s="68"/>
      <c r="Q79" s="68"/>
      <c r="R79" s="68"/>
      <c r="S79" s="69" t="e">
        <f t="shared" ref="S79:S142" si="18">VLOOKUP(O79,$C$4:$G$10,5,FALSE)</f>
        <v>#N/A</v>
      </c>
      <c r="T79" s="69" t="e">
        <f t="shared" ref="T79:T142" si="19">VLOOKUP(P79,$D$4:$G$10,4,FALSE)</f>
        <v>#N/A</v>
      </c>
      <c r="U79" s="69" t="e">
        <f t="shared" ref="U79:U142" si="20">VLOOKUP(Q79,$E$4:$G$10,3,FALSE)</f>
        <v>#N/A</v>
      </c>
      <c r="V79" s="69" t="e">
        <f t="shared" ref="V79:V142" si="21">VLOOKUP(R79,$F$4:$G$10,2,FALSE)</f>
        <v>#N/A</v>
      </c>
      <c r="W79" s="69" t="e">
        <f t="shared" ref="W79:W142" si="22">ROUND(AVERAGE(S79:V79),0)</f>
        <v>#N/A</v>
      </c>
      <c r="X79" s="71" t="e">
        <f t="shared" ref="X79:X142" si="23">W79</f>
        <v>#N/A</v>
      </c>
    </row>
    <row r="80" spans="2:24" x14ac:dyDescent="0.2">
      <c r="B80" s="65">
        <v>11.2</v>
      </c>
      <c r="C80" s="65"/>
      <c r="D80" s="65"/>
      <c r="E80" s="65"/>
      <c r="F80" s="65"/>
      <c r="G80" s="66" t="e">
        <f t="shared" si="12"/>
        <v>#N/A</v>
      </c>
      <c r="H80" s="66" t="e">
        <f t="shared" si="13"/>
        <v>#N/A</v>
      </c>
      <c r="I80" s="66" t="e">
        <f t="shared" si="14"/>
        <v>#N/A</v>
      </c>
      <c r="J80" s="66" t="e">
        <f t="shared" si="15"/>
        <v>#N/A</v>
      </c>
      <c r="K80" s="66" t="e">
        <f t="shared" si="16"/>
        <v>#N/A</v>
      </c>
      <c r="L80" s="71" t="e">
        <f t="shared" si="17"/>
        <v>#N/A</v>
      </c>
      <c r="N80" s="104">
        <v>9.3000000000000007</v>
      </c>
      <c r="O80" s="65"/>
      <c r="P80" s="65"/>
      <c r="Q80" s="65"/>
      <c r="R80" s="65"/>
      <c r="S80" s="66" t="e">
        <f t="shared" si="18"/>
        <v>#N/A</v>
      </c>
      <c r="T80" s="66" t="e">
        <f t="shared" si="19"/>
        <v>#N/A</v>
      </c>
      <c r="U80" s="66" t="e">
        <f t="shared" si="20"/>
        <v>#N/A</v>
      </c>
      <c r="V80" s="66" t="e">
        <f t="shared" si="21"/>
        <v>#N/A</v>
      </c>
      <c r="W80" s="66" t="e">
        <f t="shared" si="22"/>
        <v>#N/A</v>
      </c>
      <c r="X80" s="70" t="e">
        <f t="shared" si="23"/>
        <v>#N/A</v>
      </c>
    </row>
    <row r="81" spans="2:24" x14ac:dyDescent="0.2">
      <c r="B81" s="68">
        <v>11.3</v>
      </c>
      <c r="C81" s="68"/>
      <c r="D81" s="68"/>
      <c r="E81" s="68"/>
      <c r="F81" s="68"/>
      <c r="G81" s="69" t="e">
        <f t="shared" si="12"/>
        <v>#N/A</v>
      </c>
      <c r="H81" s="69" t="e">
        <f t="shared" si="13"/>
        <v>#N/A</v>
      </c>
      <c r="I81" s="69" t="e">
        <f t="shared" si="14"/>
        <v>#N/A</v>
      </c>
      <c r="J81" s="69" t="e">
        <f t="shared" si="15"/>
        <v>#N/A</v>
      </c>
      <c r="K81" s="69" t="e">
        <f t="shared" si="16"/>
        <v>#N/A</v>
      </c>
      <c r="L81" s="70" t="e">
        <f t="shared" si="17"/>
        <v>#N/A</v>
      </c>
      <c r="N81" s="105">
        <v>9.4</v>
      </c>
      <c r="O81" s="68"/>
      <c r="P81" s="68"/>
      <c r="Q81" s="68"/>
      <c r="R81" s="68"/>
      <c r="S81" s="69" t="e">
        <f t="shared" si="18"/>
        <v>#N/A</v>
      </c>
      <c r="T81" s="69" t="e">
        <f t="shared" si="19"/>
        <v>#N/A</v>
      </c>
      <c r="U81" s="69" t="e">
        <f t="shared" si="20"/>
        <v>#N/A</v>
      </c>
      <c r="V81" s="69" t="e">
        <f t="shared" si="21"/>
        <v>#N/A</v>
      </c>
      <c r="W81" s="69" t="e">
        <f t="shared" si="22"/>
        <v>#N/A</v>
      </c>
      <c r="X81" s="71" t="e">
        <f t="shared" si="23"/>
        <v>#N/A</v>
      </c>
    </row>
    <row r="82" spans="2:24" x14ac:dyDescent="0.2">
      <c r="B82" s="65">
        <v>11.4</v>
      </c>
      <c r="C82" s="65"/>
      <c r="D82" s="65"/>
      <c r="E82" s="65"/>
      <c r="F82" s="65"/>
      <c r="G82" s="66" t="e">
        <f t="shared" si="12"/>
        <v>#N/A</v>
      </c>
      <c r="H82" s="66" t="e">
        <f t="shared" si="13"/>
        <v>#N/A</v>
      </c>
      <c r="I82" s="66" t="e">
        <f t="shared" si="14"/>
        <v>#N/A</v>
      </c>
      <c r="J82" s="66" t="e">
        <f t="shared" si="15"/>
        <v>#N/A</v>
      </c>
      <c r="K82" s="66" t="e">
        <f t="shared" si="16"/>
        <v>#N/A</v>
      </c>
      <c r="L82" s="71" t="e">
        <f t="shared" si="17"/>
        <v>#N/A</v>
      </c>
      <c r="N82" s="104">
        <v>9.5</v>
      </c>
      <c r="O82" s="65"/>
      <c r="P82" s="65"/>
      <c r="Q82" s="65"/>
      <c r="R82" s="65"/>
      <c r="S82" s="66" t="e">
        <f t="shared" si="18"/>
        <v>#N/A</v>
      </c>
      <c r="T82" s="66" t="e">
        <f t="shared" si="19"/>
        <v>#N/A</v>
      </c>
      <c r="U82" s="66" t="e">
        <f t="shared" si="20"/>
        <v>#N/A</v>
      </c>
      <c r="V82" s="66" t="e">
        <f t="shared" si="21"/>
        <v>#N/A</v>
      </c>
      <c r="W82" s="66" t="e">
        <f t="shared" si="22"/>
        <v>#N/A</v>
      </c>
      <c r="X82" s="70" t="e">
        <f t="shared" si="23"/>
        <v>#N/A</v>
      </c>
    </row>
    <row r="83" spans="2:24" x14ac:dyDescent="0.2">
      <c r="B83" s="68">
        <v>11.5</v>
      </c>
      <c r="C83" s="68"/>
      <c r="D83" s="68"/>
      <c r="E83" s="68"/>
      <c r="F83" s="68"/>
      <c r="G83" s="69" t="e">
        <f t="shared" si="12"/>
        <v>#N/A</v>
      </c>
      <c r="H83" s="69" t="e">
        <f t="shared" si="13"/>
        <v>#N/A</v>
      </c>
      <c r="I83" s="69" t="e">
        <f t="shared" si="14"/>
        <v>#N/A</v>
      </c>
      <c r="J83" s="69" t="e">
        <f t="shared" si="15"/>
        <v>#N/A</v>
      </c>
      <c r="K83" s="69" t="e">
        <f t="shared" si="16"/>
        <v>#N/A</v>
      </c>
      <c r="L83" s="70" t="e">
        <f t="shared" si="17"/>
        <v>#N/A</v>
      </c>
      <c r="N83" s="105">
        <v>9.6</v>
      </c>
      <c r="O83" s="68"/>
      <c r="P83" s="68"/>
      <c r="Q83" s="68"/>
      <c r="R83" s="68"/>
      <c r="S83" s="69" t="e">
        <f t="shared" si="18"/>
        <v>#N/A</v>
      </c>
      <c r="T83" s="69" t="e">
        <f t="shared" si="19"/>
        <v>#N/A</v>
      </c>
      <c r="U83" s="69" t="e">
        <f t="shared" si="20"/>
        <v>#N/A</v>
      </c>
      <c r="V83" s="69" t="e">
        <f t="shared" si="21"/>
        <v>#N/A</v>
      </c>
      <c r="W83" s="69" t="e">
        <f t="shared" si="22"/>
        <v>#N/A</v>
      </c>
      <c r="X83" s="71" t="e">
        <f t="shared" si="23"/>
        <v>#N/A</v>
      </c>
    </row>
    <row r="84" spans="2:24" x14ac:dyDescent="0.2">
      <c r="B84" s="65">
        <v>11.6</v>
      </c>
      <c r="C84" s="65"/>
      <c r="D84" s="65"/>
      <c r="E84" s="65"/>
      <c r="F84" s="65"/>
      <c r="G84" s="66" t="e">
        <f t="shared" si="12"/>
        <v>#N/A</v>
      </c>
      <c r="H84" s="66" t="e">
        <f t="shared" si="13"/>
        <v>#N/A</v>
      </c>
      <c r="I84" s="66" t="e">
        <f t="shared" si="14"/>
        <v>#N/A</v>
      </c>
      <c r="J84" s="66" t="e">
        <f t="shared" si="15"/>
        <v>#N/A</v>
      </c>
      <c r="K84" s="66" t="e">
        <f t="shared" si="16"/>
        <v>#N/A</v>
      </c>
      <c r="L84" s="71" t="e">
        <f t="shared" si="17"/>
        <v>#N/A</v>
      </c>
      <c r="N84" s="104">
        <v>10.1</v>
      </c>
      <c r="O84" s="65"/>
      <c r="P84" s="65"/>
      <c r="Q84" s="65"/>
      <c r="R84" s="65"/>
      <c r="S84" s="66" t="e">
        <f t="shared" si="18"/>
        <v>#N/A</v>
      </c>
      <c r="T84" s="66" t="e">
        <f t="shared" si="19"/>
        <v>#N/A</v>
      </c>
      <c r="U84" s="66" t="e">
        <f t="shared" si="20"/>
        <v>#N/A</v>
      </c>
      <c r="V84" s="66" t="e">
        <f t="shared" si="21"/>
        <v>#N/A</v>
      </c>
      <c r="W84" s="66" t="e">
        <f t="shared" si="22"/>
        <v>#N/A</v>
      </c>
      <c r="X84" s="70" t="e">
        <f t="shared" si="23"/>
        <v>#N/A</v>
      </c>
    </row>
    <row r="85" spans="2:24" x14ac:dyDescent="0.2">
      <c r="B85" s="68">
        <v>11.7</v>
      </c>
      <c r="C85" s="68"/>
      <c r="D85" s="68"/>
      <c r="E85" s="68"/>
      <c r="F85" s="68"/>
      <c r="G85" s="69" t="e">
        <f t="shared" si="12"/>
        <v>#N/A</v>
      </c>
      <c r="H85" s="69" t="e">
        <f t="shared" si="13"/>
        <v>#N/A</v>
      </c>
      <c r="I85" s="69" t="e">
        <f t="shared" si="14"/>
        <v>#N/A</v>
      </c>
      <c r="J85" s="69" t="e">
        <f t="shared" si="15"/>
        <v>#N/A</v>
      </c>
      <c r="K85" s="69" t="e">
        <f t="shared" si="16"/>
        <v>#N/A</v>
      </c>
      <c r="L85" s="70" t="e">
        <f t="shared" si="17"/>
        <v>#N/A</v>
      </c>
      <c r="N85" s="105">
        <v>10.199999999999999</v>
      </c>
      <c r="O85" s="68"/>
      <c r="P85" s="68"/>
      <c r="Q85" s="68"/>
      <c r="R85" s="68"/>
      <c r="S85" s="69" t="e">
        <f t="shared" si="18"/>
        <v>#N/A</v>
      </c>
      <c r="T85" s="69" t="e">
        <f t="shared" si="19"/>
        <v>#N/A</v>
      </c>
      <c r="U85" s="69" t="e">
        <f t="shared" si="20"/>
        <v>#N/A</v>
      </c>
      <c r="V85" s="69" t="e">
        <f t="shared" si="21"/>
        <v>#N/A</v>
      </c>
      <c r="W85" s="69" t="e">
        <f t="shared" si="22"/>
        <v>#N/A</v>
      </c>
      <c r="X85" s="71" t="e">
        <f t="shared" si="23"/>
        <v>#N/A</v>
      </c>
    </row>
    <row r="86" spans="2:24" x14ac:dyDescent="0.2">
      <c r="B86" s="65">
        <v>12.1</v>
      </c>
      <c r="C86" s="65"/>
      <c r="D86" s="65"/>
      <c r="E86" s="65"/>
      <c r="F86" s="65"/>
      <c r="G86" s="66" t="e">
        <f t="shared" si="12"/>
        <v>#N/A</v>
      </c>
      <c r="H86" s="66" t="e">
        <f t="shared" si="13"/>
        <v>#N/A</v>
      </c>
      <c r="I86" s="66" t="e">
        <f t="shared" si="14"/>
        <v>#N/A</v>
      </c>
      <c r="J86" s="66" t="e">
        <f t="shared" si="15"/>
        <v>#N/A</v>
      </c>
      <c r="K86" s="66" t="e">
        <f t="shared" si="16"/>
        <v>#N/A</v>
      </c>
      <c r="L86" s="71" t="e">
        <f t="shared" si="17"/>
        <v>#N/A</v>
      </c>
      <c r="N86" s="104">
        <v>10.3</v>
      </c>
      <c r="O86" s="65"/>
      <c r="P86" s="65"/>
      <c r="Q86" s="65"/>
      <c r="R86" s="65"/>
      <c r="S86" s="66" t="e">
        <f t="shared" si="18"/>
        <v>#N/A</v>
      </c>
      <c r="T86" s="66" t="e">
        <f t="shared" si="19"/>
        <v>#N/A</v>
      </c>
      <c r="U86" s="66" t="e">
        <f t="shared" si="20"/>
        <v>#N/A</v>
      </c>
      <c r="V86" s="66" t="e">
        <f t="shared" si="21"/>
        <v>#N/A</v>
      </c>
      <c r="W86" s="66" t="e">
        <f t="shared" si="22"/>
        <v>#N/A</v>
      </c>
      <c r="X86" s="70" t="e">
        <f t="shared" si="23"/>
        <v>#N/A</v>
      </c>
    </row>
    <row r="87" spans="2:24" x14ac:dyDescent="0.2">
      <c r="B87" s="68">
        <v>12.2</v>
      </c>
      <c r="C87" s="68"/>
      <c r="D87" s="68"/>
      <c r="E87" s="68"/>
      <c r="F87" s="68"/>
      <c r="G87" s="69" t="e">
        <f t="shared" si="12"/>
        <v>#N/A</v>
      </c>
      <c r="H87" s="69" t="e">
        <f t="shared" si="13"/>
        <v>#N/A</v>
      </c>
      <c r="I87" s="69" t="e">
        <f t="shared" si="14"/>
        <v>#N/A</v>
      </c>
      <c r="J87" s="69" t="e">
        <f t="shared" si="15"/>
        <v>#N/A</v>
      </c>
      <c r="K87" s="69" t="e">
        <f t="shared" si="16"/>
        <v>#N/A</v>
      </c>
      <c r="L87" s="70" t="e">
        <f t="shared" si="17"/>
        <v>#N/A</v>
      </c>
      <c r="N87" s="105">
        <v>10.4</v>
      </c>
      <c r="O87" s="68"/>
      <c r="P87" s="68"/>
      <c r="Q87" s="68"/>
      <c r="R87" s="68"/>
      <c r="S87" s="69" t="e">
        <f t="shared" si="18"/>
        <v>#N/A</v>
      </c>
      <c r="T87" s="69" t="e">
        <f t="shared" si="19"/>
        <v>#N/A</v>
      </c>
      <c r="U87" s="69" t="e">
        <f t="shared" si="20"/>
        <v>#N/A</v>
      </c>
      <c r="V87" s="69" t="e">
        <f t="shared" si="21"/>
        <v>#N/A</v>
      </c>
      <c r="W87" s="69" t="e">
        <f t="shared" si="22"/>
        <v>#N/A</v>
      </c>
      <c r="X87" s="71" t="e">
        <f t="shared" si="23"/>
        <v>#N/A</v>
      </c>
    </row>
    <row r="88" spans="2:24" x14ac:dyDescent="0.2">
      <c r="B88" s="65">
        <v>12.3</v>
      </c>
      <c r="C88" s="65"/>
      <c r="D88" s="65"/>
      <c r="E88" s="65"/>
      <c r="F88" s="65"/>
      <c r="G88" s="66" t="e">
        <f t="shared" si="12"/>
        <v>#N/A</v>
      </c>
      <c r="H88" s="66" t="e">
        <f t="shared" si="13"/>
        <v>#N/A</v>
      </c>
      <c r="I88" s="66" t="e">
        <f t="shared" si="14"/>
        <v>#N/A</v>
      </c>
      <c r="J88" s="66" t="e">
        <f t="shared" si="15"/>
        <v>#N/A</v>
      </c>
      <c r="K88" s="66" t="e">
        <f t="shared" si="16"/>
        <v>#N/A</v>
      </c>
      <c r="L88" s="71" t="e">
        <f t="shared" si="17"/>
        <v>#N/A</v>
      </c>
      <c r="N88" s="104">
        <v>10.5</v>
      </c>
      <c r="O88" s="65"/>
      <c r="P88" s="65"/>
      <c r="Q88" s="65"/>
      <c r="R88" s="65"/>
      <c r="S88" s="66" t="e">
        <f t="shared" si="18"/>
        <v>#N/A</v>
      </c>
      <c r="T88" s="66" t="e">
        <f t="shared" si="19"/>
        <v>#N/A</v>
      </c>
      <c r="U88" s="66" t="e">
        <f t="shared" si="20"/>
        <v>#N/A</v>
      </c>
      <c r="V88" s="66" t="e">
        <f t="shared" si="21"/>
        <v>#N/A</v>
      </c>
      <c r="W88" s="66" t="e">
        <f t="shared" si="22"/>
        <v>#N/A</v>
      </c>
      <c r="X88" s="70" t="e">
        <f t="shared" si="23"/>
        <v>#N/A</v>
      </c>
    </row>
    <row r="89" spans="2:24" x14ac:dyDescent="0.2">
      <c r="B89" s="68">
        <v>12.4</v>
      </c>
      <c r="C89" s="68"/>
      <c r="D89" s="68"/>
      <c r="E89" s="68"/>
      <c r="F89" s="68"/>
      <c r="G89" s="69" t="e">
        <f t="shared" si="12"/>
        <v>#N/A</v>
      </c>
      <c r="H89" s="69" t="e">
        <f t="shared" si="13"/>
        <v>#N/A</v>
      </c>
      <c r="I89" s="69" t="e">
        <f t="shared" si="14"/>
        <v>#N/A</v>
      </c>
      <c r="J89" s="69" t="e">
        <f t="shared" si="15"/>
        <v>#N/A</v>
      </c>
      <c r="K89" s="69" t="e">
        <f t="shared" si="16"/>
        <v>#N/A</v>
      </c>
      <c r="L89" s="70" t="e">
        <f t="shared" si="17"/>
        <v>#N/A</v>
      </c>
      <c r="N89" s="105">
        <v>10.6</v>
      </c>
      <c r="O89" s="68"/>
      <c r="P89" s="68"/>
      <c r="Q89" s="68"/>
      <c r="R89" s="68"/>
      <c r="S89" s="69" t="e">
        <f t="shared" si="18"/>
        <v>#N/A</v>
      </c>
      <c r="T89" s="69" t="e">
        <f t="shared" si="19"/>
        <v>#N/A</v>
      </c>
      <c r="U89" s="69" t="e">
        <f t="shared" si="20"/>
        <v>#N/A</v>
      </c>
      <c r="V89" s="69" t="e">
        <f t="shared" si="21"/>
        <v>#N/A</v>
      </c>
      <c r="W89" s="69" t="e">
        <f t="shared" si="22"/>
        <v>#N/A</v>
      </c>
      <c r="X89" s="71" t="e">
        <f t="shared" si="23"/>
        <v>#N/A</v>
      </c>
    </row>
    <row r="90" spans="2:24" x14ac:dyDescent="0.2">
      <c r="B90" s="65">
        <v>12.5</v>
      </c>
      <c r="C90" s="65"/>
      <c r="D90" s="65"/>
      <c r="E90" s="65"/>
      <c r="F90" s="65"/>
      <c r="G90" s="66" t="e">
        <f t="shared" si="12"/>
        <v>#N/A</v>
      </c>
      <c r="H90" s="66" t="e">
        <f t="shared" si="13"/>
        <v>#N/A</v>
      </c>
      <c r="I90" s="66" t="e">
        <f t="shared" si="14"/>
        <v>#N/A</v>
      </c>
      <c r="J90" s="66" t="e">
        <f t="shared" si="15"/>
        <v>#N/A</v>
      </c>
      <c r="K90" s="66" t="e">
        <f t="shared" si="16"/>
        <v>#N/A</v>
      </c>
      <c r="L90" s="71" t="e">
        <f t="shared" si="17"/>
        <v>#N/A</v>
      </c>
      <c r="N90" s="104">
        <v>10.7</v>
      </c>
      <c r="O90" s="65"/>
      <c r="P90" s="65"/>
      <c r="Q90" s="65"/>
      <c r="R90" s="65"/>
      <c r="S90" s="66" t="e">
        <f t="shared" si="18"/>
        <v>#N/A</v>
      </c>
      <c r="T90" s="66" t="e">
        <f t="shared" si="19"/>
        <v>#N/A</v>
      </c>
      <c r="U90" s="66" t="e">
        <f t="shared" si="20"/>
        <v>#N/A</v>
      </c>
      <c r="V90" s="66" t="e">
        <f t="shared" si="21"/>
        <v>#N/A</v>
      </c>
      <c r="W90" s="66" t="e">
        <f t="shared" si="22"/>
        <v>#N/A</v>
      </c>
      <c r="X90" s="70" t="e">
        <f t="shared" si="23"/>
        <v>#N/A</v>
      </c>
    </row>
    <row r="91" spans="2:24" x14ac:dyDescent="0.2">
      <c r="B91" s="68">
        <v>12.6</v>
      </c>
      <c r="C91" s="68"/>
      <c r="D91" s="68"/>
      <c r="E91" s="68"/>
      <c r="F91" s="68"/>
      <c r="G91" s="69" t="e">
        <f t="shared" si="12"/>
        <v>#N/A</v>
      </c>
      <c r="H91" s="69" t="e">
        <f t="shared" si="13"/>
        <v>#N/A</v>
      </c>
      <c r="I91" s="69" t="e">
        <f t="shared" si="14"/>
        <v>#N/A</v>
      </c>
      <c r="J91" s="69" t="e">
        <f t="shared" si="15"/>
        <v>#N/A</v>
      </c>
      <c r="K91" s="69" t="e">
        <f t="shared" si="16"/>
        <v>#N/A</v>
      </c>
      <c r="L91" s="70" t="e">
        <f t="shared" si="17"/>
        <v>#N/A</v>
      </c>
      <c r="N91" s="105">
        <v>11.1</v>
      </c>
      <c r="O91" s="68"/>
      <c r="P91" s="68"/>
      <c r="Q91" s="68"/>
      <c r="R91" s="68"/>
      <c r="S91" s="69" t="e">
        <f t="shared" si="18"/>
        <v>#N/A</v>
      </c>
      <c r="T91" s="69" t="e">
        <f t="shared" si="19"/>
        <v>#N/A</v>
      </c>
      <c r="U91" s="69" t="e">
        <f t="shared" si="20"/>
        <v>#N/A</v>
      </c>
      <c r="V91" s="69" t="e">
        <f t="shared" si="21"/>
        <v>#N/A</v>
      </c>
      <c r="W91" s="69" t="e">
        <f t="shared" si="22"/>
        <v>#N/A</v>
      </c>
      <c r="X91" s="71" t="e">
        <f t="shared" si="23"/>
        <v>#N/A</v>
      </c>
    </row>
    <row r="92" spans="2:24" x14ac:dyDescent="0.2">
      <c r="B92" s="65">
        <v>12.8</v>
      </c>
      <c r="C92" s="65"/>
      <c r="D92" s="65"/>
      <c r="E92" s="65"/>
      <c r="F92" s="65"/>
      <c r="G92" s="66" t="e">
        <f t="shared" si="12"/>
        <v>#N/A</v>
      </c>
      <c r="H92" s="66" t="e">
        <f t="shared" si="13"/>
        <v>#N/A</v>
      </c>
      <c r="I92" s="66" t="e">
        <f t="shared" si="14"/>
        <v>#N/A</v>
      </c>
      <c r="J92" s="66" t="e">
        <f t="shared" si="15"/>
        <v>#N/A</v>
      </c>
      <c r="K92" s="66" t="e">
        <f t="shared" si="16"/>
        <v>#N/A</v>
      </c>
      <c r="L92" s="71" t="e">
        <f t="shared" si="17"/>
        <v>#N/A</v>
      </c>
      <c r="N92" s="104">
        <v>11.2</v>
      </c>
      <c r="O92" s="65"/>
      <c r="P92" s="65"/>
      <c r="Q92" s="65"/>
      <c r="R92" s="65"/>
      <c r="S92" s="66" t="e">
        <f t="shared" si="18"/>
        <v>#N/A</v>
      </c>
      <c r="T92" s="66" t="e">
        <f t="shared" si="19"/>
        <v>#N/A</v>
      </c>
      <c r="U92" s="66" t="e">
        <f t="shared" si="20"/>
        <v>#N/A</v>
      </c>
      <c r="V92" s="66" t="e">
        <f t="shared" si="21"/>
        <v>#N/A</v>
      </c>
      <c r="W92" s="66" t="e">
        <f t="shared" si="22"/>
        <v>#N/A</v>
      </c>
      <c r="X92" s="70" t="e">
        <f t="shared" si="23"/>
        <v>#N/A</v>
      </c>
    </row>
    <row r="93" spans="2:24" x14ac:dyDescent="0.2">
      <c r="B93" s="68">
        <v>12.11</v>
      </c>
      <c r="C93" s="68"/>
      <c r="D93" s="68"/>
      <c r="E93" s="68"/>
      <c r="F93" s="68"/>
      <c r="G93" s="69" t="e">
        <f t="shared" si="12"/>
        <v>#N/A</v>
      </c>
      <c r="H93" s="69" t="e">
        <f t="shared" si="13"/>
        <v>#N/A</v>
      </c>
      <c r="I93" s="69" t="e">
        <f t="shared" si="14"/>
        <v>#N/A</v>
      </c>
      <c r="J93" s="69" t="e">
        <f t="shared" si="15"/>
        <v>#N/A</v>
      </c>
      <c r="K93" s="69" t="e">
        <f t="shared" si="16"/>
        <v>#N/A</v>
      </c>
      <c r="L93" s="70" t="e">
        <f t="shared" si="17"/>
        <v>#N/A</v>
      </c>
      <c r="N93" s="105">
        <v>11.3</v>
      </c>
      <c r="O93" s="68"/>
      <c r="P93" s="68"/>
      <c r="Q93" s="68"/>
      <c r="R93" s="68"/>
      <c r="S93" s="69" t="e">
        <f t="shared" si="18"/>
        <v>#N/A</v>
      </c>
      <c r="T93" s="69" t="e">
        <f t="shared" si="19"/>
        <v>#N/A</v>
      </c>
      <c r="U93" s="69" t="e">
        <f t="shared" si="20"/>
        <v>#N/A</v>
      </c>
      <c r="V93" s="69" t="e">
        <f t="shared" si="21"/>
        <v>#N/A</v>
      </c>
      <c r="W93" s="69" t="e">
        <f t="shared" si="22"/>
        <v>#N/A</v>
      </c>
      <c r="X93" s="71" t="e">
        <f t="shared" si="23"/>
        <v>#N/A</v>
      </c>
    </row>
    <row r="94" spans="2:24" x14ac:dyDescent="0.2">
      <c r="B94" s="65">
        <v>13.1</v>
      </c>
      <c r="C94" s="65"/>
      <c r="D94" s="65"/>
      <c r="E94" s="65"/>
      <c r="F94" s="65"/>
      <c r="G94" s="66" t="e">
        <f t="shared" si="12"/>
        <v>#N/A</v>
      </c>
      <c r="H94" s="66" t="e">
        <f t="shared" si="13"/>
        <v>#N/A</v>
      </c>
      <c r="I94" s="66" t="e">
        <f t="shared" si="14"/>
        <v>#N/A</v>
      </c>
      <c r="J94" s="66" t="e">
        <f t="shared" si="15"/>
        <v>#N/A</v>
      </c>
      <c r="K94" s="66" t="e">
        <f t="shared" si="16"/>
        <v>#N/A</v>
      </c>
      <c r="L94" s="71" t="e">
        <f t="shared" si="17"/>
        <v>#N/A</v>
      </c>
      <c r="N94" s="104">
        <v>11.4</v>
      </c>
      <c r="O94" s="65"/>
      <c r="P94" s="65"/>
      <c r="Q94" s="65"/>
      <c r="R94" s="65"/>
      <c r="S94" s="66" t="e">
        <f t="shared" si="18"/>
        <v>#N/A</v>
      </c>
      <c r="T94" s="66" t="e">
        <f t="shared" si="19"/>
        <v>#N/A</v>
      </c>
      <c r="U94" s="66" t="e">
        <f t="shared" si="20"/>
        <v>#N/A</v>
      </c>
      <c r="V94" s="66" t="e">
        <f t="shared" si="21"/>
        <v>#N/A</v>
      </c>
      <c r="W94" s="66" t="e">
        <f t="shared" si="22"/>
        <v>#N/A</v>
      </c>
      <c r="X94" s="70" t="e">
        <f t="shared" si="23"/>
        <v>#N/A</v>
      </c>
    </row>
    <row r="95" spans="2:24" x14ac:dyDescent="0.2">
      <c r="B95" s="68">
        <v>13.2</v>
      </c>
      <c r="C95" s="68"/>
      <c r="D95" s="68"/>
      <c r="E95" s="68"/>
      <c r="F95" s="68"/>
      <c r="G95" s="69" t="e">
        <f t="shared" si="12"/>
        <v>#N/A</v>
      </c>
      <c r="H95" s="69" t="e">
        <f t="shared" si="13"/>
        <v>#N/A</v>
      </c>
      <c r="I95" s="69" t="e">
        <f t="shared" si="14"/>
        <v>#N/A</v>
      </c>
      <c r="J95" s="69" t="e">
        <f t="shared" si="15"/>
        <v>#N/A</v>
      </c>
      <c r="K95" s="69" t="e">
        <f t="shared" si="16"/>
        <v>#N/A</v>
      </c>
      <c r="L95" s="70" t="e">
        <f t="shared" si="17"/>
        <v>#N/A</v>
      </c>
      <c r="N95" s="105">
        <v>11.5</v>
      </c>
      <c r="O95" s="68"/>
      <c r="P95" s="68"/>
      <c r="Q95" s="68"/>
      <c r="R95" s="68"/>
      <c r="S95" s="69" t="e">
        <f t="shared" si="18"/>
        <v>#N/A</v>
      </c>
      <c r="T95" s="69" t="e">
        <f t="shared" si="19"/>
        <v>#N/A</v>
      </c>
      <c r="U95" s="69" t="e">
        <f t="shared" si="20"/>
        <v>#N/A</v>
      </c>
      <c r="V95" s="69" t="e">
        <f t="shared" si="21"/>
        <v>#N/A</v>
      </c>
      <c r="W95" s="69" t="e">
        <f t="shared" si="22"/>
        <v>#N/A</v>
      </c>
      <c r="X95" s="71" t="e">
        <f t="shared" si="23"/>
        <v>#N/A</v>
      </c>
    </row>
    <row r="96" spans="2:24" x14ac:dyDescent="0.2">
      <c r="B96" s="65">
        <v>13.4</v>
      </c>
      <c r="C96" s="65"/>
      <c r="D96" s="65"/>
      <c r="E96" s="65"/>
      <c r="F96" s="65"/>
      <c r="G96" s="66" t="e">
        <f t="shared" si="12"/>
        <v>#N/A</v>
      </c>
      <c r="H96" s="66" t="e">
        <f t="shared" si="13"/>
        <v>#N/A</v>
      </c>
      <c r="I96" s="66" t="e">
        <f t="shared" si="14"/>
        <v>#N/A</v>
      </c>
      <c r="J96" s="66" t="e">
        <f t="shared" si="15"/>
        <v>#N/A</v>
      </c>
      <c r="K96" s="66" t="e">
        <f t="shared" si="16"/>
        <v>#N/A</v>
      </c>
      <c r="L96" s="71" t="e">
        <f t="shared" si="17"/>
        <v>#N/A</v>
      </c>
      <c r="N96" s="104">
        <v>12.1</v>
      </c>
      <c r="O96" s="65"/>
      <c r="P96" s="65"/>
      <c r="Q96" s="65"/>
      <c r="R96" s="65"/>
      <c r="S96" s="66" t="e">
        <f t="shared" si="18"/>
        <v>#N/A</v>
      </c>
      <c r="T96" s="66" t="e">
        <f t="shared" si="19"/>
        <v>#N/A</v>
      </c>
      <c r="U96" s="66" t="e">
        <f t="shared" si="20"/>
        <v>#N/A</v>
      </c>
      <c r="V96" s="66" t="e">
        <f t="shared" si="21"/>
        <v>#N/A</v>
      </c>
      <c r="W96" s="66" t="e">
        <f t="shared" si="22"/>
        <v>#N/A</v>
      </c>
      <c r="X96" s="70" t="e">
        <f t="shared" si="23"/>
        <v>#N/A</v>
      </c>
    </row>
    <row r="97" spans="2:24" x14ac:dyDescent="0.2">
      <c r="B97" s="68">
        <v>13.6</v>
      </c>
      <c r="C97" s="68"/>
      <c r="D97" s="68"/>
      <c r="E97" s="68"/>
      <c r="F97" s="68"/>
      <c r="G97" s="69" t="e">
        <f t="shared" si="12"/>
        <v>#N/A</v>
      </c>
      <c r="H97" s="69" t="e">
        <f t="shared" si="13"/>
        <v>#N/A</v>
      </c>
      <c r="I97" s="69" t="e">
        <f t="shared" si="14"/>
        <v>#N/A</v>
      </c>
      <c r="J97" s="69" t="e">
        <f t="shared" si="15"/>
        <v>#N/A</v>
      </c>
      <c r="K97" s="69" t="e">
        <f t="shared" si="16"/>
        <v>#N/A</v>
      </c>
      <c r="L97" s="70" t="e">
        <f t="shared" si="17"/>
        <v>#N/A</v>
      </c>
      <c r="N97" s="105">
        <v>12.2</v>
      </c>
      <c r="O97" s="68"/>
      <c r="P97" s="68"/>
      <c r="Q97" s="68"/>
      <c r="R97" s="68"/>
      <c r="S97" s="69" t="e">
        <f t="shared" si="18"/>
        <v>#N/A</v>
      </c>
      <c r="T97" s="69" t="e">
        <f t="shared" si="19"/>
        <v>#N/A</v>
      </c>
      <c r="U97" s="69" t="e">
        <f t="shared" si="20"/>
        <v>#N/A</v>
      </c>
      <c r="V97" s="69" t="e">
        <f t="shared" si="21"/>
        <v>#N/A</v>
      </c>
      <c r="W97" s="69" t="e">
        <f t="shared" si="22"/>
        <v>#N/A</v>
      </c>
      <c r="X97" s="71" t="e">
        <f t="shared" si="23"/>
        <v>#N/A</v>
      </c>
    </row>
    <row r="98" spans="2:24" x14ac:dyDescent="0.2">
      <c r="B98" s="65">
        <v>13.7</v>
      </c>
      <c r="C98" s="65"/>
      <c r="D98" s="65"/>
      <c r="E98" s="65"/>
      <c r="F98" s="65"/>
      <c r="G98" s="66" t="e">
        <f t="shared" si="12"/>
        <v>#N/A</v>
      </c>
      <c r="H98" s="66" t="e">
        <f t="shared" si="13"/>
        <v>#N/A</v>
      </c>
      <c r="I98" s="66" t="e">
        <f t="shared" si="14"/>
        <v>#N/A</v>
      </c>
      <c r="J98" s="66" t="e">
        <f t="shared" si="15"/>
        <v>#N/A</v>
      </c>
      <c r="K98" s="66" t="e">
        <f t="shared" si="16"/>
        <v>#N/A</v>
      </c>
      <c r="L98" s="71" t="e">
        <f t="shared" si="17"/>
        <v>#N/A</v>
      </c>
      <c r="N98" s="104">
        <v>12.3</v>
      </c>
      <c r="O98" s="65"/>
      <c r="P98" s="65"/>
      <c r="Q98" s="65"/>
      <c r="R98" s="65"/>
      <c r="S98" s="66" t="e">
        <f t="shared" si="18"/>
        <v>#N/A</v>
      </c>
      <c r="T98" s="66" t="e">
        <f t="shared" si="19"/>
        <v>#N/A</v>
      </c>
      <c r="U98" s="66" t="e">
        <f t="shared" si="20"/>
        <v>#N/A</v>
      </c>
      <c r="V98" s="66" t="e">
        <f t="shared" si="21"/>
        <v>#N/A</v>
      </c>
      <c r="W98" s="66" t="e">
        <f t="shared" si="22"/>
        <v>#N/A</v>
      </c>
      <c r="X98" s="70" t="e">
        <f t="shared" si="23"/>
        <v>#N/A</v>
      </c>
    </row>
    <row r="99" spans="2:24" x14ac:dyDescent="0.2">
      <c r="B99" s="68">
        <v>14.1</v>
      </c>
      <c r="C99" s="68"/>
      <c r="D99" s="68"/>
      <c r="E99" s="68"/>
      <c r="F99" s="68"/>
      <c r="G99" s="69" t="e">
        <f t="shared" si="12"/>
        <v>#N/A</v>
      </c>
      <c r="H99" s="69" t="e">
        <f t="shared" si="13"/>
        <v>#N/A</v>
      </c>
      <c r="I99" s="69" t="e">
        <f t="shared" si="14"/>
        <v>#N/A</v>
      </c>
      <c r="J99" s="69" t="e">
        <f t="shared" si="15"/>
        <v>#N/A</v>
      </c>
      <c r="K99" s="69" t="e">
        <f t="shared" si="16"/>
        <v>#N/A</v>
      </c>
      <c r="L99" s="70" t="e">
        <f t="shared" si="17"/>
        <v>#N/A</v>
      </c>
      <c r="N99" s="105">
        <v>12.4</v>
      </c>
      <c r="O99" s="68"/>
      <c r="P99" s="68"/>
      <c r="Q99" s="68"/>
      <c r="R99" s="68"/>
      <c r="S99" s="69" t="e">
        <f t="shared" si="18"/>
        <v>#N/A</v>
      </c>
      <c r="T99" s="69" t="e">
        <f t="shared" si="19"/>
        <v>#N/A</v>
      </c>
      <c r="U99" s="69" t="e">
        <f t="shared" si="20"/>
        <v>#N/A</v>
      </c>
      <c r="V99" s="69" t="e">
        <f t="shared" si="21"/>
        <v>#N/A</v>
      </c>
      <c r="W99" s="69" t="e">
        <f t="shared" si="22"/>
        <v>#N/A</v>
      </c>
      <c r="X99" s="71" t="e">
        <f t="shared" si="23"/>
        <v>#N/A</v>
      </c>
    </row>
    <row r="100" spans="2:24" x14ac:dyDescent="0.2">
      <c r="B100" s="65">
        <v>14.2</v>
      </c>
      <c r="C100" s="65"/>
      <c r="D100" s="65"/>
      <c r="E100" s="65"/>
      <c r="F100" s="65"/>
      <c r="G100" s="66" t="e">
        <f t="shared" si="12"/>
        <v>#N/A</v>
      </c>
      <c r="H100" s="66" t="e">
        <f t="shared" si="13"/>
        <v>#N/A</v>
      </c>
      <c r="I100" s="66" t="e">
        <f t="shared" si="14"/>
        <v>#N/A</v>
      </c>
      <c r="J100" s="66" t="e">
        <f t="shared" si="15"/>
        <v>#N/A</v>
      </c>
      <c r="K100" s="66" t="e">
        <f t="shared" si="16"/>
        <v>#N/A</v>
      </c>
      <c r="L100" s="71" t="e">
        <f t="shared" si="17"/>
        <v>#N/A</v>
      </c>
      <c r="N100" s="104">
        <v>12.5</v>
      </c>
      <c r="O100" s="65"/>
      <c r="P100" s="65"/>
      <c r="Q100" s="65"/>
      <c r="R100" s="65"/>
      <c r="S100" s="66" t="e">
        <f t="shared" si="18"/>
        <v>#N/A</v>
      </c>
      <c r="T100" s="66" t="e">
        <f t="shared" si="19"/>
        <v>#N/A</v>
      </c>
      <c r="U100" s="66" t="e">
        <f t="shared" si="20"/>
        <v>#N/A</v>
      </c>
      <c r="V100" s="66" t="e">
        <f t="shared" si="21"/>
        <v>#N/A</v>
      </c>
      <c r="W100" s="66" t="e">
        <f t="shared" si="22"/>
        <v>#N/A</v>
      </c>
      <c r="X100" s="70" t="e">
        <f t="shared" si="23"/>
        <v>#N/A</v>
      </c>
    </row>
    <row r="101" spans="2:24" x14ac:dyDescent="0.2">
      <c r="B101" s="68">
        <v>14.3</v>
      </c>
      <c r="C101" s="68"/>
      <c r="D101" s="68"/>
      <c r="E101" s="68"/>
      <c r="F101" s="68"/>
      <c r="G101" s="69" t="e">
        <f t="shared" si="12"/>
        <v>#N/A</v>
      </c>
      <c r="H101" s="69" t="e">
        <f t="shared" si="13"/>
        <v>#N/A</v>
      </c>
      <c r="I101" s="69" t="e">
        <f t="shared" si="14"/>
        <v>#N/A</v>
      </c>
      <c r="J101" s="69" t="e">
        <f t="shared" si="15"/>
        <v>#N/A</v>
      </c>
      <c r="K101" s="69" t="e">
        <f t="shared" si="16"/>
        <v>#N/A</v>
      </c>
      <c r="L101" s="70" t="e">
        <f t="shared" si="17"/>
        <v>#N/A</v>
      </c>
      <c r="N101" s="105">
        <v>12.6</v>
      </c>
      <c r="O101" s="68"/>
      <c r="P101" s="68"/>
      <c r="Q101" s="68"/>
      <c r="R101" s="68"/>
      <c r="S101" s="69" t="e">
        <f t="shared" si="18"/>
        <v>#N/A</v>
      </c>
      <c r="T101" s="69" t="e">
        <f t="shared" si="19"/>
        <v>#N/A</v>
      </c>
      <c r="U101" s="69" t="e">
        <f t="shared" si="20"/>
        <v>#N/A</v>
      </c>
      <c r="V101" s="69" t="e">
        <f t="shared" si="21"/>
        <v>#N/A</v>
      </c>
      <c r="W101" s="69" t="e">
        <f t="shared" si="22"/>
        <v>#N/A</v>
      </c>
      <c r="X101" s="71" t="e">
        <f t="shared" si="23"/>
        <v>#N/A</v>
      </c>
    </row>
    <row r="102" spans="2:24" x14ac:dyDescent="0.2">
      <c r="B102" s="65">
        <v>14.4</v>
      </c>
      <c r="C102" s="65"/>
      <c r="D102" s="65"/>
      <c r="E102" s="65"/>
      <c r="F102" s="65"/>
      <c r="G102" s="66" t="e">
        <f t="shared" si="12"/>
        <v>#N/A</v>
      </c>
      <c r="H102" s="66" t="e">
        <f t="shared" si="13"/>
        <v>#N/A</v>
      </c>
      <c r="I102" s="66" t="e">
        <f t="shared" si="14"/>
        <v>#N/A</v>
      </c>
      <c r="J102" s="66" t="e">
        <f t="shared" si="15"/>
        <v>#N/A</v>
      </c>
      <c r="K102" s="66" t="e">
        <f t="shared" si="16"/>
        <v>#N/A</v>
      </c>
      <c r="L102" s="71" t="e">
        <f t="shared" si="17"/>
        <v>#N/A</v>
      </c>
      <c r="N102" s="104">
        <v>12.7</v>
      </c>
      <c r="O102" s="65"/>
      <c r="P102" s="65"/>
      <c r="Q102" s="65"/>
      <c r="R102" s="65"/>
      <c r="S102" s="66" t="e">
        <f t="shared" si="18"/>
        <v>#N/A</v>
      </c>
      <c r="T102" s="66" t="e">
        <f t="shared" si="19"/>
        <v>#N/A</v>
      </c>
      <c r="U102" s="66" t="e">
        <f t="shared" si="20"/>
        <v>#N/A</v>
      </c>
      <c r="V102" s="66" t="e">
        <f t="shared" si="21"/>
        <v>#N/A</v>
      </c>
      <c r="W102" s="66" t="e">
        <f t="shared" si="22"/>
        <v>#N/A</v>
      </c>
      <c r="X102" s="70" t="e">
        <f t="shared" si="23"/>
        <v>#N/A</v>
      </c>
    </row>
    <row r="103" spans="2:24" x14ac:dyDescent="0.2">
      <c r="B103" s="68">
        <v>14.6</v>
      </c>
      <c r="C103" s="68"/>
      <c r="D103" s="68"/>
      <c r="E103" s="68"/>
      <c r="F103" s="68"/>
      <c r="G103" s="69" t="e">
        <f t="shared" si="12"/>
        <v>#N/A</v>
      </c>
      <c r="H103" s="69" t="e">
        <f t="shared" si="13"/>
        <v>#N/A</v>
      </c>
      <c r="I103" s="69" t="e">
        <f t="shared" si="14"/>
        <v>#N/A</v>
      </c>
      <c r="J103" s="69" t="e">
        <f t="shared" si="15"/>
        <v>#N/A</v>
      </c>
      <c r="K103" s="69" t="e">
        <f t="shared" si="16"/>
        <v>#N/A</v>
      </c>
      <c r="L103" s="70" t="e">
        <f t="shared" si="17"/>
        <v>#N/A</v>
      </c>
      <c r="N103" s="105">
        <v>13.1</v>
      </c>
      <c r="O103" s="68"/>
      <c r="P103" s="68"/>
      <c r="Q103" s="68"/>
      <c r="R103" s="68"/>
      <c r="S103" s="69" t="e">
        <f t="shared" si="18"/>
        <v>#N/A</v>
      </c>
      <c r="T103" s="69" t="e">
        <f t="shared" si="19"/>
        <v>#N/A</v>
      </c>
      <c r="U103" s="69" t="e">
        <f t="shared" si="20"/>
        <v>#N/A</v>
      </c>
      <c r="V103" s="69" t="e">
        <f t="shared" si="21"/>
        <v>#N/A</v>
      </c>
      <c r="W103" s="69" t="e">
        <f t="shared" si="22"/>
        <v>#N/A</v>
      </c>
      <c r="X103" s="71" t="e">
        <f t="shared" si="23"/>
        <v>#N/A</v>
      </c>
    </row>
    <row r="104" spans="2:24" x14ac:dyDescent="0.2">
      <c r="B104" s="65">
        <v>15.1</v>
      </c>
      <c r="C104" s="65"/>
      <c r="D104" s="65"/>
      <c r="E104" s="65"/>
      <c r="F104" s="65"/>
      <c r="G104" s="66" t="e">
        <f t="shared" si="12"/>
        <v>#N/A</v>
      </c>
      <c r="H104" s="66" t="e">
        <f t="shared" si="13"/>
        <v>#N/A</v>
      </c>
      <c r="I104" s="66" t="e">
        <f t="shared" si="14"/>
        <v>#N/A</v>
      </c>
      <c r="J104" s="66" t="e">
        <f t="shared" si="15"/>
        <v>#N/A</v>
      </c>
      <c r="K104" s="66" t="e">
        <f t="shared" si="16"/>
        <v>#N/A</v>
      </c>
      <c r="L104" s="71" t="e">
        <f t="shared" si="17"/>
        <v>#N/A</v>
      </c>
      <c r="N104" s="104">
        <v>13.2</v>
      </c>
      <c r="O104" s="65"/>
      <c r="P104" s="65"/>
      <c r="Q104" s="65"/>
      <c r="R104" s="65"/>
      <c r="S104" s="66" t="e">
        <f t="shared" si="18"/>
        <v>#N/A</v>
      </c>
      <c r="T104" s="66" t="e">
        <f t="shared" si="19"/>
        <v>#N/A</v>
      </c>
      <c r="U104" s="66" t="e">
        <f t="shared" si="20"/>
        <v>#N/A</v>
      </c>
      <c r="V104" s="66" t="e">
        <f t="shared" si="21"/>
        <v>#N/A</v>
      </c>
      <c r="W104" s="66" t="e">
        <f t="shared" si="22"/>
        <v>#N/A</v>
      </c>
      <c r="X104" s="70" t="e">
        <f t="shared" si="23"/>
        <v>#N/A</v>
      </c>
    </row>
    <row r="105" spans="2:24" x14ac:dyDescent="0.2">
      <c r="B105" s="68">
        <v>15.2</v>
      </c>
      <c r="C105" s="68"/>
      <c r="D105" s="68"/>
      <c r="E105" s="68"/>
      <c r="F105" s="68"/>
      <c r="G105" s="69" t="e">
        <f t="shared" si="12"/>
        <v>#N/A</v>
      </c>
      <c r="H105" s="69" t="e">
        <f t="shared" si="13"/>
        <v>#N/A</v>
      </c>
      <c r="I105" s="69" t="e">
        <f t="shared" si="14"/>
        <v>#N/A</v>
      </c>
      <c r="J105" s="69" t="e">
        <f t="shared" si="15"/>
        <v>#N/A</v>
      </c>
      <c r="K105" s="69" t="e">
        <f t="shared" si="16"/>
        <v>#N/A</v>
      </c>
      <c r="L105" s="70" t="e">
        <f t="shared" si="17"/>
        <v>#N/A</v>
      </c>
      <c r="N105" s="105">
        <v>13.3</v>
      </c>
      <c r="O105" s="68"/>
      <c r="P105" s="68"/>
      <c r="Q105" s="68"/>
      <c r="R105" s="68"/>
      <c r="S105" s="69" t="e">
        <f t="shared" si="18"/>
        <v>#N/A</v>
      </c>
      <c r="T105" s="69" t="e">
        <f t="shared" si="19"/>
        <v>#N/A</v>
      </c>
      <c r="U105" s="69" t="e">
        <f t="shared" si="20"/>
        <v>#N/A</v>
      </c>
      <c r="V105" s="69" t="e">
        <f t="shared" si="21"/>
        <v>#N/A</v>
      </c>
      <c r="W105" s="69" t="e">
        <f t="shared" si="22"/>
        <v>#N/A</v>
      </c>
      <c r="X105" s="71" t="e">
        <f t="shared" si="23"/>
        <v>#N/A</v>
      </c>
    </row>
    <row r="106" spans="2:24" x14ac:dyDescent="0.2">
      <c r="B106" s="65">
        <v>15.3</v>
      </c>
      <c r="C106" s="65"/>
      <c r="D106" s="65"/>
      <c r="E106" s="65"/>
      <c r="F106" s="65"/>
      <c r="G106" s="66" t="e">
        <f t="shared" si="12"/>
        <v>#N/A</v>
      </c>
      <c r="H106" s="66" t="e">
        <f t="shared" si="13"/>
        <v>#N/A</v>
      </c>
      <c r="I106" s="66" t="e">
        <f t="shared" si="14"/>
        <v>#N/A</v>
      </c>
      <c r="J106" s="66" t="e">
        <f t="shared" si="15"/>
        <v>#N/A</v>
      </c>
      <c r="K106" s="66" t="e">
        <f t="shared" si="16"/>
        <v>#N/A</v>
      </c>
      <c r="L106" s="71" t="e">
        <f t="shared" si="17"/>
        <v>#N/A</v>
      </c>
      <c r="N106" s="104">
        <v>13.4</v>
      </c>
      <c r="O106" s="65"/>
      <c r="P106" s="65"/>
      <c r="Q106" s="65"/>
      <c r="R106" s="65"/>
      <c r="S106" s="66" t="e">
        <f t="shared" si="18"/>
        <v>#N/A</v>
      </c>
      <c r="T106" s="66" t="e">
        <f t="shared" si="19"/>
        <v>#N/A</v>
      </c>
      <c r="U106" s="66" t="e">
        <f t="shared" si="20"/>
        <v>#N/A</v>
      </c>
      <c r="V106" s="66" t="e">
        <f t="shared" si="21"/>
        <v>#N/A</v>
      </c>
      <c r="W106" s="66" t="e">
        <f t="shared" si="22"/>
        <v>#N/A</v>
      </c>
      <c r="X106" s="70" t="e">
        <f t="shared" si="23"/>
        <v>#N/A</v>
      </c>
    </row>
    <row r="107" spans="2:24" x14ac:dyDescent="0.2">
      <c r="B107" s="68">
        <v>15.6</v>
      </c>
      <c r="C107" s="68"/>
      <c r="D107" s="68"/>
      <c r="E107" s="68"/>
      <c r="F107" s="68"/>
      <c r="G107" s="69" t="e">
        <f t="shared" si="12"/>
        <v>#N/A</v>
      </c>
      <c r="H107" s="69" t="e">
        <f t="shared" si="13"/>
        <v>#N/A</v>
      </c>
      <c r="I107" s="69" t="e">
        <f t="shared" si="14"/>
        <v>#N/A</v>
      </c>
      <c r="J107" s="69" t="e">
        <f t="shared" si="15"/>
        <v>#N/A</v>
      </c>
      <c r="K107" s="69" t="e">
        <f t="shared" si="16"/>
        <v>#N/A</v>
      </c>
      <c r="L107" s="70" t="e">
        <f t="shared" si="17"/>
        <v>#N/A</v>
      </c>
      <c r="N107" s="105">
        <v>13.5</v>
      </c>
      <c r="O107" s="68"/>
      <c r="P107" s="68"/>
      <c r="Q107" s="68"/>
      <c r="R107" s="68"/>
      <c r="S107" s="69" t="e">
        <f t="shared" si="18"/>
        <v>#N/A</v>
      </c>
      <c r="T107" s="69" t="e">
        <f t="shared" si="19"/>
        <v>#N/A</v>
      </c>
      <c r="U107" s="69" t="e">
        <f t="shared" si="20"/>
        <v>#N/A</v>
      </c>
      <c r="V107" s="69" t="e">
        <f t="shared" si="21"/>
        <v>#N/A</v>
      </c>
      <c r="W107" s="69" t="e">
        <f t="shared" si="22"/>
        <v>#N/A</v>
      </c>
      <c r="X107" s="71" t="e">
        <f t="shared" si="23"/>
        <v>#N/A</v>
      </c>
    </row>
    <row r="108" spans="2:24" x14ac:dyDescent="0.2">
      <c r="B108" s="65">
        <v>15.7</v>
      </c>
      <c r="C108" s="65"/>
      <c r="D108" s="65"/>
      <c r="E108" s="65"/>
      <c r="F108" s="65"/>
      <c r="G108" s="66" t="e">
        <f t="shared" si="12"/>
        <v>#N/A</v>
      </c>
      <c r="H108" s="66" t="e">
        <f t="shared" si="13"/>
        <v>#N/A</v>
      </c>
      <c r="I108" s="66" t="e">
        <f t="shared" si="14"/>
        <v>#N/A</v>
      </c>
      <c r="J108" s="66" t="e">
        <f t="shared" si="15"/>
        <v>#N/A</v>
      </c>
      <c r="K108" s="66" t="e">
        <f t="shared" si="16"/>
        <v>#N/A</v>
      </c>
      <c r="L108" s="71" t="e">
        <f t="shared" si="17"/>
        <v>#N/A</v>
      </c>
      <c r="N108" s="104">
        <v>13.6</v>
      </c>
      <c r="O108" s="65"/>
      <c r="P108" s="65"/>
      <c r="Q108" s="65"/>
      <c r="R108" s="65"/>
      <c r="S108" s="66" t="e">
        <f t="shared" si="18"/>
        <v>#N/A</v>
      </c>
      <c r="T108" s="66" t="e">
        <f t="shared" si="19"/>
        <v>#N/A</v>
      </c>
      <c r="U108" s="66" t="e">
        <f t="shared" si="20"/>
        <v>#N/A</v>
      </c>
      <c r="V108" s="66" t="e">
        <f t="shared" si="21"/>
        <v>#N/A</v>
      </c>
      <c r="W108" s="66" t="e">
        <f t="shared" si="22"/>
        <v>#N/A</v>
      </c>
      <c r="X108" s="70" t="e">
        <f t="shared" si="23"/>
        <v>#N/A</v>
      </c>
    </row>
    <row r="109" spans="2:24" x14ac:dyDescent="0.2">
      <c r="B109" s="68">
        <v>15.9</v>
      </c>
      <c r="C109" s="68"/>
      <c r="D109" s="68"/>
      <c r="E109" s="68"/>
      <c r="F109" s="68"/>
      <c r="G109" s="69" t="e">
        <f t="shared" si="12"/>
        <v>#N/A</v>
      </c>
      <c r="H109" s="69" t="e">
        <f t="shared" si="13"/>
        <v>#N/A</v>
      </c>
      <c r="I109" s="69" t="e">
        <f t="shared" si="14"/>
        <v>#N/A</v>
      </c>
      <c r="J109" s="69" t="e">
        <f t="shared" si="15"/>
        <v>#N/A</v>
      </c>
      <c r="K109" s="69" t="e">
        <f t="shared" si="16"/>
        <v>#N/A</v>
      </c>
      <c r="L109" s="70" t="e">
        <f t="shared" si="17"/>
        <v>#N/A</v>
      </c>
      <c r="N109" s="105">
        <v>14.1</v>
      </c>
      <c r="O109" s="68"/>
      <c r="P109" s="68"/>
      <c r="Q109" s="68"/>
      <c r="R109" s="68"/>
      <c r="S109" s="69" t="e">
        <f t="shared" si="18"/>
        <v>#N/A</v>
      </c>
      <c r="T109" s="69" t="e">
        <f t="shared" si="19"/>
        <v>#N/A</v>
      </c>
      <c r="U109" s="69" t="e">
        <f t="shared" si="20"/>
        <v>#N/A</v>
      </c>
      <c r="V109" s="69" t="e">
        <f t="shared" si="21"/>
        <v>#N/A</v>
      </c>
      <c r="W109" s="69" t="e">
        <f t="shared" si="22"/>
        <v>#N/A</v>
      </c>
      <c r="X109" s="71" t="e">
        <f t="shared" si="23"/>
        <v>#N/A</v>
      </c>
    </row>
    <row r="110" spans="2:24" x14ac:dyDescent="0.2">
      <c r="B110" s="65" t="s">
        <v>545</v>
      </c>
      <c r="C110" s="65"/>
      <c r="D110" s="65"/>
      <c r="E110" s="65"/>
      <c r="F110" s="65"/>
      <c r="G110" s="66" t="e">
        <f t="shared" si="12"/>
        <v>#N/A</v>
      </c>
      <c r="H110" s="66" t="e">
        <f t="shared" si="13"/>
        <v>#N/A</v>
      </c>
      <c r="I110" s="66" t="e">
        <f t="shared" si="14"/>
        <v>#N/A</v>
      </c>
      <c r="J110" s="66" t="e">
        <f t="shared" si="15"/>
        <v>#N/A</v>
      </c>
      <c r="K110" s="66" t="e">
        <f t="shared" si="16"/>
        <v>#N/A</v>
      </c>
      <c r="L110" s="71" t="e">
        <f t="shared" si="17"/>
        <v>#N/A</v>
      </c>
      <c r="N110" s="104">
        <v>14.2</v>
      </c>
      <c r="O110" s="65"/>
      <c r="P110" s="65"/>
      <c r="Q110" s="65"/>
      <c r="R110" s="65"/>
      <c r="S110" s="66" t="e">
        <f t="shared" si="18"/>
        <v>#N/A</v>
      </c>
      <c r="T110" s="66" t="e">
        <f t="shared" si="19"/>
        <v>#N/A</v>
      </c>
      <c r="U110" s="66" t="e">
        <f t="shared" si="20"/>
        <v>#N/A</v>
      </c>
      <c r="V110" s="66" t="e">
        <f t="shared" si="21"/>
        <v>#N/A</v>
      </c>
      <c r="W110" s="66" t="e">
        <f t="shared" si="22"/>
        <v>#N/A</v>
      </c>
      <c r="X110" s="70" t="e">
        <f t="shared" si="23"/>
        <v>#N/A</v>
      </c>
    </row>
    <row r="111" spans="2:24" x14ac:dyDescent="0.2">
      <c r="B111" s="68">
        <v>16.100000000000001</v>
      </c>
      <c r="C111" s="68"/>
      <c r="D111" s="68"/>
      <c r="E111" s="68"/>
      <c r="F111" s="68"/>
      <c r="G111" s="69" t="e">
        <f t="shared" si="12"/>
        <v>#N/A</v>
      </c>
      <c r="H111" s="69" t="e">
        <f t="shared" si="13"/>
        <v>#N/A</v>
      </c>
      <c r="I111" s="69" t="e">
        <f t="shared" si="14"/>
        <v>#N/A</v>
      </c>
      <c r="J111" s="69" t="e">
        <f t="shared" si="15"/>
        <v>#N/A</v>
      </c>
      <c r="K111" s="69" t="e">
        <f t="shared" si="16"/>
        <v>#N/A</v>
      </c>
      <c r="L111" s="70" t="e">
        <f t="shared" si="17"/>
        <v>#N/A</v>
      </c>
      <c r="N111" s="105">
        <v>14.3</v>
      </c>
      <c r="O111" s="68"/>
      <c r="P111" s="68"/>
      <c r="Q111" s="68"/>
      <c r="R111" s="68"/>
      <c r="S111" s="69" t="e">
        <f t="shared" si="18"/>
        <v>#N/A</v>
      </c>
      <c r="T111" s="69" t="e">
        <f t="shared" si="19"/>
        <v>#N/A</v>
      </c>
      <c r="U111" s="69" t="e">
        <f t="shared" si="20"/>
        <v>#N/A</v>
      </c>
      <c r="V111" s="69" t="e">
        <f t="shared" si="21"/>
        <v>#N/A</v>
      </c>
      <c r="W111" s="69" t="e">
        <f t="shared" si="22"/>
        <v>#N/A</v>
      </c>
      <c r="X111" s="71" t="e">
        <f t="shared" si="23"/>
        <v>#N/A</v>
      </c>
    </row>
    <row r="112" spans="2:24" x14ac:dyDescent="0.2">
      <c r="B112" s="65">
        <v>16.2</v>
      </c>
      <c r="C112" s="65"/>
      <c r="D112" s="65"/>
      <c r="E112" s="65"/>
      <c r="F112" s="65"/>
      <c r="G112" s="66" t="e">
        <f t="shared" si="12"/>
        <v>#N/A</v>
      </c>
      <c r="H112" s="66" t="e">
        <f t="shared" si="13"/>
        <v>#N/A</v>
      </c>
      <c r="I112" s="66" t="e">
        <f t="shared" si="14"/>
        <v>#N/A</v>
      </c>
      <c r="J112" s="66" t="e">
        <f t="shared" si="15"/>
        <v>#N/A</v>
      </c>
      <c r="K112" s="66" t="e">
        <f t="shared" si="16"/>
        <v>#N/A</v>
      </c>
      <c r="L112" s="71" t="e">
        <f t="shared" si="17"/>
        <v>#N/A</v>
      </c>
      <c r="N112" s="104">
        <v>14.4</v>
      </c>
      <c r="O112" s="65"/>
      <c r="P112" s="65"/>
      <c r="Q112" s="65"/>
      <c r="R112" s="65"/>
      <c r="S112" s="66" t="e">
        <f t="shared" si="18"/>
        <v>#N/A</v>
      </c>
      <c r="T112" s="66" t="e">
        <f t="shared" si="19"/>
        <v>#N/A</v>
      </c>
      <c r="U112" s="66" t="e">
        <f t="shared" si="20"/>
        <v>#N/A</v>
      </c>
      <c r="V112" s="66" t="e">
        <f t="shared" si="21"/>
        <v>#N/A</v>
      </c>
      <c r="W112" s="66" t="e">
        <f t="shared" si="22"/>
        <v>#N/A</v>
      </c>
      <c r="X112" s="70" t="e">
        <f t="shared" si="23"/>
        <v>#N/A</v>
      </c>
    </row>
    <row r="113" spans="2:24" x14ac:dyDescent="0.2">
      <c r="B113" s="68">
        <v>16.3</v>
      </c>
      <c r="C113" s="68"/>
      <c r="D113" s="68"/>
      <c r="E113" s="68"/>
      <c r="F113" s="68"/>
      <c r="G113" s="69" t="e">
        <f t="shared" si="12"/>
        <v>#N/A</v>
      </c>
      <c r="H113" s="69" t="e">
        <f t="shared" si="13"/>
        <v>#N/A</v>
      </c>
      <c r="I113" s="69" t="e">
        <f t="shared" si="14"/>
        <v>#N/A</v>
      </c>
      <c r="J113" s="69" t="e">
        <f t="shared" si="15"/>
        <v>#N/A</v>
      </c>
      <c r="K113" s="69" t="e">
        <f t="shared" si="16"/>
        <v>#N/A</v>
      </c>
      <c r="L113" s="70" t="e">
        <f t="shared" si="17"/>
        <v>#N/A</v>
      </c>
      <c r="N113" s="105">
        <v>14.5</v>
      </c>
      <c r="O113" s="68"/>
      <c r="P113" s="68"/>
      <c r="Q113" s="68"/>
      <c r="R113" s="68"/>
      <c r="S113" s="69" t="e">
        <f t="shared" si="18"/>
        <v>#N/A</v>
      </c>
      <c r="T113" s="69" t="e">
        <f t="shared" si="19"/>
        <v>#N/A</v>
      </c>
      <c r="U113" s="69" t="e">
        <f t="shared" si="20"/>
        <v>#N/A</v>
      </c>
      <c r="V113" s="69" t="e">
        <f t="shared" si="21"/>
        <v>#N/A</v>
      </c>
      <c r="W113" s="69" t="e">
        <f t="shared" si="22"/>
        <v>#N/A</v>
      </c>
      <c r="X113" s="71" t="e">
        <f t="shared" si="23"/>
        <v>#N/A</v>
      </c>
    </row>
    <row r="114" spans="2:24" x14ac:dyDescent="0.2">
      <c r="B114" s="65">
        <v>16.399999999999999</v>
      </c>
      <c r="C114" s="65"/>
      <c r="D114" s="65"/>
      <c r="E114" s="65"/>
      <c r="F114" s="65"/>
      <c r="G114" s="66" t="e">
        <f t="shared" si="12"/>
        <v>#N/A</v>
      </c>
      <c r="H114" s="66" t="e">
        <f t="shared" si="13"/>
        <v>#N/A</v>
      </c>
      <c r="I114" s="66" t="e">
        <f t="shared" si="14"/>
        <v>#N/A</v>
      </c>
      <c r="J114" s="66" t="e">
        <f t="shared" si="15"/>
        <v>#N/A</v>
      </c>
      <c r="K114" s="66" t="e">
        <f t="shared" si="16"/>
        <v>#N/A</v>
      </c>
      <c r="L114" s="71" t="e">
        <f t="shared" si="17"/>
        <v>#N/A</v>
      </c>
      <c r="N114" s="104">
        <v>14.6</v>
      </c>
      <c r="O114" s="65"/>
      <c r="P114" s="65"/>
      <c r="Q114" s="65"/>
      <c r="R114" s="65"/>
      <c r="S114" s="66" t="e">
        <f t="shared" si="18"/>
        <v>#N/A</v>
      </c>
      <c r="T114" s="66" t="e">
        <f t="shared" si="19"/>
        <v>#N/A</v>
      </c>
      <c r="U114" s="66" t="e">
        <f t="shared" si="20"/>
        <v>#N/A</v>
      </c>
      <c r="V114" s="66" t="e">
        <f t="shared" si="21"/>
        <v>#N/A</v>
      </c>
      <c r="W114" s="66" t="e">
        <f t="shared" si="22"/>
        <v>#N/A</v>
      </c>
      <c r="X114" s="70" t="e">
        <f t="shared" si="23"/>
        <v>#N/A</v>
      </c>
    </row>
    <row r="115" spans="2:24" x14ac:dyDescent="0.2">
      <c r="B115" s="68">
        <v>16.5</v>
      </c>
      <c r="C115" s="68"/>
      <c r="D115" s="68"/>
      <c r="E115" s="68"/>
      <c r="F115" s="68"/>
      <c r="G115" s="69" t="e">
        <f t="shared" si="12"/>
        <v>#N/A</v>
      </c>
      <c r="H115" s="69" t="e">
        <f t="shared" si="13"/>
        <v>#N/A</v>
      </c>
      <c r="I115" s="69" t="e">
        <f t="shared" si="14"/>
        <v>#N/A</v>
      </c>
      <c r="J115" s="69" t="e">
        <f t="shared" si="15"/>
        <v>#N/A</v>
      </c>
      <c r="K115" s="69" t="e">
        <f t="shared" si="16"/>
        <v>#N/A</v>
      </c>
      <c r="L115" s="70" t="e">
        <f t="shared" si="17"/>
        <v>#N/A</v>
      </c>
      <c r="N115" s="105">
        <v>14.7</v>
      </c>
      <c r="O115" s="68"/>
      <c r="P115" s="68"/>
      <c r="Q115" s="68"/>
      <c r="R115" s="68"/>
      <c r="S115" s="69" t="e">
        <f t="shared" si="18"/>
        <v>#N/A</v>
      </c>
      <c r="T115" s="69" t="e">
        <f t="shared" si="19"/>
        <v>#N/A</v>
      </c>
      <c r="U115" s="69" t="e">
        <f t="shared" si="20"/>
        <v>#N/A</v>
      </c>
      <c r="V115" s="69" t="e">
        <f t="shared" si="21"/>
        <v>#N/A</v>
      </c>
      <c r="W115" s="69" t="e">
        <f t="shared" si="22"/>
        <v>#N/A</v>
      </c>
      <c r="X115" s="71" t="e">
        <f t="shared" si="23"/>
        <v>#N/A</v>
      </c>
    </row>
    <row r="116" spans="2:24" x14ac:dyDescent="0.2">
      <c r="B116" s="65">
        <v>16.600000000000001</v>
      </c>
      <c r="C116" s="65"/>
      <c r="D116" s="65"/>
      <c r="E116" s="65"/>
      <c r="F116" s="65"/>
      <c r="G116" s="66" t="e">
        <f t="shared" si="12"/>
        <v>#N/A</v>
      </c>
      <c r="H116" s="66" t="e">
        <f t="shared" si="13"/>
        <v>#N/A</v>
      </c>
      <c r="I116" s="66" t="e">
        <f t="shared" si="14"/>
        <v>#N/A</v>
      </c>
      <c r="J116" s="66" t="e">
        <f t="shared" si="15"/>
        <v>#N/A</v>
      </c>
      <c r="K116" s="66" t="e">
        <f t="shared" si="16"/>
        <v>#N/A</v>
      </c>
      <c r="L116" s="71" t="e">
        <f t="shared" si="17"/>
        <v>#N/A</v>
      </c>
      <c r="N116" s="104">
        <v>14.8</v>
      </c>
      <c r="O116" s="65"/>
      <c r="P116" s="65"/>
      <c r="Q116" s="65"/>
      <c r="R116" s="65"/>
      <c r="S116" s="66" t="e">
        <f t="shared" si="18"/>
        <v>#N/A</v>
      </c>
      <c r="T116" s="66" t="e">
        <f t="shared" si="19"/>
        <v>#N/A</v>
      </c>
      <c r="U116" s="66" t="e">
        <f t="shared" si="20"/>
        <v>#N/A</v>
      </c>
      <c r="V116" s="66" t="e">
        <f t="shared" si="21"/>
        <v>#N/A</v>
      </c>
      <c r="W116" s="66" t="e">
        <f t="shared" si="22"/>
        <v>#N/A</v>
      </c>
      <c r="X116" s="70" t="e">
        <f t="shared" si="23"/>
        <v>#N/A</v>
      </c>
    </row>
    <row r="117" spans="2:24" x14ac:dyDescent="0.2">
      <c r="B117" s="68">
        <v>16.7</v>
      </c>
      <c r="C117" s="68"/>
      <c r="D117" s="68"/>
      <c r="E117" s="68"/>
      <c r="F117" s="68"/>
      <c r="G117" s="69" t="e">
        <f t="shared" si="12"/>
        <v>#N/A</v>
      </c>
      <c r="H117" s="69" t="e">
        <f t="shared" si="13"/>
        <v>#N/A</v>
      </c>
      <c r="I117" s="69" t="e">
        <f t="shared" si="14"/>
        <v>#N/A</v>
      </c>
      <c r="J117" s="69" t="e">
        <f t="shared" si="15"/>
        <v>#N/A</v>
      </c>
      <c r="K117" s="69" t="e">
        <f t="shared" si="16"/>
        <v>#N/A</v>
      </c>
      <c r="L117" s="70" t="e">
        <f t="shared" si="17"/>
        <v>#N/A</v>
      </c>
      <c r="N117" s="105">
        <v>14.9</v>
      </c>
      <c r="O117" s="68"/>
      <c r="P117" s="68"/>
      <c r="Q117" s="68"/>
      <c r="R117" s="68"/>
      <c r="S117" s="69" t="e">
        <f t="shared" si="18"/>
        <v>#N/A</v>
      </c>
      <c r="T117" s="69" t="e">
        <f t="shared" si="19"/>
        <v>#N/A</v>
      </c>
      <c r="U117" s="69" t="e">
        <f t="shared" si="20"/>
        <v>#N/A</v>
      </c>
      <c r="V117" s="69" t="e">
        <f t="shared" si="21"/>
        <v>#N/A</v>
      </c>
      <c r="W117" s="69" t="e">
        <f t="shared" si="22"/>
        <v>#N/A</v>
      </c>
      <c r="X117" s="71" t="e">
        <f t="shared" si="23"/>
        <v>#N/A</v>
      </c>
    </row>
    <row r="118" spans="2:24" x14ac:dyDescent="0.2">
      <c r="B118" s="65">
        <v>16.8</v>
      </c>
      <c r="C118" s="65"/>
      <c r="D118" s="65"/>
      <c r="E118" s="65"/>
      <c r="F118" s="65"/>
      <c r="G118" s="66" t="e">
        <f t="shared" si="12"/>
        <v>#N/A</v>
      </c>
      <c r="H118" s="66" t="e">
        <f t="shared" si="13"/>
        <v>#N/A</v>
      </c>
      <c r="I118" s="66" t="e">
        <f t="shared" si="14"/>
        <v>#N/A</v>
      </c>
      <c r="J118" s="66" t="e">
        <f t="shared" si="15"/>
        <v>#N/A</v>
      </c>
      <c r="K118" s="66" t="e">
        <f t="shared" si="16"/>
        <v>#N/A</v>
      </c>
      <c r="L118" s="71" t="e">
        <f t="shared" si="17"/>
        <v>#N/A</v>
      </c>
      <c r="N118" s="104">
        <v>15.1</v>
      </c>
      <c r="O118" s="65"/>
      <c r="P118" s="65"/>
      <c r="Q118" s="65"/>
      <c r="R118" s="65"/>
      <c r="S118" s="66" t="e">
        <f t="shared" si="18"/>
        <v>#N/A</v>
      </c>
      <c r="T118" s="66" t="e">
        <f t="shared" si="19"/>
        <v>#N/A</v>
      </c>
      <c r="U118" s="66" t="e">
        <f t="shared" si="20"/>
        <v>#N/A</v>
      </c>
      <c r="V118" s="66" t="e">
        <f t="shared" si="21"/>
        <v>#N/A</v>
      </c>
      <c r="W118" s="66" t="e">
        <f t="shared" si="22"/>
        <v>#N/A</v>
      </c>
      <c r="X118" s="70" t="e">
        <f t="shared" si="23"/>
        <v>#N/A</v>
      </c>
    </row>
    <row r="119" spans="2:24" x14ac:dyDescent="0.2">
      <c r="B119" s="68">
        <v>16.899999999999999</v>
      </c>
      <c r="C119" s="68"/>
      <c r="D119" s="68"/>
      <c r="E119" s="68"/>
      <c r="F119" s="68"/>
      <c r="G119" s="69" t="e">
        <f t="shared" si="12"/>
        <v>#N/A</v>
      </c>
      <c r="H119" s="69" t="e">
        <f t="shared" si="13"/>
        <v>#N/A</v>
      </c>
      <c r="I119" s="69" t="e">
        <f t="shared" si="14"/>
        <v>#N/A</v>
      </c>
      <c r="J119" s="69" t="e">
        <f t="shared" si="15"/>
        <v>#N/A</v>
      </c>
      <c r="K119" s="69" t="e">
        <f t="shared" si="16"/>
        <v>#N/A</v>
      </c>
      <c r="L119" s="70" t="e">
        <f t="shared" si="17"/>
        <v>#N/A</v>
      </c>
      <c r="N119" s="105">
        <v>15.2</v>
      </c>
      <c r="O119" s="68"/>
      <c r="P119" s="68"/>
      <c r="Q119" s="68"/>
      <c r="R119" s="68"/>
      <c r="S119" s="69" t="e">
        <f t="shared" si="18"/>
        <v>#N/A</v>
      </c>
      <c r="T119" s="69" t="e">
        <f t="shared" si="19"/>
        <v>#N/A</v>
      </c>
      <c r="U119" s="69" t="e">
        <f t="shared" si="20"/>
        <v>#N/A</v>
      </c>
      <c r="V119" s="69" t="e">
        <f t="shared" si="21"/>
        <v>#N/A</v>
      </c>
      <c r="W119" s="69" t="e">
        <f t="shared" si="22"/>
        <v>#N/A</v>
      </c>
      <c r="X119" s="71" t="e">
        <f t="shared" si="23"/>
        <v>#N/A</v>
      </c>
    </row>
    <row r="120" spans="2:24" x14ac:dyDescent="0.2">
      <c r="B120" s="65" t="s">
        <v>546</v>
      </c>
      <c r="C120" s="65"/>
      <c r="D120" s="65"/>
      <c r="E120" s="65"/>
      <c r="F120" s="65"/>
      <c r="G120" s="66" t="e">
        <f t="shared" si="12"/>
        <v>#N/A</v>
      </c>
      <c r="H120" s="66" t="e">
        <f t="shared" si="13"/>
        <v>#N/A</v>
      </c>
      <c r="I120" s="66" t="e">
        <f t="shared" si="14"/>
        <v>#N/A</v>
      </c>
      <c r="J120" s="66" t="e">
        <f t="shared" si="15"/>
        <v>#N/A</v>
      </c>
      <c r="K120" s="66" t="e">
        <f t="shared" si="16"/>
        <v>#N/A</v>
      </c>
      <c r="L120" s="71" t="e">
        <f t="shared" si="17"/>
        <v>#N/A</v>
      </c>
      <c r="M120" s="56"/>
      <c r="N120" s="104">
        <v>15.3</v>
      </c>
      <c r="O120" s="65"/>
      <c r="P120" s="65"/>
      <c r="Q120" s="65"/>
      <c r="R120" s="65"/>
      <c r="S120" s="66" t="e">
        <f t="shared" si="18"/>
        <v>#N/A</v>
      </c>
      <c r="T120" s="66" t="e">
        <f t="shared" si="19"/>
        <v>#N/A</v>
      </c>
      <c r="U120" s="66" t="e">
        <f t="shared" si="20"/>
        <v>#N/A</v>
      </c>
      <c r="V120" s="66" t="e">
        <f t="shared" si="21"/>
        <v>#N/A</v>
      </c>
      <c r="W120" s="66" t="e">
        <f t="shared" si="22"/>
        <v>#N/A</v>
      </c>
      <c r="X120" s="70" t="e">
        <f t="shared" si="23"/>
        <v>#N/A</v>
      </c>
    </row>
    <row r="121" spans="2:24" x14ac:dyDescent="0.2">
      <c r="B121" s="68">
        <v>16.11</v>
      </c>
      <c r="C121" s="68"/>
      <c r="D121" s="68"/>
      <c r="E121" s="68"/>
      <c r="F121" s="68"/>
      <c r="G121" s="69" t="e">
        <f t="shared" si="12"/>
        <v>#N/A</v>
      </c>
      <c r="H121" s="69" t="e">
        <f t="shared" si="13"/>
        <v>#N/A</v>
      </c>
      <c r="I121" s="69" t="e">
        <f t="shared" si="14"/>
        <v>#N/A</v>
      </c>
      <c r="J121" s="69" t="e">
        <f t="shared" si="15"/>
        <v>#N/A</v>
      </c>
      <c r="K121" s="69" t="e">
        <f t="shared" si="16"/>
        <v>#N/A</v>
      </c>
      <c r="L121" s="70" t="e">
        <f t="shared" si="17"/>
        <v>#N/A</v>
      </c>
      <c r="M121" s="56"/>
      <c r="N121" s="105">
        <v>15.4</v>
      </c>
      <c r="O121" s="68"/>
      <c r="P121" s="68"/>
      <c r="Q121" s="68"/>
      <c r="R121" s="68"/>
      <c r="S121" s="69" t="e">
        <f t="shared" si="18"/>
        <v>#N/A</v>
      </c>
      <c r="T121" s="69" t="e">
        <f t="shared" si="19"/>
        <v>#N/A</v>
      </c>
      <c r="U121" s="69" t="e">
        <f t="shared" si="20"/>
        <v>#N/A</v>
      </c>
      <c r="V121" s="69" t="e">
        <f t="shared" si="21"/>
        <v>#N/A</v>
      </c>
      <c r="W121" s="69" t="e">
        <f t="shared" si="22"/>
        <v>#N/A</v>
      </c>
      <c r="X121" s="71" t="e">
        <f t="shared" si="23"/>
        <v>#N/A</v>
      </c>
    </row>
    <row r="122" spans="2:24" x14ac:dyDescent="0.2">
      <c r="B122" s="65">
        <v>16.12</v>
      </c>
      <c r="C122" s="65"/>
      <c r="D122" s="65"/>
      <c r="E122" s="65"/>
      <c r="F122" s="65"/>
      <c r="G122" s="66" t="e">
        <f t="shared" si="12"/>
        <v>#N/A</v>
      </c>
      <c r="H122" s="66" t="e">
        <f t="shared" si="13"/>
        <v>#N/A</v>
      </c>
      <c r="I122" s="66" t="e">
        <f t="shared" si="14"/>
        <v>#N/A</v>
      </c>
      <c r="J122" s="66" t="e">
        <f t="shared" si="15"/>
        <v>#N/A</v>
      </c>
      <c r="K122" s="66" t="e">
        <f t="shared" si="16"/>
        <v>#N/A</v>
      </c>
      <c r="L122" s="71" t="e">
        <f t="shared" si="17"/>
        <v>#N/A</v>
      </c>
      <c r="M122" s="56"/>
      <c r="N122" s="104">
        <v>16.100000000000001</v>
      </c>
      <c r="O122" s="65"/>
      <c r="P122" s="65"/>
      <c r="Q122" s="65"/>
      <c r="R122" s="65"/>
      <c r="S122" s="66" t="e">
        <f t="shared" si="18"/>
        <v>#N/A</v>
      </c>
      <c r="T122" s="66" t="e">
        <f t="shared" si="19"/>
        <v>#N/A</v>
      </c>
      <c r="U122" s="66" t="e">
        <f t="shared" si="20"/>
        <v>#N/A</v>
      </c>
      <c r="V122" s="66" t="e">
        <f t="shared" si="21"/>
        <v>#N/A</v>
      </c>
      <c r="W122" s="66" t="e">
        <f t="shared" si="22"/>
        <v>#N/A</v>
      </c>
      <c r="X122" s="70" t="e">
        <f t="shared" si="23"/>
        <v>#N/A</v>
      </c>
    </row>
    <row r="123" spans="2:24" x14ac:dyDescent="0.2">
      <c r="B123" s="68" t="s">
        <v>547</v>
      </c>
      <c r="C123" s="68"/>
      <c r="D123" s="68"/>
      <c r="E123" s="68"/>
      <c r="F123" s="68"/>
      <c r="G123" s="69" t="e">
        <f t="shared" si="12"/>
        <v>#N/A</v>
      </c>
      <c r="H123" s="69" t="e">
        <f t="shared" si="13"/>
        <v>#N/A</v>
      </c>
      <c r="I123" s="69" t="e">
        <f t="shared" si="14"/>
        <v>#N/A</v>
      </c>
      <c r="J123" s="69" t="e">
        <f t="shared" si="15"/>
        <v>#N/A</v>
      </c>
      <c r="K123" s="69" t="e">
        <f t="shared" si="16"/>
        <v>#N/A</v>
      </c>
      <c r="L123" s="70" t="e">
        <f t="shared" si="17"/>
        <v>#N/A</v>
      </c>
      <c r="M123" s="56"/>
      <c r="N123" s="105">
        <v>16.2</v>
      </c>
      <c r="O123" s="68"/>
      <c r="P123" s="68"/>
      <c r="Q123" s="68"/>
      <c r="R123" s="68"/>
      <c r="S123" s="69" t="e">
        <f t="shared" si="18"/>
        <v>#N/A</v>
      </c>
      <c r="T123" s="69" t="e">
        <f t="shared" si="19"/>
        <v>#N/A</v>
      </c>
      <c r="U123" s="69" t="e">
        <f t="shared" si="20"/>
        <v>#N/A</v>
      </c>
      <c r="V123" s="69" t="e">
        <f t="shared" si="21"/>
        <v>#N/A</v>
      </c>
      <c r="W123" s="69" t="e">
        <f t="shared" si="22"/>
        <v>#N/A</v>
      </c>
      <c r="X123" s="71" t="e">
        <f t="shared" si="23"/>
        <v>#N/A</v>
      </c>
    </row>
    <row r="124" spans="2:24" x14ac:dyDescent="0.2">
      <c r="B124" s="65" t="s">
        <v>548</v>
      </c>
      <c r="C124" s="65"/>
      <c r="D124" s="65"/>
      <c r="E124" s="65"/>
      <c r="F124" s="65"/>
      <c r="G124" s="66" t="e">
        <f t="shared" si="12"/>
        <v>#N/A</v>
      </c>
      <c r="H124" s="66" t="e">
        <f t="shared" si="13"/>
        <v>#N/A</v>
      </c>
      <c r="I124" s="66" t="e">
        <f t="shared" si="14"/>
        <v>#N/A</v>
      </c>
      <c r="J124" s="66" t="e">
        <f t="shared" si="15"/>
        <v>#N/A</v>
      </c>
      <c r="K124" s="66" t="e">
        <f t="shared" si="16"/>
        <v>#N/A</v>
      </c>
      <c r="L124" s="71" t="e">
        <f t="shared" si="17"/>
        <v>#N/A</v>
      </c>
      <c r="M124" s="56"/>
      <c r="N124" s="104">
        <v>16.3</v>
      </c>
      <c r="O124" s="65"/>
      <c r="P124" s="65"/>
      <c r="Q124" s="65"/>
      <c r="R124" s="65"/>
      <c r="S124" s="66" t="e">
        <f t="shared" si="18"/>
        <v>#N/A</v>
      </c>
      <c r="T124" s="66" t="e">
        <f t="shared" si="19"/>
        <v>#N/A</v>
      </c>
      <c r="U124" s="66" t="e">
        <f t="shared" si="20"/>
        <v>#N/A</v>
      </c>
      <c r="V124" s="66" t="e">
        <f t="shared" si="21"/>
        <v>#N/A</v>
      </c>
      <c r="W124" s="66" t="e">
        <f t="shared" si="22"/>
        <v>#N/A</v>
      </c>
      <c r="X124" s="70" t="e">
        <f t="shared" si="23"/>
        <v>#N/A</v>
      </c>
    </row>
    <row r="125" spans="2:24" x14ac:dyDescent="0.2">
      <c r="B125" s="68" t="s">
        <v>549</v>
      </c>
      <c r="C125" s="68"/>
      <c r="D125" s="68"/>
      <c r="E125" s="68"/>
      <c r="F125" s="68"/>
      <c r="G125" s="69" t="e">
        <f t="shared" si="12"/>
        <v>#N/A</v>
      </c>
      <c r="H125" s="69" t="e">
        <f t="shared" si="13"/>
        <v>#N/A</v>
      </c>
      <c r="I125" s="69" t="e">
        <f t="shared" si="14"/>
        <v>#N/A</v>
      </c>
      <c r="J125" s="69" t="e">
        <f t="shared" si="15"/>
        <v>#N/A</v>
      </c>
      <c r="K125" s="69" t="e">
        <f t="shared" si="16"/>
        <v>#N/A</v>
      </c>
      <c r="L125" s="70" t="e">
        <f t="shared" si="17"/>
        <v>#N/A</v>
      </c>
      <c r="M125" s="56"/>
      <c r="N125" s="105">
        <v>16.399999999999999</v>
      </c>
      <c r="O125" s="68"/>
      <c r="P125" s="68"/>
      <c r="Q125" s="68"/>
      <c r="R125" s="68"/>
      <c r="S125" s="69" t="e">
        <f t="shared" si="18"/>
        <v>#N/A</v>
      </c>
      <c r="T125" s="69" t="e">
        <f t="shared" si="19"/>
        <v>#N/A</v>
      </c>
      <c r="U125" s="69" t="e">
        <f t="shared" si="20"/>
        <v>#N/A</v>
      </c>
      <c r="V125" s="69" t="e">
        <f t="shared" si="21"/>
        <v>#N/A</v>
      </c>
      <c r="W125" s="69" t="e">
        <f t="shared" si="22"/>
        <v>#N/A</v>
      </c>
      <c r="X125" s="71" t="e">
        <f t="shared" si="23"/>
        <v>#N/A</v>
      </c>
    </row>
    <row r="126" spans="2:24" x14ac:dyDescent="0.2">
      <c r="B126" s="65" t="s">
        <v>550</v>
      </c>
      <c r="C126" s="65"/>
      <c r="D126" s="65"/>
      <c r="E126" s="65"/>
      <c r="F126" s="65"/>
      <c r="G126" s="66" t="e">
        <f t="shared" si="12"/>
        <v>#N/A</v>
      </c>
      <c r="H126" s="66" t="e">
        <f t="shared" si="13"/>
        <v>#N/A</v>
      </c>
      <c r="I126" s="66" t="e">
        <f t="shared" si="14"/>
        <v>#N/A</v>
      </c>
      <c r="J126" s="66" t="e">
        <f t="shared" si="15"/>
        <v>#N/A</v>
      </c>
      <c r="K126" s="66" t="e">
        <f t="shared" si="16"/>
        <v>#N/A</v>
      </c>
      <c r="L126" s="71" t="e">
        <f t="shared" si="17"/>
        <v>#N/A</v>
      </c>
      <c r="M126" s="56"/>
      <c r="N126" s="104">
        <v>16.5</v>
      </c>
      <c r="O126" s="65"/>
      <c r="P126" s="65"/>
      <c r="Q126" s="65"/>
      <c r="R126" s="65"/>
      <c r="S126" s="66" t="e">
        <f t="shared" si="18"/>
        <v>#N/A</v>
      </c>
      <c r="T126" s="66" t="e">
        <f t="shared" si="19"/>
        <v>#N/A</v>
      </c>
      <c r="U126" s="66" t="e">
        <f t="shared" si="20"/>
        <v>#N/A</v>
      </c>
      <c r="V126" s="66" t="e">
        <f t="shared" si="21"/>
        <v>#N/A</v>
      </c>
      <c r="W126" s="66" t="e">
        <f t="shared" si="22"/>
        <v>#N/A</v>
      </c>
      <c r="X126" s="70" t="e">
        <f t="shared" si="23"/>
        <v>#N/A</v>
      </c>
    </row>
    <row r="127" spans="2:24" x14ac:dyDescent="0.2">
      <c r="B127" s="68" t="s">
        <v>551</v>
      </c>
      <c r="C127" s="68"/>
      <c r="D127" s="68"/>
      <c r="E127" s="68"/>
      <c r="F127" s="68"/>
      <c r="G127" s="69" t="e">
        <f t="shared" si="12"/>
        <v>#N/A</v>
      </c>
      <c r="H127" s="69" t="e">
        <f t="shared" si="13"/>
        <v>#N/A</v>
      </c>
      <c r="I127" s="69" t="e">
        <f t="shared" si="14"/>
        <v>#N/A</v>
      </c>
      <c r="J127" s="69" t="e">
        <f t="shared" si="15"/>
        <v>#N/A</v>
      </c>
      <c r="K127" s="69" t="e">
        <f t="shared" si="16"/>
        <v>#N/A</v>
      </c>
      <c r="L127" s="70" t="e">
        <f t="shared" si="17"/>
        <v>#N/A</v>
      </c>
      <c r="M127" s="56"/>
      <c r="N127" s="105">
        <v>16.600000000000001</v>
      </c>
      <c r="O127" s="68"/>
      <c r="P127" s="68"/>
      <c r="Q127" s="68"/>
      <c r="R127" s="68"/>
      <c r="S127" s="69" t="e">
        <f t="shared" si="18"/>
        <v>#N/A</v>
      </c>
      <c r="T127" s="69" t="e">
        <f t="shared" si="19"/>
        <v>#N/A</v>
      </c>
      <c r="U127" s="69" t="e">
        <f t="shared" si="20"/>
        <v>#N/A</v>
      </c>
      <c r="V127" s="69" t="e">
        <f t="shared" si="21"/>
        <v>#N/A</v>
      </c>
      <c r="W127" s="69" t="e">
        <f t="shared" si="22"/>
        <v>#N/A</v>
      </c>
      <c r="X127" s="71" t="e">
        <f t="shared" si="23"/>
        <v>#N/A</v>
      </c>
    </row>
    <row r="128" spans="2:24" x14ac:dyDescent="0.2">
      <c r="B128" s="65" t="s">
        <v>552</v>
      </c>
      <c r="C128" s="65"/>
      <c r="D128" s="65"/>
      <c r="E128" s="65"/>
      <c r="F128" s="65"/>
      <c r="G128" s="66" t="e">
        <f t="shared" si="12"/>
        <v>#N/A</v>
      </c>
      <c r="H128" s="66" t="e">
        <f t="shared" si="13"/>
        <v>#N/A</v>
      </c>
      <c r="I128" s="66" t="e">
        <f t="shared" si="14"/>
        <v>#N/A</v>
      </c>
      <c r="J128" s="66" t="e">
        <f t="shared" si="15"/>
        <v>#N/A</v>
      </c>
      <c r="K128" s="66" t="e">
        <f t="shared" si="16"/>
        <v>#N/A</v>
      </c>
      <c r="L128" s="71" t="e">
        <f t="shared" si="17"/>
        <v>#N/A</v>
      </c>
      <c r="M128" s="56"/>
      <c r="N128" s="104">
        <v>16.7</v>
      </c>
      <c r="O128" s="65"/>
      <c r="P128" s="65"/>
      <c r="Q128" s="65"/>
      <c r="R128" s="65"/>
      <c r="S128" s="66" t="e">
        <f t="shared" si="18"/>
        <v>#N/A</v>
      </c>
      <c r="T128" s="66" t="e">
        <f t="shared" si="19"/>
        <v>#N/A</v>
      </c>
      <c r="U128" s="66" t="e">
        <f t="shared" si="20"/>
        <v>#N/A</v>
      </c>
      <c r="V128" s="66" t="e">
        <f t="shared" si="21"/>
        <v>#N/A</v>
      </c>
      <c r="W128" s="66" t="e">
        <f t="shared" si="22"/>
        <v>#N/A</v>
      </c>
      <c r="X128" s="70" t="e">
        <f t="shared" si="23"/>
        <v>#N/A</v>
      </c>
    </row>
    <row r="129" spans="2:24" x14ac:dyDescent="0.2">
      <c r="B129" s="68" t="s">
        <v>553</v>
      </c>
      <c r="C129" s="68"/>
      <c r="D129" s="68"/>
      <c r="E129" s="68"/>
      <c r="F129" s="68"/>
      <c r="G129" s="69" t="e">
        <f t="shared" si="12"/>
        <v>#N/A</v>
      </c>
      <c r="H129" s="69" t="e">
        <f t="shared" si="13"/>
        <v>#N/A</v>
      </c>
      <c r="I129" s="69" t="e">
        <f t="shared" si="14"/>
        <v>#N/A</v>
      </c>
      <c r="J129" s="69" t="e">
        <f t="shared" si="15"/>
        <v>#N/A</v>
      </c>
      <c r="K129" s="69" t="e">
        <f t="shared" si="16"/>
        <v>#N/A</v>
      </c>
      <c r="L129" s="70" t="e">
        <f t="shared" si="17"/>
        <v>#N/A</v>
      </c>
      <c r="M129" s="56"/>
      <c r="N129" s="105">
        <v>16.8</v>
      </c>
      <c r="O129" s="68"/>
      <c r="P129" s="68"/>
      <c r="Q129" s="68"/>
      <c r="R129" s="68"/>
      <c r="S129" s="69" t="e">
        <f t="shared" si="18"/>
        <v>#N/A</v>
      </c>
      <c r="T129" s="69" t="e">
        <f t="shared" si="19"/>
        <v>#N/A</v>
      </c>
      <c r="U129" s="69" t="e">
        <f t="shared" si="20"/>
        <v>#N/A</v>
      </c>
      <c r="V129" s="69" t="e">
        <f t="shared" si="21"/>
        <v>#N/A</v>
      </c>
      <c r="W129" s="69" t="e">
        <f t="shared" si="22"/>
        <v>#N/A</v>
      </c>
      <c r="X129" s="71" t="e">
        <f t="shared" si="23"/>
        <v>#N/A</v>
      </c>
    </row>
    <row r="130" spans="2:24" x14ac:dyDescent="0.2">
      <c r="B130" s="65" t="s">
        <v>554</v>
      </c>
      <c r="C130" s="65"/>
      <c r="D130" s="65"/>
      <c r="E130" s="65"/>
      <c r="F130" s="65"/>
      <c r="G130" s="66" t="e">
        <f t="shared" si="12"/>
        <v>#N/A</v>
      </c>
      <c r="H130" s="66" t="e">
        <f t="shared" si="13"/>
        <v>#N/A</v>
      </c>
      <c r="I130" s="66" t="e">
        <f t="shared" si="14"/>
        <v>#N/A</v>
      </c>
      <c r="J130" s="66" t="e">
        <f t="shared" si="15"/>
        <v>#N/A</v>
      </c>
      <c r="K130" s="66" t="e">
        <f t="shared" si="16"/>
        <v>#N/A</v>
      </c>
      <c r="L130" s="71" t="e">
        <f t="shared" si="17"/>
        <v>#N/A</v>
      </c>
      <c r="M130" s="56"/>
      <c r="N130" s="104">
        <v>16.899999999999999</v>
      </c>
      <c r="O130" s="65"/>
      <c r="P130" s="65"/>
      <c r="Q130" s="65"/>
      <c r="R130" s="65"/>
      <c r="S130" s="66" t="e">
        <f t="shared" si="18"/>
        <v>#N/A</v>
      </c>
      <c r="T130" s="66" t="e">
        <f t="shared" si="19"/>
        <v>#N/A</v>
      </c>
      <c r="U130" s="66" t="e">
        <f t="shared" si="20"/>
        <v>#N/A</v>
      </c>
      <c r="V130" s="66" t="e">
        <f t="shared" si="21"/>
        <v>#N/A</v>
      </c>
      <c r="W130" s="66" t="e">
        <f t="shared" si="22"/>
        <v>#N/A</v>
      </c>
      <c r="X130" s="70" t="e">
        <f t="shared" si="23"/>
        <v>#N/A</v>
      </c>
    </row>
    <row r="131" spans="2:24" x14ac:dyDescent="0.2">
      <c r="B131" s="68" t="s">
        <v>555</v>
      </c>
      <c r="C131" s="68"/>
      <c r="D131" s="68"/>
      <c r="E131" s="68"/>
      <c r="F131" s="68"/>
      <c r="G131" s="69" t="e">
        <f t="shared" si="12"/>
        <v>#N/A</v>
      </c>
      <c r="H131" s="69" t="e">
        <f t="shared" si="13"/>
        <v>#N/A</v>
      </c>
      <c r="I131" s="69" t="e">
        <f t="shared" si="14"/>
        <v>#N/A</v>
      </c>
      <c r="J131" s="69" t="e">
        <f t="shared" si="15"/>
        <v>#N/A</v>
      </c>
      <c r="K131" s="69" t="e">
        <f t="shared" si="16"/>
        <v>#N/A</v>
      </c>
      <c r="L131" s="70" t="e">
        <f t="shared" si="17"/>
        <v>#N/A</v>
      </c>
      <c r="M131" s="56"/>
      <c r="N131" s="106">
        <v>16.100000000000001</v>
      </c>
      <c r="O131" s="68"/>
      <c r="P131" s="68"/>
      <c r="Q131" s="68"/>
      <c r="R131" s="68"/>
      <c r="S131" s="69" t="e">
        <f t="shared" si="18"/>
        <v>#N/A</v>
      </c>
      <c r="T131" s="69" t="e">
        <f t="shared" si="19"/>
        <v>#N/A</v>
      </c>
      <c r="U131" s="69" t="e">
        <f t="shared" si="20"/>
        <v>#N/A</v>
      </c>
      <c r="V131" s="69" t="e">
        <f t="shared" si="21"/>
        <v>#N/A</v>
      </c>
      <c r="W131" s="69" t="e">
        <f t="shared" si="22"/>
        <v>#N/A</v>
      </c>
      <c r="X131" s="71" t="e">
        <f t="shared" si="23"/>
        <v>#N/A</v>
      </c>
    </row>
    <row r="132" spans="2:24" x14ac:dyDescent="0.2">
      <c r="B132" s="65" t="s">
        <v>556</v>
      </c>
      <c r="C132" s="65"/>
      <c r="D132" s="65"/>
      <c r="E132" s="65"/>
      <c r="F132" s="65"/>
      <c r="G132" s="66" t="e">
        <f t="shared" si="12"/>
        <v>#N/A</v>
      </c>
      <c r="H132" s="66" t="e">
        <f t="shared" si="13"/>
        <v>#N/A</v>
      </c>
      <c r="I132" s="66" t="e">
        <f t="shared" si="14"/>
        <v>#N/A</v>
      </c>
      <c r="J132" s="66" t="e">
        <f t="shared" si="15"/>
        <v>#N/A</v>
      </c>
      <c r="K132" s="66" t="e">
        <f t="shared" si="16"/>
        <v>#N/A</v>
      </c>
      <c r="L132" s="71" t="e">
        <f t="shared" si="17"/>
        <v>#N/A</v>
      </c>
      <c r="M132" s="56"/>
      <c r="N132" s="104">
        <v>16.11</v>
      </c>
      <c r="O132" s="65"/>
      <c r="P132" s="65"/>
      <c r="Q132" s="65"/>
      <c r="R132" s="65"/>
      <c r="S132" s="66" t="e">
        <f t="shared" si="18"/>
        <v>#N/A</v>
      </c>
      <c r="T132" s="66" t="e">
        <f t="shared" si="19"/>
        <v>#N/A</v>
      </c>
      <c r="U132" s="66" t="e">
        <f t="shared" si="20"/>
        <v>#N/A</v>
      </c>
      <c r="V132" s="66" t="e">
        <f t="shared" si="21"/>
        <v>#N/A</v>
      </c>
      <c r="W132" s="66" t="e">
        <f t="shared" si="22"/>
        <v>#N/A</v>
      </c>
      <c r="X132" s="70" t="e">
        <f t="shared" si="23"/>
        <v>#N/A</v>
      </c>
    </row>
    <row r="133" spans="2:24" x14ac:dyDescent="0.2">
      <c r="B133" s="68" t="s">
        <v>557</v>
      </c>
      <c r="C133" s="68"/>
      <c r="D133" s="68"/>
      <c r="E133" s="68"/>
      <c r="F133" s="68"/>
      <c r="G133" s="69" t="e">
        <f t="shared" si="12"/>
        <v>#N/A</v>
      </c>
      <c r="H133" s="69" t="e">
        <f t="shared" si="13"/>
        <v>#N/A</v>
      </c>
      <c r="I133" s="69" t="e">
        <f t="shared" si="14"/>
        <v>#N/A</v>
      </c>
      <c r="J133" s="69" t="e">
        <f t="shared" si="15"/>
        <v>#N/A</v>
      </c>
      <c r="K133" s="69" t="e">
        <f t="shared" si="16"/>
        <v>#N/A</v>
      </c>
      <c r="L133" s="70" t="e">
        <f t="shared" si="17"/>
        <v>#N/A</v>
      </c>
      <c r="M133" s="56"/>
      <c r="N133" s="105">
        <v>17.100000000000001</v>
      </c>
      <c r="O133" s="68"/>
      <c r="P133" s="68"/>
      <c r="Q133" s="68"/>
      <c r="R133" s="68"/>
      <c r="S133" s="69" t="e">
        <f t="shared" si="18"/>
        <v>#N/A</v>
      </c>
      <c r="T133" s="69" t="e">
        <f t="shared" si="19"/>
        <v>#N/A</v>
      </c>
      <c r="U133" s="69" t="e">
        <f t="shared" si="20"/>
        <v>#N/A</v>
      </c>
      <c r="V133" s="69" t="e">
        <f t="shared" si="21"/>
        <v>#N/A</v>
      </c>
      <c r="W133" s="69" t="e">
        <f t="shared" si="22"/>
        <v>#N/A</v>
      </c>
      <c r="X133" s="71" t="e">
        <f t="shared" si="23"/>
        <v>#N/A</v>
      </c>
    </row>
    <row r="134" spans="2:24" x14ac:dyDescent="0.2">
      <c r="B134" s="65" t="s">
        <v>558</v>
      </c>
      <c r="C134" s="65"/>
      <c r="D134" s="65"/>
      <c r="E134" s="65"/>
      <c r="F134" s="65"/>
      <c r="G134" s="66" t="e">
        <f t="shared" si="12"/>
        <v>#N/A</v>
      </c>
      <c r="H134" s="66" t="e">
        <f t="shared" si="13"/>
        <v>#N/A</v>
      </c>
      <c r="I134" s="66" t="e">
        <f t="shared" si="14"/>
        <v>#N/A</v>
      </c>
      <c r="J134" s="66" t="e">
        <f t="shared" si="15"/>
        <v>#N/A</v>
      </c>
      <c r="K134" s="66" t="e">
        <f t="shared" si="16"/>
        <v>#N/A</v>
      </c>
      <c r="L134" s="71" t="e">
        <f t="shared" si="17"/>
        <v>#N/A</v>
      </c>
      <c r="M134" s="56"/>
      <c r="N134" s="104">
        <v>17.2</v>
      </c>
      <c r="O134" s="65"/>
      <c r="P134" s="65"/>
      <c r="Q134" s="65"/>
      <c r="R134" s="65"/>
      <c r="S134" s="66" t="e">
        <f t="shared" si="18"/>
        <v>#N/A</v>
      </c>
      <c r="T134" s="66" t="e">
        <f t="shared" si="19"/>
        <v>#N/A</v>
      </c>
      <c r="U134" s="66" t="e">
        <f t="shared" si="20"/>
        <v>#N/A</v>
      </c>
      <c r="V134" s="66" t="e">
        <f t="shared" si="21"/>
        <v>#N/A</v>
      </c>
      <c r="W134" s="66" t="e">
        <f t="shared" si="22"/>
        <v>#N/A</v>
      </c>
      <c r="X134" s="70" t="e">
        <f t="shared" si="23"/>
        <v>#N/A</v>
      </c>
    </row>
    <row r="135" spans="2:24" x14ac:dyDescent="0.2">
      <c r="B135" s="68" t="s">
        <v>559</v>
      </c>
      <c r="C135" s="68"/>
      <c r="D135" s="68"/>
      <c r="E135" s="68"/>
      <c r="F135" s="68"/>
      <c r="G135" s="69" t="e">
        <f t="shared" si="12"/>
        <v>#N/A</v>
      </c>
      <c r="H135" s="69" t="e">
        <f t="shared" si="13"/>
        <v>#N/A</v>
      </c>
      <c r="I135" s="69" t="e">
        <f t="shared" si="14"/>
        <v>#N/A</v>
      </c>
      <c r="J135" s="69" t="e">
        <f t="shared" si="15"/>
        <v>#N/A</v>
      </c>
      <c r="K135" s="69" t="e">
        <f t="shared" si="16"/>
        <v>#N/A</v>
      </c>
      <c r="L135" s="70" t="e">
        <f t="shared" si="17"/>
        <v>#N/A</v>
      </c>
      <c r="M135" s="56"/>
      <c r="N135" s="105">
        <v>17.3</v>
      </c>
      <c r="O135" s="68"/>
      <c r="P135" s="68"/>
      <c r="Q135" s="68"/>
      <c r="R135" s="68"/>
      <c r="S135" s="69" t="e">
        <f t="shared" si="18"/>
        <v>#N/A</v>
      </c>
      <c r="T135" s="69" t="e">
        <f t="shared" si="19"/>
        <v>#N/A</v>
      </c>
      <c r="U135" s="69" t="e">
        <f t="shared" si="20"/>
        <v>#N/A</v>
      </c>
      <c r="V135" s="69" t="e">
        <f t="shared" si="21"/>
        <v>#N/A</v>
      </c>
      <c r="W135" s="69" t="e">
        <f t="shared" si="22"/>
        <v>#N/A</v>
      </c>
      <c r="X135" s="71" t="e">
        <f t="shared" si="23"/>
        <v>#N/A</v>
      </c>
    </row>
    <row r="136" spans="2:24" x14ac:dyDescent="0.2">
      <c r="B136" s="65" t="s">
        <v>560</v>
      </c>
      <c r="C136" s="65"/>
      <c r="D136" s="65"/>
      <c r="E136" s="65"/>
      <c r="F136" s="65"/>
      <c r="G136" s="66" t="e">
        <f t="shared" si="12"/>
        <v>#N/A</v>
      </c>
      <c r="H136" s="66" t="e">
        <f t="shared" si="13"/>
        <v>#N/A</v>
      </c>
      <c r="I136" s="66" t="e">
        <f t="shared" si="14"/>
        <v>#N/A</v>
      </c>
      <c r="J136" s="66" t="e">
        <f t="shared" si="15"/>
        <v>#N/A</v>
      </c>
      <c r="K136" s="66" t="e">
        <f t="shared" si="16"/>
        <v>#N/A</v>
      </c>
      <c r="L136" s="71" t="e">
        <f t="shared" si="17"/>
        <v>#N/A</v>
      </c>
      <c r="M136" s="56"/>
      <c r="N136" s="104">
        <v>17.399999999999999</v>
      </c>
      <c r="O136" s="65"/>
      <c r="P136" s="65"/>
      <c r="Q136" s="65"/>
      <c r="R136" s="65"/>
      <c r="S136" s="66" t="e">
        <f t="shared" si="18"/>
        <v>#N/A</v>
      </c>
      <c r="T136" s="66" t="e">
        <f t="shared" si="19"/>
        <v>#N/A</v>
      </c>
      <c r="U136" s="66" t="e">
        <f t="shared" si="20"/>
        <v>#N/A</v>
      </c>
      <c r="V136" s="66" t="e">
        <f t="shared" si="21"/>
        <v>#N/A</v>
      </c>
      <c r="W136" s="66" t="e">
        <f t="shared" si="22"/>
        <v>#N/A</v>
      </c>
      <c r="X136" s="70" t="e">
        <f t="shared" si="23"/>
        <v>#N/A</v>
      </c>
    </row>
    <row r="137" spans="2:24" x14ac:dyDescent="0.2">
      <c r="B137" s="68" t="s">
        <v>561</v>
      </c>
      <c r="C137" s="68"/>
      <c r="D137" s="68"/>
      <c r="E137" s="68"/>
      <c r="F137" s="68"/>
      <c r="G137" s="69" t="e">
        <f t="shared" si="12"/>
        <v>#N/A</v>
      </c>
      <c r="H137" s="69" t="e">
        <f t="shared" si="13"/>
        <v>#N/A</v>
      </c>
      <c r="I137" s="69" t="e">
        <f t="shared" si="14"/>
        <v>#N/A</v>
      </c>
      <c r="J137" s="69" t="e">
        <f t="shared" si="15"/>
        <v>#N/A</v>
      </c>
      <c r="K137" s="69" t="e">
        <f t="shared" si="16"/>
        <v>#N/A</v>
      </c>
      <c r="L137" s="70" t="e">
        <f t="shared" si="17"/>
        <v>#N/A</v>
      </c>
      <c r="M137" s="56"/>
      <c r="N137" s="105">
        <v>17.5</v>
      </c>
      <c r="O137" s="68"/>
      <c r="P137" s="68"/>
      <c r="Q137" s="68"/>
      <c r="R137" s="68"/>
      <c r="S137" s="69" t="e">
        <f t="shared" si="18"/>
        <v>#N/A</v>
      </c>
      <c r="T137" s="69" t="e">
        <f t="shared" si="19"/>
        <v>#N/A</v>
      </c>
      <c r="U137" s="69" t="e">
        <f t="shared" si="20"/>
        <v>#N/A</v>
      </c>
      <c r="V137" s="69" t="e">
        <f t="shared" si="21"/>
        <v>#N/A</v>
      </c>
      <c r="W137" s="69" t="e">
        <f t="shared" si="22"/>
        <v>#N/A</v>
      </c>
      <c r="X137" s="71" t="e">
        <f t="shared" si="23"/>
        <v>#N/A</v>
      </c>
    </row>
    <row r="138" spans="2:24" x14ac:dyDescent="0.2">
      <c r="B138" s="65" t="s">
        <v>562</v>
      </c>
      <c r="C138" s="65"/>
      <c r="D138" s="65"/>
      <c r="E138" s="65"/>
      <c r="F138" s="65"/>
      <c r="G138" s="66" t="e">
        <f t="shared" si="12"/>
        <v>#N/A</v>
      </c>
      <c r="H138" s="66" t="e">
        <f t="shared" si="13"/>
        <v>#N/A</v>
      </c>
      <c r="I138" s="66" t="e">
        <f t="shared" si="14"/>
        <v>#N/A</v>
      </c>
      <c r="J138" s="66" t="e">
        <f t="shared" si="15"/>
        <v>#N/A</v>
      </c>
      <c r="K138" s="66" t="e">
        <f t="shared" si="16"/>
        <v>#N/A</v>
      </c>
      <c r="L138" s="71" t="e">
        <f t="shared" si="17"/>
        <v>#N/A</v>
      </c>
      <c r="M138" s="56"/>
      <c r="N138" s="104">
        <v>17.600000000000001</v>
      </c>
      <c r="O138" s="65"/>
      <c r="P138" s="65"/>
      <c r="Q138" s="65"/>
      <c r="R138" s="65"/>
      <c r="S138" s="66" t="e">
        <f t="shared" si="18"/>
        <v>#N/A</v>
      </c>
      <c r="T138" s="66" t="e">
        <f t="shared" si="19"/>
        <v>#N/A</v>
      </c>
      <c r="U138" s="66" t="e">
        <f t="shared" si="20"/>
        <v>#N/A</v>
      </c>
      <c r="V138" s="66" t="e">
        <f t="shared" si="21"/>
        <v>#N/A</v>
      </c>
      <c r="W138" s="66" t="e">
        <f t="shared" si="22"/>
        <v>#N/A</v>
      </c>
      <c r="X138" s="70" t="e">
        <f t="shared" si="23"/>
        <v>#N/A</v>
      </c>
    </row>
    <row r="139" spans="2:24" x14ac:dyDescent="0.2">
      <c r="B139" s="68" t="s">
        <v>563</v>
      </c>
      <c r="C139" s="68"/>
      <c r="D139" s="68"/>
      <c r="E139" s="68"/>
      <c r="F139" s="68"/>
      <c r="G139" s="69" t="e">
        <f t="shared" si="12"/>
        <v>#N/A</v>
      </c>
      <c r="H139" s="69" t="e">
        <f t="shared" si="13"/>
        <v>#N/A</v>
      </c>
      <c r="I139" s="69" t="e">
        <f t="shared" si="14"/>
        <v>#N/A</v>
      </c>
      <c r="J139" s="69" t="e">
        <f t="shared" si="15"/>
        <v>#N/A</v>
      </c>
      <c r="K139" s="69" t="e">
        <f t="shared" si="16"/>
        <v>#N/A</v>
      </c>
      <c r="L139" s="70" t="e">
        <f t="shared" si="17"/>
        <v>#N/A</v>
      </c>
      <c r="M139" s="56"/>
      <c r="N139" s="105">
        <v>17.7</v>
      </c>
      <c r="O139" s="68"/>
      <c r="P139" s="68"/>
      <c r="Q139" s="68"/>
      <c r="R139" s="68"/>
      <c r="S139" s="69" t="e">
        <f t="shared" si="18"/>
        <v>#N/A</v>
      </c>
      <c r="T139" s="69" t="e">
        <f t="shared" si="19"/>
        <v>#N/A</v>
      </c>
      <c r="U139" s="69" t="e">
        <f t="shared" si="20"/>
        <v>#N/A</v>
      </c>
      <c r="V139" s="69" t="e">
        <f t="shared" si="21"/>
        <v>#N/A</v>
      </c>
      <c r="W139" s="69" t="e">
        <f t="shared" si="22"/>
        <v>#N/A</v>
      </c>
      <c r="X139" s="71" t="e">
        <f t="shared" si="23"/>
        <v>#N/A</v>
      </c>
    </row>
    <row r="140" spans="2:24" x14ac:dyDescent="0.2">
      <c r="B140" s="65" t="s">
        <v>564</v>
      </c>
      <c r="C140" s="65"/>
      <c r="D140" s="65"/>
      <c r="E140" s="65"/>
      <c r="F140" s="65"/>
      <c r="G140" s="66" t="e">
        <f t="shared" si="12"/>
        <v>#N/A</v>
      </c>
      <c r="H140" s="66" t="e">
        <f t="shared" si="13"/>
        <v>#N/A</v>
      </c>
      <c r="I140" s="66" t="e">
        <f t="shared" si="14"/>
        <v>#N/A</v>
      </c>
      <c r="J140" s="66" t="e">
        <f t="shared" si="15"/>
        <v>#N/A</v>
      </c>
      <c r="K140" s="66" t="e">
        <f t="shared" si="16"/>
        <v>#N/A</v>
      </c>
      <c r="L140" s="71" t="e">
        <f t="shared" si="17"/>
        <v>#N/A</v>
      </c>
      <c r="M140" s="56"/>
      <c r="N140" s="104">
        <v>17.8</v>
      </c>
      <c r="O140" s="65"/>
      <c r="P140" s="65"/>
      <c r="Q140" s="65"/>
      <c r="R140" s="65"/>
      <c r="S140" s="66" t="e">
        <f t="shared" si="18"/>
        <v>#N/A</v>
      </c>
      <c r="T140" s="66" t="e">
        <f t="shared" si="19"/>
        <v>#N/A</v>
      </c>
      <c r="U140" s="66" t="e">
        <f t="shared" si="20"/>
        <v>#N/A</v>
      </c>
      <c r="V140" s="66" t="e">
        <f t="shared" si="21"/>
        <v>#N/A</v>
      </c>
      <c r="W140" s="66" t="e">
        <f t="shared" si="22"/>
        <v>#N/A</v>
      </c>
      <c r="X140" s="70" t="e">
        <f t="shared" si="23"/>
        <v>#N/A</v>
      </c>
    </row>
    <row r="141" spans="2:24" x14ac:dyDescent="0.2">
      <c r="B141" s="73">
        <v>18.100000000000001</v>
      </c>
      <c r="C141" s="68"/>
      <c r="D141" s="68"/>
      <c r="E141" s="68"/>
      <c r="F141" s="68"/>
      <c r="G141" s="69" t="e">
        <f t="shared" si="12"/>
        <v>#N/A</v>
      </c>
      <c r="H141" s="69" t="e">
        <f t="shared" si="13"/>
        <v>#N/A</v>
      </c>
      <c r="I141" s="69" t="e">
        <f t="shared" si="14"/>
        <v>#N/A</v>
      </c>
      <c r="J141" s="69" t="e">
        <f t="shared" si="15"/>
        <v>#N/A</v>
      </c>
      <c r="K141" s="69" t="e">
        <f t="shared" si="16"/>
        <v>#N/A</v>
      </c>
      <c r="L141" s="70" t="e">
        <f t="shared" si="17"/>
        <v>#N/A</v>
      </c>
      <c r="M141" s="56"/>
      <c r="N141" s="105">
        <v>18.100000000000001</v>
      </c>
      <c r="O141" s="68"/>
      <c r="P141" s="68"/>
      <c r="Q141" s="68"/>
      <c r="R141" s="68"/>
      <c r="S141" s="69" t="e">
        <f t="shared" si="18"/>
        <v>#N/A</v>
      </c>
      <c r="T141" s="69" t="e">
        <f t="shared" si="19"/>
        <v>#N/A</v>
      </c>
      <c r="U141" s="69" t="e">
        <f t="shared" si="20"/>
        <v>#N/A</v>
      </c>
      <c r="V141" s="69" t="e">
        <f t="shared" si="21"/>
        <v>#N/A</v>
      </c>
      <c r="W141" s="69" t="e">
        <f t="shared" si="22"/>
        <v>#N/A</v>
      </c>
      <c r="X141" s="71" t="e">
        <f t="shared" si="23"/>
        <v>#N/A</v>
      </c>
    </row>
    <row r="142" spans="2:24" x14ac:dyDescent="0.2">
      <c r="B142" s="65">
        <v>18.11</v>
      </c>
      <c r="C142" s="65"/>
      <c r="D142" s="65"/>
      <c r="E142" s="65"/>
      <c r="F142" s="65"/>
      <c r="G142" s="66" t="e">
        <f t="shared" si="12"/>
        <v>#N/A</v>
      </c>
      <c r="H142" s="66" t="e">
        <f t="shared" si="13"/>
        <v>#N/A</v>
      </c>
      <c r="I142" s="66" t="e">
        <f t="shared" si="14"/>
        <v>#N/A</v>
      </c>
      <c r="J142" s="66" t="e">
        <f t="shared" si="15"/>
        <v>#N/A</v>
      </c>
      <c r="K142" s="66" t="e">
        <f t="shared" si="16"/>
        <v>#N/A</v>
      </c>
      <c r="L142" s="71" t="e">
        <f t="shared" si="17"/>
        <v>#N/A</v>
      </c>
      <c r="M142" s="56"/>
      <c r="N142" s="104">
        <v>18.2</v>
      </c>
      <c r="O142" s="65"/>
      <c r="P142" s="65"/>
      <c r="Q142" s="65"/>
      <c r="R142" s="65"/>
      <c r="S142" s="66" t="e">
        <f t="shared" si="18"/>
        <v>#N/A</v>
      </c>
      <c r="T142" s="66" t="e">
        <f t="shared" si="19"/>
        <v>#N/A</v>
      </c>
      <c r="U142" s="66" t="e">
        <f t="shared" si="20"/>
        <v>#N/A</v>
      </c>
      <c r="V142" s="66" t="e">
        <f t="shared" si="21"/>
        <v>#N/A</v>
      </c>
      <c r="W142" s="66" t="e">
        <f t="shared" si="22"/>
        <v>#N/A</v>
      </c>
      <c r="X142" s="70" t="e">
        <f t="shared" si="23"/>
        <v>#N/A</v>
      </c>
    </row>
    <row r="143" spans="2:24" ht="13.5" thickBot="1" x14ac:dyDescent="0.25">
      <c r="B143" s="68" t="s">
        <v>565</v>
      </c>
      <c r="C143" s="68"/>
      <c r="D143" s="68"/>
      <c r="E143" s="68"/>
      <c r="F143" s="68"/>
      <c r="G143" s="69" t="e">
        <f t="shared" ref="G143:G155" si="24">VLOOKUP(C143,$C$4:$G$10,5,FALSE)</f>
        <v>#N/A</v>
      </c>
      <c r="H143" s="69" t="e">
        <f t="shared" ref="H143:H155" si="25">VLOOKUP(D143,$D$4:$G$10,4,FALSE)</f>
        <v>#N/A</v>
      </c>
      <c r="I143" s="69" t="e">
        <f t="shared" ref="I143:I155" si="26">VLOOKUP(E143,$E$4:$G$10,3,FALSE)</f>
        <v>#N/A</v>
      </c>
      <c r="J143" s="69" t="e">
        <f t="shared" ref="J143:J155" si="27">VLOOKUP(F143,$F$4:$G$10,2,FALSE)</f>
        <v>#N/A</v>
      </c>
      <c r="K143" s="69" t="e">
        <f t="shared" ref="K143:K155" si="28">ROUND(AVERAGE(G143:J143),0)</f>
        <v>#N/A</v>
      </c>
      <c r="L143" s="70" t="e">
        <f t="shared" ref="L143:L155" si="29">K143</f>
        <v>#N/A</v>
      </c>
      <c r="N143" s="107">
        <v>18.3</v>
      </c>
      <c r="O143" s="75"/>
      <c r="P143" s="75"/>
      <c r="Q143" s="75"/>
      <c r="R143" s="75"/>
      <c r="S143" s="76" t="e">
        <f t="shared" ref="S143" si="30">VLOOKUP(O143,$C$4:$G$10,5,FALSE)</f>
        <v>#N/A</v>
      </c>
      <c r="T143" s="76" t="e">
        <f t="shared" ref="T143" si="31">VLOOKUP(P143,$D$4:$G$10,4,FALSE)</f>
        <v>#N/A</v>
      </c>
      <c r="U143" s="76" t="e">
        <f t="shared" ref="U143" si="32">VLOOKUP(Q143,$E$4:$G$10,3,FALSE)</f>
        <v>#N/A</v>
      </c>
      <c r="V143" s="76" t="e">
        <f t="shared" ref="V143" si="33">VLOOKUP(R143,$F$4:$G$10,2,FALSE)</f>
        <v>#N/A</v>
      </c>
      <c r="W143" s="76" t="e">
        <f t="shared" ref="W143" si="34">ROUND(AVERAGE(S143:V143),0)</f>
        <v>#N/A</v>
      </c>
      <c r="X143" s="74" t="e">
        <f t="shared" ref="X143" si="35">W143</f>
        <v>#N/A</v>
      </c>
    </row>
    <row r="144" spans="2:24" x14ac:dyDescent="0.2">
      <c r="B144" s="65" t="s">
        <v>566</v>
      </c>
      <c r="C144" s="65"/>
      <c r="D144" s="65"/>
      <c r="E144" s="65"/>
      <c r="F144" s="65"/>
      <c r="G144" s="66" t="e">
        <f t="shared" si="24"/>
        <v>#N/A</v>
      </c>
      <c r="H144" s="66" t="e">
        <f t="shared" si="25"/>
        <v>#N/A</v>
      </c>
      <c r="I144" s="66" t="e">
        <f t="shared" si="26"/>
        <v>#N/A</v>
      </c>
      <c r="J144" s="66" t="e">
        <f t="shared" si="27"/>
        <v>#N/A</v>
      </c>
      <c r="K144" s="66" t="e">
        <f t="shared" si="28"/>
        <v>#N/A</v>
      </c>
      <c r="L144" s="71" t="e">
        <f t="shared" si="29"/>
        <v>#N/A</v>
      </c>
    </row>
    <row r="145" spans="2:12" x14ac:dyDescent="0.2">
      <c r="B145" s="68" t="s">
        <v>567</v>
      </c>
      <c r="C145" s="68"/>
      <c r="D145" s="68"/>
      <c r="E145" s="68"/>
      <c r="F145" s="68"/>
      <c r="G145" s="69" t="e">
        <f t="shared" si="24"/>
        <v>#N/A</v>
      </c>
      <c r="H145" s="69" t="e">
        <f t="shared" si="25"/>
        <v>#N/A</v>
      </c>
      <c r="I145" s="69" t="e">
        <f t="shared" si="26"/>
        <v>#N/A</v>
      </c>
      <c r="J145" s="69" t="e">
        <f t="shared" si="27"/>
        <v>#N/A</v>
      </c>
      <c r="K145" s="69" t="e">
        <f t="shared" si="28"/>
        <v>#N/A</v>
      </c>
      <c r="L145" s="70" t="e">
        <f t="shared" si="29"/>
        <v>#N/A</v>
      </c>
    </row>
    <row r="146" spans="2:12" x14ac:dyDescent="0.2">
      <c r="B146" s="65" t="s">
        <v>568</v>
      </c>
      <c r="C146" s="65"/>
      <c r="D146" s="65"/>
      <c r="E146" s="65"/>
      <c r="F146" s="65"/>
      <c r="G146" s="66" t="e">
        <f t="shared" si="24"/>
        <v>#N/A</v>
      </c>
      <c r="H146" s="66" t="e">
        <f t="shared" si="25"/>
        <v>#N/A</v>
      </c>
      <c r="I146" s="66" t="e">
        <f t="shared" si="26"/>
        <v>#N/A</v>
      </c>
      <c r="J146" s="66" t="e">
        <f t="shared" si="27"/>
        <v>#N/A</v>
      </c>
      <c r="K146" s="66" t="e">
        <f t="shared" si="28"/>
        <v>#N/A</v>
      </c>
      <c r="L146" s="71" t="e">
        <f t="shared" si="29"/>
        <v>#N/A</v>
      </c>
    </row>
    <row r="147" spans="2:12" x14ac:dyDescent="0.2">
      <c r="B147" s="68" t="s">
        <v>569</v>
      </c>
      <c r="C147" s="68"/>
      <c r="D147" s="68"/>
      <c r="E147" s="68"/>
      <c r="F147" s="68"/>
      <c r="G147" s="69" t="e">
        <f t="shared" si="24"/>
        <v>#N/A</v>
      </c>
      <c r="H147" s="69" t="e">
        <f t="shared" si="25"/>
        <v>#N/A</v>
      </c>
      <c r="I147" s="69" t="e">
        <f t="shared" si="26"/>
        <v>#N/A</v>
      </c>
      <c r="J147" s="69" t="e">
        <f t="shared" si="27"/>
        <v>#N/A</v>
      </c>
      <c r="K147" s="69" t="e">
        <f t="shared" si="28"/>
        <v>#N/A</v>
      </c>
      <c r="L147" s="70" t="e">
        <f t="shared" si="29"/>
        <v>#N/A</v>
      </c>
    </row>
    <row r="148" spans="2:12" x14ac:dyDescent="0.2">
      <c r="B148" s="65" t="s">
        <v>570</v>
      </c>
      <c r="C148" s="65"/>
      <c r="D148" s="65"/>
      <c r="E148" s="65"/>
      <c r="F148" s="65"/>
      <c r="G148" s="66" t="e">
        <f t="shared" si="24"/>
        <v>#N/A</v>
      </c>
      <c r="H148" s="66" t="e">
        <f t="shared" si="25"/>
        <v>#N/A</v>
      </c>
      <c r="I148" s="66" t="e">
        <f t="shared" si="26"/>
        <v>#N/A</v>
      </c>
      <c r="J148" s="66" t="e">
        <f t="shared" si="27"/>
        <v>#N/A</v>
      </c>
      <c r="K148" s="66" t="e">
        <f t="shared" si="28"/>
        <v>#N/A</v>
      </c>
      <c r="L148" s="71" t="e">
        <f t="shared" si="29"/>
        <v>#N/A</v>
      </c>
    </row>
    <row r="149" spans="2:12" x14ac:dyDescent="0.2">
      <c r="B149" s="68" t="s">
        <v>571</v>
      </c>
      <c r="C149" s="68"/>
      <c r="D149" s="68"/>
      <c r="E149" s="68"/>
      <c r="F149" s="68"/>
      <c r="G149" s="69" t="e">
        <f t="shared" si="24"/>
        <v>#N/A</v>
      </c>
      <c r="H149" s="69" t="e">
        <f t="shared" si="25"/>
        <v>#N/A</v>
      </c>
      <c r="I149" s="69" t="e">
        <f t="shared" si="26"/>
        <v>#N/A</v>
      </c>
      <c r="J149" s="69" t="e">
        <f t="shared" si="27"/>
        <v>#N/A</v>
      </c>
      <c r="K149" s="69" t="e">
        <f t="shared" si="28"/>
        <v>#N/A</v>
      </c>
      <c r="L149" s="70" t="e">
        <f t="shared" si="29"/>
        <v>#N/A</v>
      </c>
    </row>
    <row r="150" spans="2:12" x14ac:dyDescent="0.2">
      <c r="B150" s="65" t="s">
        <v>572</v>
      </c>
      <c r="C150" s="65"/>
      <c r="D150" s="65"/>
      <c r="E150" s="65"/>
      <c r="F150" s="65"/>
      <c r="G150" s="66" t="e">
        <f t="shared" si="24"/>
        <v>#N/A</v>
      </c>
      <c r="H150" s="66" t="e">
        <f t="shared" si="25"/>
        <v>#N/A</v>
      </c>
      <c r="I150" s="66" t="e">
        <f t="shared" si="26"/>
        <v>#N/A</v>
      </c>
      <c r="J150" s="66" t="e">
        <f t="shared" si="27"/>
        <v>#N/A</v>
      </c>
      <c r="K150" s="66" t="e">
        <f t="shared" si="28"/>
        <v>#N/A</v>
      </c>
      <c r="L150" s="71" t="e">
        <f t="shared" si="29"/>
        <v>#N/A</v>
      </c>
    </row>
    <row r="151" spans="2:12" x14ac:dyDescent="0.2">
      <c r="B151" s="68" t="s">
        <v>573</v>
      </c>
      <c r="C151" s="68"/>
      <c r="D151" s="68"/>
      <c r="E151" s="68"/>
      <c r="F151" s="68"/>
      <c r="G151" s="69" t="e">
        <f t="shared" si="24"/>
        <v>#N/A</v>
      </c>
      <c r="H151" s="69" t="e">
        <f t="shared" si="25"/>
        <v>#N/A</v>
      </c>
      <c r="I151" s="69" t="e">
        <f t="shared" si="26"/>
        <v>#N/A</v>
      </c>
      <c r="J151" s="69" t="e">
        <f t="shared" si="27"/>
        <v>#N/A</v>
      </c>
      <c r="K151" s="69" t="e">
        <f t="shared" si="28"/>
        <v>#N/A</v>
      </c>
      <c r="L151" s="70" t="e">
        <f t="shared" si="29"/>
        <v>#N/A</v>
      </c>
    </row>
    <row r="152" spans="2:12" x14ac:dyDescent="0.2">
      <c r="B152" s="65" t="s">
        <v>574</v>
      </c>
      <c r="C152" s="65"/>
      <c r="D152" s="65"/>
      <c r="E152" s="65"/>
      <c r="F152" s="65"/>
      <c r="G152" s="66" t="e">
        <f t="shared" si="24"/>
        <v>#N/A</v>
      </c>
      <c r="H152" s="66" t="e">
        <f t="shared" si="25"/>
        <v>#N/A</v>
      </c>
      <c r="I152" s="66" t="e">
        <f t="shared" si="26"/>
        <v>#N/A</v>
      </c>
      <c r="J152" s="66" t="e">
        <f t="shared" si="27"/>
        <v>#N/A</v>
      </c>
      <c r="K152" s="66" t="e">
        <f t="shared" si="28"/>
        <v>#N/A</v>
      </c>
      <c r="L152" s="71" t="e">
        <f t="shared" si="29"/>
        <v>#N/A</v>
      </c>
    </row>
    <row r="153" spans="2:12" x14ac:dyDescent="0.2">
      <c r="B153" s="68" t="s">
        <v>575</v>
      </c>
      <c r="C153" s="68"/>
      <c r="D153" s="68"/>
      <c r="E153" s="68"/>
      <c r="F153" s="68"/>
      <c r="G153" s="69" t="e">
        <f t="shared" si="24"/>
        <v>#N/A</v>
      </c>
      <c r="H153" s="69" t="e">
        <f t="shared" si="25"/>
        <v>#N/A</v>
      </c>
      <c r="I153" s="69" t="e">
        <f t="shared" si="26"/>
        <v>#N/A</v>
      </c>
      <c r="J153" s="69" t="e">
        <f t="shared" si="27"/>
        <v>#N/A</v>
      </c>
      <c r="K153" s="69" t="e">
        <f t="shared" si="28"/>
        <v>#N/A</v>
      </c>
      <c r="L153" s="70" t="e">
        <f t="shared" si="29"/>
        <v>#N/A</v>
      </c>
    </row>
    <row r="154" spans="2:12" x14ac:dyDescent="0.2">
      <c r="B154" s="65" t="s">
        <v>576</v>
      </c>
      <c r="C154" s="65"/>
      <c r="D154" s="65"/>
      <c r="E154" s="65"/>
      <c r="F154" s="65"/>
      <c r="G154" s="66" t="e">
        <f t="shared" si="24"/>
        <v>#N/A</v>
      </c>
      <c r="H154" s="66" t="e">
        <f t="shared" si="25"/>
        <v>#N/A</v>
      </c>
      <c r="I154" s="66" t="e">
        <f t="shared" si="26"/>
        <v>#N/A</v>
      </c>
      <c r="J154" s="66" t="e">
        <f t="shared" si="27"/>
        <v>#N/A</v>
      </c>
      <c r="K154" s="66" t="e">
        <f t="shared" si="28"/>
        <v>#N/A</v>
      </c>
      <c r="L154" s="71" t="e">
        <f t="shared" si="29"/>
        <v>#N/A</v>
      </c>
    </row>
    <row r="155" spans="2:12" ht="13.5" thickBot="1" x14ac:dyDescent="0.25">
      <c r="B155" s="75" t="s">
        <v>577</v>
      </c>
      <c r="C155" s="75"/>
      <c r="D155" s="75"/>
      <c r="E155" s="75"/>
      <c r="F155" s="75"/>
      <c r="G155" s="76" t="e">
        <f t="shared" si="24"/>
        <v>#N/A</v>
      </c>
      <c r="H155" s="76" t="e">
        <f t="shared" si="25"/>
        <v>#N/A</v>
      </c>
      <c r="I155" s="76" t="e">
        <f t="shared" si="26"/>
        <v>#N/A</v>
      </c>
      <c r="J155" s="76" t="e">
        <f t="shared" si="27"/>
        <v>#N/A</v>
      </c>
      <c r="K155" s="76" t="e">
        <f t="shared" si="28"/>
        <v>#N/A</v>
      </c>
      <c r="L155" s="77" t="e">
        <f t="shared" si="29"/>
        <v>#N/A</v>
      </c>
    </row>
  </sheetData>
  <sheetProtection sheet="1" objects="1" scenarios="1"/>
  <mergeCells count="10">
    <mergeCell ref="B1:X1"/>
    <mergeCell ref="I3:O9"/>
    <mergeCell ref="C12:F12"/>
    <mergeCell ref="G12:J12"/>
    <mergeCell ref="K12:K13"/>
    <mergeCell ref="L12:L13"/>
    <mergeCell ref="O12:R12"/>
    <mergeCell ref="S12:V12"/>
    <mergeCell ref="W12:W13"/>
    <mergeCell ref="X12:X13"/>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069DB-6FA6-4534-AD31-764B2792500F}">
  <sheetPr>
    <tabColor rgb="FFFF0000"/>
  </sheetPr>
  <dimension ref="B1:T146"/>
  <sheetViews>
    <sheetView showGridLines="0" workbookViewId="0">
      <selection activeCell="B1" sqref="B1:J1"/>
    </sheetView>
  </sheetViews>
  <sheetFormatPr defaultColWidth="9.140625" defaultRowHeight="12.75" x14ac:dyDescent="0.2"/>
  <cols>
    <col min="1" max="1" width="5.28515625" style="52" customWidth="1"/>
    <col min="2" max="2" width="18.7109375" style="55" customWidth="1"/>
    <col min="3" max="3" width="15.5703125" style="56" customWidth="1"/>
    <col min="4" max="4" width="17.7109375" style="56" customWidth="1"/>
    <col min="5" max="5" width="20" style="56" customWidth="1"/>
    <col min="6" max="6" width="5.85546875" style="52" customWidth="1"/>
    <col min="7" max="7" width="17.7109375" style="57" customWidth="1"/>
    <col min="8" max="9" width="15.7109375" style="56" customWidth="1"/>
    <col min="10" max="10" width="16.7109375" style="56" customWidth="1"/>
    <col min="11" max="12" width="9.140625" style="52"/>
    <col min="13" max="13" width="17.140625" style="52" customWidth="1"/>
    <col min="14" max="14" width="72.42578125" style="52" customWidth="1"/>
    <col min="15" max="16384" width="9.140625" style="52"/>
  </cols>
  <sheetData>
    <row r="1" spans="2:20" ht="57" customHeight="1" thickBot="1" x14ac:dyDescent="0.4">
      <c r="B1" s="342" t="s">
        <v>350</v>
      </c>
      <c r="C1" s="343"/>
      <c r="D1" s="343"/>
      <c r="E1" s="343"/>
      <c r="F1" s="343"/>
      <c r="G1" s="343"/>
      <c r="H1" s="343"/>
      <c r="I1" s="343"/>
      <c r="J1" s="344"/>
      <c r="L1" s="54"/>
      <c r="M1" s="376" t="s">
        <v>854</v>
      </c>
      <c r="N1" s="376"/>
      <c r="O1" s="376"/>
      <c r="P1" s="376"/>
      <c r="Q1" s="376"/>
      <c r="R1" s="376"/>
      <c r="S1" s="376"/>
      <c r="T1" s="54"/>
    </row>
    <row r="2" spans="2:20" ht="13.5" thickBot="1" x14ac:dyDescent="0.25">
      <c r="M2" s="376"/>
      <c r="N2" s="376"/>
      <c r="O2" s="376"/>
      <c r="P2" s="376"/>
      <c r="Q2" s="376"/>
      <c r="R2" s="376"/>
      <c r="S2" s="376"/>
    </row>
    <row r="3" spans="2:20" ht="26.25" customHeight="1" thickBot="1" x14ac:dyDescent="0.25">
      <c r="B3" s="347" t="s">
        <v>353</v>
      </c>
      <c r="C3" s="348"/>
      <c r="D3" s="348"/>
      <c r="E3" s="349"/>
      <c r="G3" s="347" t="s">
        <v>354</v>
      </c>
      <c r="H3" s="348"/>
      <c r="I3" s="348"/>
      <c r="J3" s="349"/>
      <c r="M3" s="376"/>
      <c r="N3" s="376"/>
      <c r="O3" s="376"/>
      <c r="P3" s="376"/>
      <c r="Q3" s="376"/>
      <c r="R3" s="376"/>
      <c r="S3" s="376"/>
    </row>
    <row r="4" spans="2:20" ht="25.5" customHeight="1" thickTop="1" thickBot="1" x14ac:dyDescent="0.25">
      <c r="B4" s="60" t="s">
        <v>912</v>
      </c>
      <c r="C4" s="61" t="s">
        <v>355</v>
      </c>
      <c r="D4" s="61" t="s">
        <v>356</v>
      </c>
      <c r="E4" s="62" t="s">
        <v>357</v>
      </c>
      <c r="F4" s="63"/>
      <c r="G4" s="60" t="s">
        <v>913</v>
      </c>
      <c r="H4" s="61" t="s">
        <v>355</v>
      </c>
      <c r="I4" s="61" t="s">
        <v>356</v>
      </c>
      <c r="J4" s="62" t="s">
        <v>357</v>
      </c>
      <c r="K4" s="63"/>
      <c r="L4" s="55"/>
      <c r="M4" s="376"/>
      <c r="N4" s="376"/>
      <c r="O4" s="376"/>
      <c r="P4" s="376"/>
      <c r="Q4" s="376"/>
      <c r="R4" s="376"/>
      <c r="S4" s="376"/>
      <c r="T4" s="55"/>
    </row>
    <row r="5" spans="2:20" s="63" customFormat="1" ht="13.5" thickTop="1" x14ac:dyDescent="0.2">
      <c r="B5" s="65">
        <v>1.1000000000000001</v>
      </c>
      <c r="C5" s="66" t="s">
        <v>406</v>
      </c>
      <c r="D5" s="66" t="str">
        <f>LEFT($C5, 1)</f>
        <v>5</v>
      </c>
      <c r="E5" s="101" t="str">
        <f>D5</f>
        <v>5</v>
      </c>
      <c r="F5" s="52"/>
      <c r="G5" s="104">
        <v>1.1000000000000001</v>
      </c>
      <c r="H5" s="66" t="s">
        <v>406</v>
      </c>
      <c r="I5" s="66" t="str">
        <f>LEFT($H5, 1)</f>
        <v>5</v>
      </c>
      <c r="J5" s="101" t="str">
        <f>I5</f>
        <v>5</v>
      </c>
      <c r="K5" s="52"/>
      <c r="L5" s="55"/>
      <c r="M5" s="376"/>
      <c r="N5" s="376"/>
      <c r="O5" s="376"/>
      <c r="P5" s="376"/>
      <c r="Q5" s="376"/>
      <c r="R5" s="376"/>
      <c r="S5" s="376"/>
      <c r="T5" s="55"/>
    </row>
    <row r="6" spans="2:20" x14ac:dyDescent="0.2">
      <c r="B6" s="68">
        <v>1.3</v>
      </c>
      <c r="C6" s="69" t="s">
        <v>407</v>
      </c>
      <c r="D6" s="69" t="str">
        <f t="shared" ref="D6:D46" si="0">LEFT($C6, 1)</f>
        <v>3</v>
      </c>
      <c r="E6" s="102" t="str">
        <f t="shared" ref="E6:E46" si="1">D6</f>
        <v>3</v>
      </c>
      <c r="G6" s="105">
        <v>1.2</v>
      </c>
      <c r="H6" s="69" t="s">
        <v>407</v>
      </c>
      <c r="I6" s="69" t="str">
        <f t="shared" ref="I6:I69" si="2">LEFT($H6, 1)</f>
        <v>3</v>
      </c>
      <c r="J6" s="102" t="str">
        <f t="shared" ref="J6:J69" si="3">I6</f>
        <v>3</v>
      </c>
      <c r="L6" s="55"/>
      <c r="M6" s="376"/>
      <c r="N6" s="376"/>
      <c r="O6" s="376"/>
      <c r="P6" s="376"/>
      <c r="Q6" s="376"/>
      <c r="R6" s="376"/>
      <c r="S6" s="376"/>
      <c r="T6" s="55"/>
    </row>
    <row r="7" spans="2:20" x14ac:dyDescent="0.2">
      <c r="B7" s="65">
        <v>1.4</v>
      </c>
      <c r="C7" s="66" t="s">
        <v>408</v>
      </c>
      <c r="D7" s="66" t="str">
        <f t="shared" si="0"/>
        <v>4</v>
      </c>
      <c r="E7" s="103" t="str">
        <f t="shared" si="1"/>
        <v>4</v>
      </c>
      <c r="G7" s="104">
        <v>1.3</v>
      </c>
      <c r="H7" s="66" t="s">
        <v>408</v>
      </c>
      <c r="I7" s="66" t="str">
        <f t="shared" si="2"/>
        <v>4</v>
      </c>
      <c r="J7" s="103" t="str">
        <f t="shared" si="3"/>
        <v>4</v>
      </c>
      <c r="L7" s="55"/>
      <c r="M7" s="376"/>
      <c r="N7" s="376"/>
      <c r="O7" s="376"/>
      <c r="P7" s="376"/>
      <c r="Q7" s="376"/>
      <c r="R7" s="376"/>
      <c r="S7" s="376"/>
      <c r="T7" s="55"/>
    </row>
    <row r="8" spans="2:20" x14ac:dyDescent="0.2">
      <c r="B8" s="68">
        <v>1.5</v>
      </c>
      <c r="C8" s="69" t="s">
        <v>407</v>
      </c>
      <c r="D8" s="69" t="str">
        <f t="shared" si="0"/>
        <v>3</v>
      </c>
      <c r="E8" s="102" t="str">
        <f t="shared" si="1"/>
        <v>3</v>
      </c>
      <c r="G8" s="105">
        <v>1.4</v>
      </c>
      <c r="H8" s="69" t="s">
        <v>407</v>
      </c>
      <c r="I8" s="69" t="str">
        <f t="shared" si="2"/>
        <v>3</v>
      </c>
      <c r="J8" s="102" t="str">
        <f t="shared" si="3"/>
        <v>3</v>
      </c>
      <c r="L8" s="55"/>
      <c r="M8" s="59"/>
      <c r="N8" s="64"/>
      <c r="O8" s="55"/>
      <c r="P8" s="55"/>
      <c r="Q8" s="55"/>
      <c r="R8" s="55"/>
      <c r="S8" s="55"/>
      <c r="T8" s="55"/>
    </row>
    <row r="9" spans="2:20" x14ac:dyDescent="0.2">
      <c r="B9" s="65">
        <v>1.6</v>
      </c>
      <c r="C9" s="66" t="s">
        <v>409</v>
      </c>
      <c r="D9" s="66" t="str">
        <f t="shared" si="0"/>
        <v>2</v>
      </c>
      <c r="E9" s="103" t="str">
        <f t="shared" si="1"/>
        <v>2</v>
      </c>
      <c r="G9" s="104">
        <v>2.1</v>
      </c>
      <c r="H9" s="66" t="s">
        <v>409</v>
      </c>
      <c r="I9" s="66" t="str">
        <f t="shared" si="2"/>
        <v>2</v>
      </c>
      <c r="J9" s="103" t="str">
        <f t="shared" si="3"/>
        <v>2</v>
      </c>
      <c r="L9" s="55"/>
      <c r="M9" s="55"/>
      <c r="N9" s="55"/>
      <c r="O9" s="55"/>
      <c r="P9" s="55"/>
      <c r="Q9" s="55"/>
      <c r="R9" s="55"/>
      <c r="S9" s="55"/>
      <c r="T9" s="55"/>
    </row>
    <row r="10" spans="2:20" x14ac:dyDescent="0.2">
      <c r="B10" s="68">
        <v>1.7</v>
      </c>
      <c r="C10" s="69" t="s">
        <v>408</v>
      </c>
      <c r="D10" s="69" t="str">
        <f t="shared" si="0"/>
        <v>4</v>
      </c>
      <c r="E10" s="102" t="str">
        <f t="shared" si="1"/>
        <v>4</v>
      </c>
      <c r="G10" s="105">
        <v>2.2000000000000002</v>
      </c>
      <c r="H10" s="69" t="s">
        <v>408</v>
      </c>
      <c r="I10" s="69" t="str">
        <f t="shared" si="2"/>
        <v>4</v>
      </c>
      <c r="J10" s="102" t="str">
        <f t="shared" si="3"/>
        <v>4</v>
      </c>
      <c r="L10" s="55"/>
      <c r="M10" s="55"/>
      <c r="N10" s="55"/>
      <c r="O10" s="55"/>
      <c r="P10" s="55"/>
      <c r="Q10" s="55"/>
      <c r="R10" s="55"/>
      <c r="S10" s="55"/>
      <c r="T10" s="55"/>
    </row>
    <row r="11" spans="2:20" x14ac:dyDescent="0.2">
      <c r="B11" s="65">
        <v>2.1</v>
      </c>
      <c r="C11" s="66" t="s">
        <v>408</v>
      </c>
      <c r="D11" s="66" t="str">
        <f t="shared" si="0"/>
        <v>4</v>
      </c>
      <c r="E11" s="103" t="str">
        <f t="shared" si="1"/>
        <v>4</v>
      </c>
      <c r="G11" s="104">
        <v>2.2999999999999998</v>
      </c>
      <c r="H11" s="66" t="s">
        <v>408</v>
      </c>
      <c r="I11" s="66" t="str">
        <f t="shared" si="2"/>
        <v>4</v>
      </c>
      <c r="J11" s="103" t="str">
        <f t="shared" si="3"/>
        <v>4</v>
      </c>
      <c r="L11" s="55"/>
      <c r="M11" s="55"/>
      <c r="N11" s="55"/>
      <c r="O11" s="55"/>
      <c r="P11" s="55"/>
      <c r="Q11" s="55"/>
      <c r="R11" s="55"/>
      <c r="S11" s="55"/>
      <c r="T11" s="55"/>
    </row>
    <row r="12" spans="2:20" x14ac:dyDescent="0.2">
      <c r="B12" s="68">
        <v>2.2000000000000002</v>
      </c>
      <c r="C12" s="69" t="s">
        <v>409</v>
      </c>
      <c r="D12" s="69" t="str">
        <f t="shared" si="0"/>
        <v>2</v>
      </c>
      <c r="E12" s="102" t="str">
        <f t="shared" si="1"/>
        <v>2</v>
      </c>
      <c r="G12" s="105">
        <v>2.4</v>
      </c>
      <c r="H12" s="69" t="s">
        <v>409</v>
      </c>
      <c r="I12" s="69" t="str">
        <f t="shared" si="2"/>
        <v>2</v>
      </c>
      <c r="J12" s="102" t="str">
        <f t="shared" si="3"/>
        <v>2</v>
      </c>
      <c r="L12" s="55"/>
      <c r="M12" s="55"/>
      <c r="N12" s="55"/>
      <c r="O12" s="55"/>
      <c r="P12" s="55"/>
      <c r="Q12" s="55"/>
      <c r="R12" s="55"/>
      <c r="S12" s="55"/>
      <c r="T12" s="55"/>
    </row>
    <row r="13" spans="2:20" x14ac:dyDescent="0.2">
      <c r="B13" s="65">
        <v>2.2999999999999998</v>
      </c>
      <c r="C13" s="66" t="s">
        <v>409</v>
      </c>
      <c r="D13" s="66" t="str">
        <f t="shared" si="0"/>
        <v>2</v>
      </c>
      <c r="E13" s="103" t="str">
        <f t="shared" si="1"/>
        <v>2</v>
      </c>
      <c r="G13" s="104">
        <v>2.5</v>
      </c>
      <c r="H13" s="66" t="s">
        <v>409</v>
      </c>
      <c r="I13" s="66" t="str">
        <f t="shared" si="2"/>
        <v>2</v>
      </c>
      <c r="J13" s="103" t="str">
        <f t="shared" si="3"/>
        <v>2</v>
      </c>
      <c r="L13" s="55"/>
      <c r="M13" s="55"/>
      <c r="N13" s="55"/>
      <c r="O13" s="55"/>
      <c r="P13" s="55"/>
      <c r="Q13" s="55"/>
      <c r="R13" s="55"/>
      <c r="S13" s="55"/>
      <c r="T13" s="55"/>
    </row>
    <row r="14" spans="2:20" x14ac:dyDescent="0.2">
      <c r="B14" s="68">
        <v>2.4</v>
      </c>
      <c r="C14" s="69" t="s">
        <v>406</v>
      </c>
      <c r="D14" s="69" t="str">
        <f t="shared" si="0"/>
        <v>5</v>
      </c>
      <c r="E14" s="102" t="str">
        <f t="shared" si="1"/>
        <v>5</v>
      </c>
      <c r="G14" s="105">
        <v>2.6</v>
      </c>
      <c r="H14" s="69" t="s">
        <v>406</v>
      </c>
      <c r="I14" s="69" t="str">
        <f t="shared" si="2"/>
        <v>5</v>
      </c>
      <c r="J14" s="102" t="str">
        <f t="shared" si="3"/>
        <v>5</v>
      </c>
      <c r="L14" s="55"/>
      <c r="M14" s="55"/>
      <c r="N14" s="55"/>
      <c r="O14" s="55"/>
      <c r="P14" s="55"/>
      <c r="Q14" s="55"/>
      <c r="R14" s="55"/>
      <c r="S14" s="55"/>
      <c r="T14" s="55"/>
    </row>
    <row r="15" spans="2:20" x14ac:dyDescent="0.2">
      <c r="B15" s="65">
        <v>2.6</v>
      </c>
      <c r="C15" s="66" t="s">
        <v>409</v>
      </c>
      <c r="D15" s="66" t="str">
        <f t="shared" si="0"/>
        <v>2</v>
      </c>
      <c r="E15" s="103" t="str">
        <f t="shared" si="1"/>
        <v>2</v>
      </c>
      <c r="G15" s="104">
        <v>3.1</v>
      </c>
      <c r="H15" s="66" t="s">
        <v>409</v>
      </c>
      <c r="I15" s="66" t="str">
        <f t="shared" si="2"/>
        <v>2</v>
      </c>
      <c r="J15" s="103" t="str">
        <f t="shared" si="3"/>
        <v>2</v>
      </c>
      <c r="L15" s="55"/>
      <c r="M15" s="55"/>
      <c r="N15" s="55"/>
      <c r="O15" s="55"/>
      <c r="P15" s="55"/>
      <c r="Q15" s="55"/>
      <c r="R15" s="55"/>
      <c r="S15" s="55"/>
      <c r="T15" s="55"/>
    </row>
    <row r="16" spans="2:20" x14ac:dyDescent="0.2">
      <c r="B16" s="68">
        <v>3.1</v>
      </c>
      <c r="C16" s="69"/>
      <c r="D16" s="69" t="str">
        <f t="shared" si="0"/>
        <v/>
      </c>
      <c r="E16" s="102" t="str">
        <f t="shared" si="1"/>
        <v/>
      </c>
      <c r="G16" s="105">
        <v>3.2</v>
      </c>
      <c r="H16" s="69"/>
      <c r="I16" s="69" t="str">
        <f t="shared" si="2"/>
        <v/>
      </c>
      <c r="J16" s="102" t="str">
        <f t="shared" si="3"/>
        <v/>
      </c>
      <c r="L16" s="55"/>
      <c r="M16" s="55"/>
      <c r="N16" s="55"/>
      <c r="O16" s="55"/>
      <c r="P16" s="55"/>
      <c r="Q16" s="55"/>
      <c r="R16" s="55"/>
      <c r="S16" s="55"/>
      <c r="T16" s="55"/>
    </row>
    <row r="17" spans="2:20" x14ac:dyDescent="0.2">
      <c r="B17" s="65">
        <v>3.2</v>
      </c>
      <c r="C17" s="66" t="s">
        <v>389</v>
      </c>
      <c r="D17" s="66" t="str">
        <f t="shared" si="0"/>
        <v>N</v>
      </c>
      <c r="E17" s="103" t="str">
        <f t="shared" si="1"/>
        <v>N</v>
      </c>
      <c r="G17" s="104">
        <v>3.3</v>
      </c>
      <c r="H17" s="66" t="s">
        <v>389</v>
      </c>
      <c r="I17" s="66" t="str">
        <f t="shared" si="2"/>
        <v>N</v>
      </c>
      <c r="J17" s="103" t="str">
        <f t="shared" si="3"/>
        <v>N</v>
      </c>
      <c r="L17" s="55"/>
      <c r="M17" s="55"/>
      <c r="N17" s="55"/>
      <c r="O17" s="55"/>
      <c r="P17" s="55"/>
      <c r="Q17" s="55"/>
      <c r="R17" s="55"/>
      <c r="S17" s="55"/>
      <c r="T17" s="55"/>
    </row>
    <row r="18" spans="2:20" x14ac:dyDescent="0.2">
      <c r="B18" s="68">
        <v>3.3</v>
      </c>
      <c r="C18" s="69"/>
      <c r="D18" s="69" t="str">
        <f t="shared" si="0"/>
        <v/>
      </c>
      <c r="E18" s="102" t="str">
        <f t="shared" si="1"/>
        <v/>
      </c>
      <c r="G18" s="105">
        <v>3.4</v>
      </c>
      <c r="H18" s="69"/>
      <c r="I18" s="69" t="str">
        <f t="shared" si="2"/>
        <v/>
      </c>
      <c r="J18" s="102" t="str">
        <f t="shared" si="3"/>
        <v/>
      </c>
      <c r="L18" s="55"/>
      <c r="M18" s="55"/>
      <c r="N18" s="55"/>
      <c r="O18" s="55"/>
      <c r="P18" s="55"/>
      <c r="Q18" s="55"/>
      <c r="R18" s="55"/>
      <c r="S18" s="55"/>
      <c r="T18" s="55"/>
    </row>
    <row r="19" spans="2:20" x14ac:dyDescent="0.2">
      <c r="B19" s="65">
        <v>3.4</v>
      </c>
      <c r="C19" s="66" t="s">
        <v>410</v>
      </c>
      <c r="D19" s="66" t="str">
        <f t="shared" si="0"/>
        <v>N</v>
      </c>
      <c r="E19" s="103" t="str">
        <f t="shared" si="1"/>
        <v>N</v>
      </c>
      <c r="G19" s="104">
        <v>3.5</v>
      </c>
      <c r="H19" s="66" t="s">
        <v>410</v>
      </c>
      <c r="I19" s="66" t="str">
        <f t="shared" si="2"/>
        <v>N</v>
      </c>
      <c r="J19" s="103" t="str">
        <f t="shared" si="3"/>
        <v>N</v>
      </c>
      <c r="L19" s="55"/>
      <c r="M19" s="55"/>
      <c r="N19" s="55"/>
      <c r="O19" s="55"/>
      <c r="P19" s="55"/>
      <c r="Q19" s="55"/>
      <c r="R19" s="55"/>
      <c r="S19" s="55"/>
      <c r="T19" s="55"/>
    </row>
    <row r="20" spans="2:20" x14ac:dyDescent="0.2">
      <c r="B20" s="68">
        <v>3.5</v>
      </c>
      <c r="C20" s="69"/>
      <c r="D20" s="69" t="str">
        <f t="shared" si="0"/>
        <v/>
      </c>
      <c r="E20" s="102" t="str">
        <f t="shared" si="1"/>
        <v/>
      </c>
      <c r="G20" s="105">
        <v>3.6</v>
      </c>
      <c r="H20" s="69"/>
      <c r="I20" s="69" t="str">
        <f t="shared" si="2"/>
        <v/>
      </c>
      <c r="J20" s="102" t="str">
        <f t="shared" si="3"/>
        <v/>
      </c>
      <c r="L20" s="55"/>
      <c r="M20" s="55"/>
      <c r="N20" s="55"/>
      <c r="O20" s="55"/>
      <c r="P20" s="55"/>
      <c r="Q20" s="55"/>
      <c r="R20" s="55"/>
      <c r="S20" s="55"/>
      <c r="T20" s="55"/>
    </row>
    <row r="21" spans="2:20" x14ac:dyDescent="0.2">
      <c r="B21" s="65">
        <v>3.6</v>
      </c>
      <c r="C21" s="66"/>
      <c r="D21" s="66" t="str">
        <f t="shared" si="0"/>
        <v/>
      </c>
      <c r="E21" s="103" t="str">
        <f t="shared" si="1"/>
        <v/>
      </c>
      <c r="G21" s="104">
        <v>3.7</v>
      </c>
      <c r="H21" s="66"/>
      <c r="I21" s="66" t="str">
        <f t="shared" si="2"/>
        <v/>
      </c>
      <c r="J21" s="103" t="str">
        <f t="shared" si="3"/>
        <v/>
      </c>
      <c r="L21" s="72"/>
      <c r="M21" s="72"/>
      <c r="N21" s="72"/>
      <c r="O21" s="72"/>
      <c r="P21" s="72"/>
      <c r="Q21" s="72"/>
      <c r="R21" s="72"/>
      <c r="S21" s="72"/>
      <c r="T21" s="72"/>
    </row>
    <row r="22" spans="2:20" x14ac:dyDescent="0.2">
      <c r="B22" s="68">
        <v>3.7</v>
      </c>
      <c r="C22" s="69"/>
      <c r="D22" s="69" t="str">
        <f t="shared" si="0"/>
        <v/>
      </c>
      <c r="E22" s="102" t="str">
        <f t="shared" si="1"/>
        <v/>
      </c>
      <c r="G22" s="105">
        <v>3.8</v>
      </c>
      <c r="H22" s="69"/>
      <c r="I22" s="69" t="str">
        <f t="shared" si="2"/>
        <v/>
      </c>
      <c r="J22" s="102" t="str">
        <f t="shared" si="3"/>
        <v/>
      </c>
      <c r="L22" s="72"/>
      <c r="M22" s="72"/>
      <c r="N22" s="72"/>
      <c r="O22" s="72"/>
      <c r="P22" s="72"/>
      <c r="Q22" s="72"/>
      <c r="R22" s="72"/>
      <c r="S22" s="72"/>
      <c r="T22" s="72"/>
    </row>
    <row r="23" spans="2:20" x14ac:dyDescent="0.2">
      <c r="B23" s="65">
        <v>4.0999999999999996</v>
      </c>
      <c r="C23" s="66"/>
      <c r="D23" s="66" t="str">
        <f t="shared" si="0"/>
        <v/>
      </c>
      <c r="E23" s="103" t="str">
        <f t="shared" si="1"/>
        <v/>
      </c>
      <c r="G23" s="104">
        <v>3.9</v>
      </c>
      <c r="H23" s="66"/>
      <c r="I23" s="66" t="str">
        <f t="shared" si="2"/>
        <v/>
      </c>
      <c r="J23" s="103" t="str">
        <f t="shared" si="3"/>
        <v/>
      </c>
      <c r="L23" s="72"/>
      <c r="M23" s="72"/>
      <c r="N23" s="72"/>
      <c r="O23" s="72"/>
      <c r="P23" s="72"/>
      <c r="Q23" s="72"/>
      <c r="R23" s="72"/>
      <c r="S23" s="72"/>
      <c r="T23" s="72"/>
    </row>
    <row r="24" spans="2:20" x14ac:dyDescent="0.2">
      <c r="B24" s="68">
        <v>4.2</v>
      </c>
      <c r="C24" s="69"/>
      <c r="D24" s="69" t="str">
        <f t="shared" si="0"/>
        <v/>
      </c>
      <c r="E24" s="102" t="str">
        <f t="shared" si="1"/>
        <v/>
      </c>
      <c r="G24" s="106">
        <v>3.1</v>
      </c>
      <c r="H24" s="69"/>
      <c r="I24" s="69" t="str">
        <f t="shared" si="2"/>
        <v/>
      </c>
      <c r="J24" s="102" t="str">
        <f t="shared" si="3"/>
        <v/>
      </c>
      <c r="L24" s="72"/>
      <c r="M24" s="72"/>
      <c r="N24" s="72"/>
      <c r="O24" s="72"/>
      <c r="P24" s="72"/>
      <c r="Q24" s="72"/>
      <c r="R24" s="72"/>
      <c r="S24" s="72"/>
      <c r="T24" s="72"/>
    </row>
    <row r="25" spans="2:20" x14ac:dyDescent="0.2">
      <c r="B25" s="65">
        <v>4.3</v>
      </c>
      <c r="C25" s="66"/>
      <c r="D25" s="66" t="str">
        <f t="shared" si="0"/>
        <v/>
      </c>
      <c r="E25" s="103" t="str">
        <f t="shared" si="1"/>
        <v/>
      </c>
      <c r="G25" s="104">
        <v>3.11</v>
      </c>
      <c r="H25" s="66"/>
      <c r="I25" s="66" t="str">
        <f t="shared" si="2"/>
        <v/>
      </c>
      <c r="J25" s="103" t="str">
        <f t="shared" si="3"/>
        <v/>
      </c>
      <c r="L25" s="72"/>
      <c r="M25" s="72"/>
      <c r="N25" s="72"/>
      <c r="O25" s="72"/>
      <c r="P25" s="72"/>
      <c r="Q25" s="72"/>
      <c r="R25" s="72"/>
      <c r="S25" s="72"/>
      <c r="T25" s="72"/>
    </row>
    <row r="26" spans="2:20" x14ac:dyDescent="0.2">
      <c r="B26" s="68">
        <v>4.4000000000000004</v>
      </c>
      <c r="C26" s="69"/>
      <c r="D26" s="69" t="str">
        <f t="shared" si="0"/>
        <v/>
      </c>
      <c r="E26" s="102" t="str">
        <f t="shared" si="1"/>
        <v/>
      </c>
      <c r="G26" s="105">
        <v>3.12</v>
      </c>
      <c r="H26" s="69"/>
      <c r="I26" s="69" t="str">
        <f t="shared" si="2"/>
        <v/>
      </c>
      <c r="J26" s="102" t="str">
        <f t="shared" si="3"/>
        <v/>
      </c>
      <c r="L26" s="72"/>
      <c r="M26" s="72"/>
      <c r="N26" s="72"/>
      <c r="O26" s="72"/>
      <c r="P26" s="72"/>
      <c r="Q26" s="72"/>
      <c r="R26" s="72"/>
      <c r="S26" s="72"/>
      <c r="T26" s="72"/>
    </row>
    <row r="27" spans="2:20" x14ac:dyDescent="0.2">
      <c r="B27" s="65">
        <v>4.5</v>
      </c>
      <c r="C27" s="66"/>
      <c r="D27" s="66" t="str">
        <f t="shared" si="0"/>
        <v/>
      </c>
      <c r="E27" s="103" t="str">
        <f t="shared" si="1"/>
        <v/>
      </c>
      <c r="G27" s="104">
        <v>4.0999999999999996</v>
      </c>
      <c r="H27" s="66"/>
      <c r="I27" s="66" t="str">
        <f t="shared" si="2"/>
        <v/>
      </c>
      <c r="J27" s="103" t="str">
        <f t="shared" si="3"/>
        <v/>
      </c>
      <c r="L27" s="72"/>
      <c r="M27" s="72"/>
      <c r="N27" s="72"/>
      <c r="O27" s="72"/>
      <c r="P27" s="72"/>
      <c r="Q27" s="72"/>
      <c r="R27" s="72"/>
      <c r="S27" s="72"/>
      <c r="T27" s="72"/>
    </row>
    <row r="28" spans="2:20" x14ac:dyDescent="0.2">
      <c r="B28" s="68">
        <v>4.5999999999999996</v>
      </c>
      <c r="C28" s="69"/>
      <c r="D28" s="69" t="str">
        <f t="shared" si="0"/>
        <v/>
      </c>
      <c r="E28" s="102" t="str">
        <f t="shared" si="1"/>
        <v/>
      </c>
      <c r="G28" s="105">
        <v>4.2</v>
      </c>
      <c r="H28" s="69"/>
      <c r="I28" s="69" t="str">
        <f t="shared" si="2"/>
        <v/>
      </c>
      <c r="J28" s="102" t="str">
        <f t="shared" si="3"/>
        <v/>
      </c>
      <c r="L28" s="72"/>
      <c r="M28" s="72"/>
      <c r="N28" s="72"/>
      <c r="O28" s="72"/>
      <c r="P28" s="72"/>
      <c r="Q28" s="72"/>
      <c r="R28" s="72"/>
      <c r="S28" s="72"/>
      <c r="T28" s="72"/>
    </row>
    <row r="29" spans="2:20" x14ac:dyDescent="0.2">
      <c r="B29" s="65">
        <v>4.7</v>
      </c>
      <c r="C29" s="66"/>
      <c r="D29" s="66" t="str">
        <f t="shared" si="0"/>
        <v/>
      </c>
      <c r="E29" s="103" t="str">
        <f t="shared" si="1"/>
        <v/>
      </c>
      <c r="G29" s="104">
        <v>4.3</v>
      </c>
      <c r="H29" s="66"/>
      <c r="I29" s="66" t="str">
        <f t="shared" si="2"/>
        <v/>
      </c>
      <c r="J29" s="103" t="str">
        <f t="shared" si="3"/>
        <v/>
      </c>
      <c r="L29" s="72"/>
      <c r="M29" s="72"/>
      <c r="N29" s="72"/>
      <c r="O29" s="72"/>
      <c r="P29" s="72"/>
      <c r="Q29" s="72"/>
      <c r="R29" s="72"/>
      <c r="S29" s="72"/>
      <c r="T29" s="72"/>
    </row>
    <row r="30" spans="2:20" x14ac:dyDescent="0.2">
      <c r="B30" s="68">
        <v>4.8</v>
      </c>
      <c r="C30" s="69"/>
      <c r="D30" s="69" t="str">
        <f t="shared" si="0"/>
        <v/>
      </c>
      <c r="E30" s="102" t="str">
        <f t="shared" si="1"/>
        <v/>
      </c>
      <c r="G30" s="105">
        <v>4.4000000000000004</v>
      </c>
      <c r="H30" s="69"/>
      <c r="I30" s="69" t="str">
        <f t="shared" si="2"/>
        <v/>
      </c>
      <c r="J30" s="102" t="str">
        <f t="shared" si="3"/>
        <v/>
      </c>
      <c r="L30" s="72"/>
      <c r="M30" s="72"/>
      <c r="N30" s="72"/>
      <c r="O30" s="72"/>
      <c r="P30" s="72"/>
      <c r="Q30" s="72"/>
      <c r="R30" s="72"/>
      <c r="S30" s="72"/>
      <c r="T30" s="72"/>
    </row>
    <row r="31" spans="2:20" x14ac:dyDescent="0.2">
      <c r="B31" s="65">
        <v>4.9000000000000004</v>
      </c>
      <c r="C31" s="66"/>
      <c r="D31" s="66" t="str">
        <f t="shared" si="0"/>
        <v/>
      </c>
      <c r="E31" s="103" t="str">
        <f t="shared" si="1"/>
        <v/>
      </c>
      <c r="G31" s="104">
        <v>4.5</v>
      </c>
      <c r="H31" s="66"/>
      <c r="I31" s="66" t="str">
        <f t="shared" si="2"/>
        <v/>
      </c>
      <c r="J31" s="103" t="str">
        <f t="shared" si="3"/>
        <v/>
      </c>
      <c r="L31" s="72"/>
      <c r="M31" s="72"/>
      <c r="N31" s="72"/>
      <c r="O31" s="72"/>
      <c r="P31" s="72"/>
      <c r="Q31" s="72"/>
      <c r="R31" s="72"/>
      <c r="S31" s="72"/>
      <c r="T31" s="72"/>
    </row>
    <row r="32" spans="2:20" x14ac:dyDescent="0.2">
      <c r="B32" s="68">
        <v>5.0999999999999996</v>
      </c>
      <c r="C32" s="69"/>
      <c r="D32" s="69" t="str">
        <f t="shared" si="0"/>
        <v/>
      </c>
      <c r="E32" s="102" t="str">
        <f t="shared" si="1"/>
        <v/>
      </c>
      <c r="G32" s="105">
        <v>4.5999999999999996</v>
      </c>
      <c r="H32" s="69"/>
      <c r="I32" s="69" t="str">
        <f t="shared" si="2"/>
        <v/>
      </c>
      <c r="J32" s="102" t="str">
        <f t="shared" si="3"/>
        <v/>
      </c>
      <c r="L32" s="72"/>
      <c r="M32" s="72"/>
      <c r="N32" s="72"/>
      <c r="O32" s="72"/>
      <c r="P32" s="72"/>
      <c r="Q32" s="72"/>
      <c r="R32" s="72"/>
      <c r="S32" s="72"/>
      <c r="T32" s="72"/>
    </row>
    <row r="33" spans="2:20" x14ac:dyDescent="0.2">
      <c r="B33" s="65">
        <v>5.2</v>
      </c>
      <c r="C33" s="66"/>
      <c r="D33" s="66" t="str">
        <f t="shared" si="0"/>
        <v/>
      </c>
      <c r="E33" s="103" t="str">
        <f t="shared" si="1"/>
        <v/>
      </c>
      <c r="G33" s="104">
        <v>4.7</v>
      </c>
      <c r="H33" s="66"/>
      <c r="I33" s="66" t="str">
        <f t="shared" si="2"/>
        <v/>
      </c>
      <c r="J33" s="103" t="str">
        <f t="shared" si="3"/>
        <v/>
      </c>
      <c r="L33" s="72"/>
      <c r="M33" s="72"/>
      <c r="N33" s="72"/>
      <c r="O33" s="72"/>
      <c r="P33" s="72"/>
      <c r="Q33" s="72"/>
      <c r="R33" s="72"/>
      <c r="S33" s="72"/>
      <c r="T33" s="72"/>
    </row>
    <row r="34" spans="2:20" x14ac:dyDescent="0.2">
      <c r="B34" s="73">
        <v>5.3</v>
      </c>
      <c r="C34" s="69"/>
      <c r="D34" s="69" t="str">
        <f t="shared" si="0"/>
        <v/>
      </c>
      <c r="E34" s="102" t="str">
        <f t="shared" si="1"/>
        <v/>
      </c>
      <c r="G34" s="105">
        <v>4.8</v>
      </c>
      <c r="H34" s="69"/>
      <c r="I34" s="69" t="str">
        <f t="shared" si="2"/>
        <v/>
      </c>
      <c r="J34" s="102" t="str">
        <f t="shared" si="3"/>
        <v/>
      </c>
      <c r="L34" s="72"/>
      <c r="M34" s="72"/>
      <c r="N34" s="72"/>
      <c r="O34" s="72"/>
      <c r="P34" s="72"/>
      <c r="Q34" s="72"/>
      <c r="R34" s="72"/>
      <c r="S34" s="72"/>
      <c r="T34" s="72"/>
    </row>
    <row r="35" spans="2:20" x14ac:dyDescent="0.2">
      <c r="B35" s="65">
        <v>5.4</v>
      </c>
      <c r="C35" s="66"/>
      <c r="D35" s="66" t="str">
        <f t="shared" si="0"/>
        <v/>
      </c>
      <c r="E35" s="103" t="str">
        <f t="shared" si="1"/>
        <v/>
      </c>
      <c r="G35" s="104">
        <v>4.9000000000000004</v>
      </c>
      <c r="H35" s="66"/>
      <c r="I35" s="66" t="str">
        <f t="shared" si="2"/>
        <v/>
      </c>
      <c r="J35" s="103" t="str">
        <f t="shared" si="3"/>
        <v/>
      </c>
      <c r="L35" s="72"/>
      <c r="M35" s="72"/>
      <c r="N35" s="72"/>
      <c r="O35" s="72"/>
      <c r="P35" s="72"/>
      <c r="Q35" s="72"/>
      <c r="R35" s="72"/>
      <c r="S35" s="72"/>
      <c r="T35" s="72"/>
    </row>
    <row r="36" spans="2:20" x14ac:dyDescent="0.2">
      <c r="B36" s="68">
        <v>5.5</v>
      </c>
      <c r="C36" s="69"/>
      <c r="D36" s="69" t="str">
        <f t="shared" si="0"/>
        <v/>
      </c>
      <c r="E36" s="102" t="str">
        <f t="shared" si="1"/>
        <v/>
      </c>
      <c r="G36" s="106">
        <v>4.0999999999999996</v>
      </c>
      <c r="H36" s="69"/>
      <c r="I36" s="69" t="str">
        <f t="shared" si="2"/>
        <v/>
      </c>
      <c r="J36" s="102" t="str">
        <f t="shared" si="3"/>
        <v/>
      </c>
      <c r="L36" s="72"/>
      <c r="M36" s="72"/>
      <c r="N36" s="72"/>
      <c r="O36" s="72"/>
      <c r="P36" s="72"/>
      <c r="Q36" s="72"/>
      <c r="R36" s="72"/>
      <c r="S36" s="72"/>
      <c r="T36" s="72"/>
    </row>
    <row r="37" spans="2:20" x14ac:dyDescent="0.2">
      <c r="B37" s="65">
        <v>6.1</v>
      </c>
      <c r="C37" s="66"/>
      <c r="D37" s="66" t="str">
        <f t="shared" si="0"/>
        <v/>
      </c>
      <c r="E37" s="103" t="str">
        <f t="shared" si="1"/>
        <v/>
      </c>
      <c r="G37" s="104">
        <v>4.1100000000000003</v>
      </c>
      <c r="H37" s="66"/>
      <c r="I37" s="66" t="str">
        <f t="shared" si="2"/>
        <v/>
      </c>
      <c r="J37" s="103" t="str">
        <f t="shared" si="3"/>
        <v/>
      </c>
      <c r="L37" s="72"/>
      <c r="M37" s="72"/>
      <c r="N37" s="72"/>
      <c r="O37" s="72"/>
      <c r="P37" s="72"/>
      <c r="Q37" s="72"/>
      <c r="R37" s="72"/>
      <c r="S37" s="72"/>
      <c r="T37" s="72"/>
    </row>
    <row r="38" spans="2:20" x14ac:dyDescent="0.2">
      <c r="B38" s="68">
        <v>6.2</v>
      </c>
      <c r="C38" s="69"/>
      <c r="D38" s="69" t="str">
        <f t="shared" si="0"/>
        <v/>
      </c>
      <c r="E38" s="102" t="str">
        <f t="shared" si="1"/>
        <v/>
      </c>
      <c r="G38" s="105">
        <v>5.0999999999999996</v>
      </c>
      <c r="H38" s="69"/>
      <c r="I38" s="69" t="str">
        <f t="shared" si="2"/>
        <v/>
      </c>
      <c r="J38" s="102" t="str">
        <f t="shared" si="3"/>
        <v/>
      </c>
      <c r="L38" s="72"/>
      <c r="M38" s="72"/>
      <c r="N38" s="72"/>
      <c r="O38" s="72"/>
      <c r="P38" s="72"/>
      <c r="Q38" s="72"/>
      <c r="R38" s="72"/>
      <c r="S38" s="72"/>
      <c r="T38" s="72"/>
    </row>
    <row r="39" spans="2:20" x14ac:dyDescent="0.2">
      <c r="B39" s="65">
        <v>6.3</v>
      </c>
      <c r="C39" s="66" t="s">
        <v>406</v>
      </c>
      <c r="D39" s="66" t="str">
        <f t="shared" si="0"/>
        <v>5</v>
      </c>
      <c r="E39" s="103" t="str">
        <f t="shared" si="1"/>
        <v>5</v>
      </c>
      <c r="G39" s="104">
        <v>5.2</v>
      </c>
      <c r="H39" s="66" t="s">
        <v>406</v>
      </c>
      <c r="I39" s="66" t="str">
        <f t="shared" si="2"/>
        <v>5</v>
      </c>
      <c r="J39" s="103" t="str">
        <f t="shared" si="3"/>
        <v>5</v>
      </c>
      <c r="L39" s="72"/>
      <c r="M39" s="72"/>
      <c r="N39" s="72"/>
      <c r="O39" s="72"/>
      <c r="P39" s="72"/>
      <c r="Q39" s="72"/>
      <c r="R39" s="72"/>
      <c r="S39" s="72"/>
      <c r="T39" s="72"/>
    </row>
    <row r="40" spans="2:20" x14ac:dyDescent="0.2">
      <c r="B40" s="68">
        <v>6.4</v>
      </c>
      <c r="C40" s="69"/>
      <c r="D40" s="69" t="str">
        <f t="shared" si="0"/>
        <v/>
      </c>
      <c r="E40" s="102" t="str">
        <f t="shared" si="1"/>
        <v/>
      </c>
      <c r="G40" s="105">
        <v>5.3</v>
      </c>
      <c r="H40" s="69"/>
      <c r="I40" s="69" t="str">
        <f t="shared" si="2"/>
        <v/>
      </c>
      <c r="J40" s="102" t="str">
        <f t="shared" si="3"/>
        <v/>
      </c>
      <c r="L40" s="72"/>
      <c r="M40" s="72"/>
      <c r="N40" s="72"/>
      <c r="O40" s="72"/>
      <c r="P40" s="72"/>
      <c r="Q40" s="72"/>
      <c r="R40" s="72"/>
      <c r="S40" s="72"/>
      <c r="T40" s="72"/>
    </row>
    <row r="41" spans="2:20" x14ac:dyDescent="0.2">
      <c r="B41" s="65">
        <v>6.5</v>
      </c>
      <c r="C41" s="66"/>
      <c r="D41" s="66" t="str">
        <f t="shared" si="0"/>
        <v/>
      </c>
      <c r="E41" s="103" t="str">
        <f t="shared" si="1"/>
        <v/>
      </c>
      <c r="G41" s="104">
        <v>5.4</v>
      </c>
      <c r="H41" s="66"/>
      <c r="I41" s="66" t="str">
        <f t="shared" si="2"/>
        <v/>
      </c>
      <c r="J41" s="103" t="str">
        <f t="shared" si="3"/>
        <v/>
      </c>
      <c r="L41" s="72"/>
      <c r="M41" s="72"/>
      <c r="N41" s="72"/>
      <c r="O41" s="72"/>
      <c r="P41" s="72"/>
      <c r="Q41" s="72"/>
      <c r="R41" s="72"/>
      <c r="S41" s="72"/>
      <c r="T41" s="72"/>
    </row>
    <row r="42" spans="2:20" x14ac:dyDescent="0.2">
      <c r="B42" s="68">
        <v>6.6</v>
      </c>
      <c r="C42" s="69"/>
      <c r="D42" s="69" t="str">
        <f t="shared" si="0"/>
        <v/>
      </c>
      <c r="E42" s="102" t="str">
        <f t="shared" si="1"/>
        <v/>
      </c>
      <c r="G42" s="105">
        <v>5.5</v>
      </c>
      <c r="H42" s="69"/>
      <c r="I42" s="69" t="str">
        <f t="shared" si="2"/>
        <v/>
      </c>
      <c r="J42" s="102" t="str">
        <f t="shared" si="3"/>
        <v/>
      </c>
      <c r="L42" s="72"/>
      <c r="M42" s="72"/>
      <c r="N42" s="72"/>
      <c r="O42" s="72"/>
      <c r="P42" s="72"/>
      <c r="Q42" s="72"/>
      <c r="R42" s="72"/>
      <c r="S42" s="72"/>
      <c r="T42" s="72"/>
    </row>
    <row r="43" spans="2:20" x14ac:dyDescent="0.2">
      <c r="B43" s="65">
        <v>6.7</v>
      </c>
      <c r="C43" s="66"/>
      <c r="D43" s="66" t="str">
        <f t="shared" si="0"/>
        <v/>
      </c>
      <c r="E43" s="103" t="str">
        <f t="shared" si="1"/>
        <v/>
      </c>
      <c r="G43" s="104">
        <v>5.6</v>
      </c>
      <c r="H43" s="66"/>
      <c r="I43" s="66" t="str">
        <f t="shared" si="2"/>
        <v/>
      </c>
      <c r="J43" s="103" t="str">
        <f t="shared" si="3"/>
        <v/>
      </c>
      <c r="L43" s="72"/>
      <c r="M43" s="72"/>
      <c r="N43" s="72"/>
      <c r="O43" s="72"/>
      <c r="P43" s="72"/>
      <c r="Q43" s="72"/>
      <c r="R43" s="72"/>
      <c r="S43" s="72"/>
      <c r="T43" s="72"/>
    </row>
    <row r="44" spans="2:20" x14ac:dyDescent="0.2">
      <c r="B44" s="68">
        <v>7.1</v>
      </c>
      <c r="C44" s="69" t="s">
        <v>406</v>
      </c>
      <c r="D44" s="69" t="str">
        <f t="shared" si="0"/>
        <v>5</v>
      </c>
      <c r="E44" s="102" t="str">
        <f t="shared" si="1"/>
        <v>5</v>
      </c>
      <c r="G44" s="105">
        <v>6.1</v>
      </c>
      <c r="H44" s="69" t="s">
        <v>406</v>
      </c>
      <c r="I44" s="69" t="str">
        <f t="shared" si="2"/>
        <v>5</v>
      </c>
      <c r="J44" s="102" t="str">
        <f t="shared" si="3"/>
        <v>5</v>
      </c>
      <c r="L44" s="72"/>
      <c r="M44" s="72"/>
      <c r="N44" s="72"/>
      <c r="O44" s="72"/>
      <c r="P44" s="72"/>
      <c r="Q44" s="72"/>
      <c r="R44" s="72"/>
      <c r="S44" s="72"/>
      <c r="T44" s="72"/>
    </row>
    <row r="45" spans="2:20" x14ac:dyDescent="0.2">
      <c r="B45" s="65">
        <v>7.2</v>
      </c>
      <c r="C45" s="66"/>
      <c r="D45" s="66" t="str">
        <f t="shared" si="0"/>
        <v/>
      </c>
      <c r="E45" s="103" t="str">
        <f t="shared" si="1"/>
        <v/>
      </c>
      <c r="G45" s="104">
        <v>6.2</v>
      </c>
      <c r="H45" s="66"/>
      <c r="I45" s="66" t="str">
        <f t="shared" si="2"/>
        <v/>
      </c>
      <c r="J45" s="103" t="str">
        <f t="shared" si="3"/>
        <v/>
      </c>
      <c r="L45" s="72"/>
      <c r="M45" s="72"/>
      <c r="N45" s="72"/>
      <c r="O45" s="72"/>
      <c r="P45" s="72"/>
      <c r="Q45" s="72"/>
      <c r="R45" s="72"/>
      <c r="S45" s="72"/>
      <c r="T45" s="72"/>
    </row>
    <row r="46" spans="2:20" x14ac:dyDescent="0.2">
      <c r="B46" s="68">
        <v>7.3</v>
      </c>
      <c r="C46" s="69" t="s">
        <v>407</v>
      </c>
      <c r="D46" s="69" t="str">
        <f t="shared" si="0"/>
        <v>3</v>
      </c>
      <c r="E46" s="102" t="str">
        <f t="shared" si="1"/>
        <v>3</v>
      </c>
      <c r="G46" s="105">
        <v>6.3</v>
      </c>
      <c r="H46" s="69" t="s">
        <v>407</v>
      </c>
      <c r="I46" s="69" t="str">
        <f t="shared" si="2"/>
        <v>3</v>
      </c>
      <c r="J46" s="102" t="str">
        <f t="shared" si="3"/>
        <v>3</v>
      </c>
      <c r="L46" s="72"/>
      <c r="M46" s="72"/>
      <c r="N46" s="72"/>
      <c r="O46" s="72"/>
      <c r="P46" s="72"/>
      <c r="Q46" s="72"/>
      <c r="R46" s="72"/>
      <c r="S46" s="72"/>
      <c r="T46" s="72"/>
    </row>
    <row r="47" spans="2:20" x14ac:dyDescent="0.2">
      <c r="B47" s="65">
        <v>7.4</v>
      </c>
      <c r="C47" s="65"/>
      <c r="D47" s="66" t="str">
        <f>LEFT($C47, 1)</f>
        <v/>
      </c>
      <c r="E47" s="71" t="str">
        <f>D47</f>
        <v/>
      </c>
      <c r="G47" s="104">
        <v>6.4</v>
      </c>
      <c r="H47" s="69" t="s">
        <v>407</v>
      </c>
      <c r="I47" s="66" t="str">
        <f t="shared" si="2"/>
        <v>3</v>
      </c>
      <c r="J47" s="103" t="str">
        <f t="shared" si="3"/>
        <v>3</v>
      </c>
      <c r="L47" s="72"/>
      <c r="M47" s="72"/>
      <c r="N47" s="72"/>
      <c r="O47" s="72"/>
      <c r="P47" s="72"/>
      <c r="Q47" s="72"/>
      <c r="R47" s="72"/>
      <c r="S47" s="72"/>
      <c r="T47" s="72"/>
    </row>
    <row r="48" spans="2:20" x14ac:dyDescent="0.2">
      <c r="B48" s="68">
        <v>7.5</v>
      </c>
      <c r="C48" s="68"/>
      <c r="D48" s="69" t="str">
        <f t="shared" ref="D48:D111" si="4">LEFT($C48, 1)</f>
        <v/>
      </c>
      <c r="E48" s="70" t="str">
        <f>D48</f>
        <v/>
      </c>
      <c r="G48" s="105">
        <v>6.5</v>
      </c>
      <c r="H48" s="66" t="s">
        <v>409</v>
      </c>
      <c r="I48" s="69" t="str">
        <f t="shared" si="2"/>
        <v>2</v>
      </c>
      <c r="J48" s="102" t="str">
        <f t="shared" si="3"/>
        <v>2</v>
      </c>
      <c r="L48" s="72"/>
      <c r="M48" s="72"/>
      <c r="N48" s="72"/>
      <c r="O48" s="72"/>
      <c r="P48" s="72"/>
      <c r="Q48" s="72"/>
      <c r="R48" s="72"/>
      <c r="S48" s="72"/>
      <c r="T48" s="72"/>
    </row>
    <row r="49" spans="2:20" x14ac:dyDescent="0.2">
      <c r="B49" s="65">
        <v>7.6</v>
      </c>
      <c r="C49" s="65"/>
      <c r="D49" s="66" t="str">
        <f t="shared" si="4"/>
        <v/>
      </c>
      <c r="E49" s="71" t="str">
        <f t="shared" ref="E49:E112" si="5">D49</f>
        <v/>
      </c>
      <c r="G49" s="104">
        <v>6.6</v>
      </c>
      <c r="H49" s="69" t="s">
        <v>408</v>
      </c>
      <c r="I49" s="66" t="str">
        <f t="shared" si="2"/>
        <v>4</v>
      </c>
      <c r="J49" s="103" t="str">
        <f t="shared" si="3"/>
        <v>4</v>
      </c>
      <c r="L49" s="72"/>
      <c r="M49" s="72"/>
      <c r="N49" s="72"/>
      <c r="O49" s="72"/>
      <c r="P49" s="72"/>
      <c r="Q49" s="72"/>
      <c r="R49" s="72"/>
      <c r="S49" s="72"/>
      <c r="T49" s="72"/>
    </row>
    <row r="50" spans="2:20" x14ac:dyDescent="0.2">
      <c r="B50" s="68">
        <v>7.7</v>
      </c>
      <c r="C50" s="68"/>
      <c r="D50" s="69" t="str">
        <f t="shared" si="4"/>
        <v/>
      </c>
      <c r="E50" s="70" t="str">
        <f t="shared" si="5"/>
        <v/>
      </c>
      <c r="G50" s="105">
        <v>6.7</v>
      </c>
      <c r="H50" s="66" t="s">
        <v>408</v>
      </c>
      <c r="I50" s="69" t="str">
        <f t="shared" si="2"/>
        <v>4</v>
      </c>
      <c r="J50" s="102" t="str">
        <f t="shared" si="3"/>
        <v>4</v>
      </c>
      <c r="L50" s="72"/>
      <c r="M50" s="72"/>
      <c r="N50" s="72"/>
      <c r="O50" s="72"/>
      <c r="P50" s="72"/>
      <c r="Q50" s="72"/>
      <c r="R50" s="72"/>
      <c r="S50" s="72"/>
      <c r="T50" s="72"/>
    </row>
    <row r="51" spans="2:20" x14ac:dyDescent="0.2">
      <c r="B51" s="65">
        <v>7.8</v>
      </c>
      <c r="C51" s="65"/>
      <c r="D51" s="66" t="str">
        <f t="shared" si="4"/>
        <v/>
      </c>
      <c r="E51" s="71" t="str">
        <f t="shared" si="5"/>
        <v/>
      </c>
      <c r="G51" s="104">
        <v>7.1</v>
      </c>
      <c r="H51" s="69" t="s">
        <v>409</v>
      </c>
      <c r="I51" s="66" t="str">
        <f t="shared" si="2"/>
        <v>2</v>
      </c>
      <c r="J51" s="103" t="str">
        <f t="shared" si="3"/>
        <v>2</v>
      </c>
      <c r="L51" s="72"/>
      <c r="M51" s="72"/>
      <c r="N51" s="72"/>
      <c r="O51" s="72"/>
      <c r="P51" s="72"/>
      <c r="Q51" s="72"/>
      <c r="R51" s="72"/>
      <c r="S51" s="72"/>
      <c r="T51" s="72"/>
    </row>
    <row r="52" spans="2:20" x14ac:dyDescent="0.2">
      <c r="B52" s="68">
        <v>7.9</v>
      </c>
      <c r="C52" s="68"/>
      <c r="D52" s="69" t="str">
        <f t="shared" si="4"/>
        <v/>
      </c>
      <c r="E52" s="70" t="str">
        <f t="shared" si="5"/>
        <v/>
      </c>
      <c r="G52" s="105">
        <v>7.2</v>
      </c>
      <c r="H52" s="66" t="s">
        <v>409</v>
      </c>
      <c r="I52" s="69" t="str">
        <f t="shared" si="2"/>
        <v>2</v>
      </c>
      <c r="J52" s="102" t="str">
        <f t="shared" si="3"/>
        <v>2</v>
      </c>
    </row>
    <row r="53" spans="2:20" x14ac:dyDescent="0.2">
      <c r="B53" s="65">
        <v>8.1</v>
      </c>
      <c r="C53" s="65"/>
      <c r="D53" s="66" t="str">
        <f t="shared" si="4"/>
        <v/>
      </c>
      <c r="E53" s="71" t="str">
        <f t="shared" si="5"/>
        <v/>
      </c>
      <c r="G53" s="104">
        <v>7.3</v>
      </c>
      <c r="H53" s="69" t="s">
        <v>406</v>
      </c>
      <c r="I53" s="66" t="str">
        <f t="shared" si="2"/>
        <v>5</v>
      </c>
      <c r="J53" s="103" t="str">
        <f t="shared" si="3"/>
        <v>5</v>
      </c>
    </row>
    <row r="54" spans="2:20" x14ac:dyDescent="0.2">
      <c r="B54" s="68">
        <v>8.1999999999999993</v>
      </c>
      <c r="C54" s="68"/>
      <c r="D54" s="69" t="str">
        <f t="shared" si="4"/>
        <v/>
      </c>
      <c r="E54" s="70" t="str">
        <f t="shared" si="5"/>
        <v/>
      </c>
      <c r="G54" s="105">
        <v>7.4</v>
      </c>
      <c r="H54" s="66" t="s">
        <v>408</v>
      </c>
      <c r="I54" s="69" t="str">
        <f t="shared" si="2"/>
        <v>4</v>
      </c>
      <c r="J54" s="102" t="str">
        <f t="shared" si="3"/>
        <v>4</v>
      </c>
    </row>
    <row r="55" spans="2:20" x14ac:dyDescent="0.2">
      <c r="B55" s="65">
        <v>8.3000000000000007</v>
      </c>
      <c r="C55" s="65"/>
      <c r="D55" s="66" t="str">
        <f t="shared" si="4"/>
        <v/>
      </c>
      <c r="E55" s="71" t="str">
        <f t="shared" si="5"/>
        <v/>
      </c>
      <c r="G55" s="104">
        <v>7.5</v>
      </c>
      <c r="H55" s="69" t="s">
        <v>409</v>
      </c>
      <c r="I55" s="66" t="str">
        <f t="shared" si="2"/>
        <v>2</v>
      </c>
      <c r="J55" s="103" t="str">
        <f t="shared" si="3"/>
        <v>2</v>
      </c>
    </row>
    <row r="56" spans="2:20" x14ac:dyDescent="0.2">
      <c r="B56" s="68">
        <v>8.4</v>
      </c>
      <c r="C56" s="68"/>
      <c r="D56" s="69" t="str">
        <f t="shared" si="4"/>
        <v/>
      </c>
      <c r="E56" s="70" t="str">
        <f t="shared" si="5"/>
        <v/>
      </c>
      <c r="G56" s="105">
        <v>7.6</v>
      </c>
      <c r="H56" s="66" t="s">
        <v>409</v>
      </c>
      <c r="I56" s="69" t="str">
        <f t="shared" si="2"/>
        <v>2</v>
      </c>
      <c r="J56" s="102" t="str">
        <f t="shared" si="3"/>
        <v>2</v>
      </c>
    </row>
    <row r="57" spans="2:20" x14ac:dyDescent="0.2">
      <c r="B57" s="65">
        <v>8.5</v>
      </c>
      <c r="C57" s="65"/>
      <c r="D57" s="66" t="str">
        <f t="shared" si="4"/>
        <v/>
      </c>
      <c r="E57" s="71" t="str">
        <f t="shared" si="5"/>
        <v/>
      </c>
      <c r="G57" s="104">
        <v>7.7</v>
      </c>
      <c r="H57" s="69" t="s">
        <v>406</v>
      </c>
      <c r="I57" s="66" t="str">
        <f t="shared" si="2"/>
        <v>5</v>
      </c>
      <c r="J57" s="103" t="str">
        <f t="shared" si="3"/>
        <v>5</v>
      </c>
    </row>
    <row r="58" spans="2:20" x14ac:dyDescent="0.2">
      <c r="B58" s="68">
        <v>8.6</v>
      </c>
      <c r="C58" s="68"/>
      <c r="D58" s="69" t="str">
        <f t="shared" si="4"/>
        <v/>
      </c>
      <c r="E58" s="70" t="str">
        <f t="shared" si="5"/>
        <v/>
      </c>
      <c r="G58" s="105">
        <v>8.1</v>
      </c>
      <c r="H58" s="68"/>
      <c r="I58" s="69" t="str">
        <f t="shared" si="2"/>
        <v/>
      </c>
      <c r="J58" s="70" t="str">
        <f t="shared" si="3"/>
        <v/>
      </c>
    </row>
    <row r="59" spans="2:20" x14ac:dyDescent="0.2">
      <c r="B59" s="65">
        <v>8.6999999999999993</v>
      </c>
      <c r="C59" s="65"/>
      <c r="D59" s="66" t="str">
        <f t="shared" si="4"/>
        <v/>
      </c>
      <c r="E59" s="71" t="str">
        <f t="shared" si="5"/>
        <v/>
      </c>
      <c r="G59" s="104">
        <v>8.1999999999999993</v>
      </c>
      <c r="H59" s="65"/>
      <c r="I59" s="66" t="str">
        <f t="shared" si="2"/>
        <v/>
      </c>
      <c r="J59" s="71" t="str">
        <f t="shared" si="3"/>
        <v/>
      </c>
    </row>
    <row r="60" spans="2:20" x14ac:dyDescent="0.2">
      <c r="B60" s="68">
        <v>8.8000000000000007</v>
      </c>
      <c r="C60" s="68"/>
      <c r="D60" s="69" t="str">
        <f t="shared" si="4"/>
        <v/>
      </c>
      <c r="E60" s="70" t="str">
        <f t="shared" si="5"/>
        <v/>
      </c>
      <c r="G60" s="105">
        <v>8.3000000000000007</v>
      </c>
      <c r="H60" s="68"/>
      <c r="I60" s="69" t="str">
        <f t="shared" si="2"/>
        <v/>
      </c>
      <c r="J60" s="70" t="str">
        <f t="shared" si="3"/>
        <v/>
      </c>
    </row>
    <row r="61" spans="2:20" x14ac:dyDescent="0.2">
      <c r="B61" s="65">
        <v>9.1</v>
      </c>
      <c r="C61" s="65"/>
      <c r="D61" s="66" t="str">
        <f t="shared" si="4"/>
        <v/>
      </c>
      <c r="E61" s="71" t="str">
        <f t="shared" si="5"/>
        <v/>
      </c>
      <c r="G61" s="104">
        <v>8.4</v>
      </c>
      <c r="H61" s="65"/>
      <c r="I61" s="66" t="str">
        <f t="shared" si="2"/>
        <v/>
      </c>
      <c r="J61" s="71" t="str">
        <f t="shared" si="3"/>
        <v/>
      </c>
    </row>
    <row r="62" spans="2:20" x14ac:dyDescent="0.2">
      <c r="B62" s="68">
        <v>9.1999999999999993</v>
      </c>
      <c r="C62" s="68"/>
      <c r="D62" s="69" t="str">
        <f t="shared" si="4"/>
        <v/>
      </c>
      <c r="E62" s="70" t="str">
        <f t="shared" si="5"/>
        <v/>
      </c>
      <c r="G62" s="105">
        <v>8.5</v>
      </c>
      <c r="H62" s="68"/>
      <c r="I62" s="69" t="str">
        <f t="shared" si="2"/>
        <v/>
      </c>
      <c r="J62" s="70" t="str">
        <f t="shared" si="3"/>
        <v/>
      </c>
    </row>
    <row r="63" spans="2:20" x14ac:dyDescent="0.2">
      <c r="B63" s="65">
        <v>9.3000000000000007</v>
      </c>
      <c r="C63" s="65"/>
      <c r="D63" s="66" t="str">
        <f t="shared" si="4"/>
        <v/>
      </c>
      <c r="E63" s="71" t="str">
        <f t="shared" si="5"/>
        <v/>
      </c>
      <c r="G63" s="104">
        <v>8.6</v>
      </c>
      <c r="H63" s="65"/>
      <c r="I63" s="66" t="str">
        <f t="shared" si="2"/>
        <v/>
      </c>
      <c r="J63" s="71" t="str">
        <f t="shared" si="3"/>
        <v/>
      </c>
    </row>
    <row r="64" spans="2:20" x14ac:dyDescent="0.2">
      <c r="B64" s="68">
        <v>9.4</v>
      </c>
      <c r="C64" s="68"/>
      <c r="D64" s="69" t="str">
        <f t="shared" si="4"/>
        <v/>
      </c>
      <c r="E64" s="70" t="str">
        <f t="shared" si="5"/>
        <v/>
      </c>
      <c r="G64" s="105">
        <v>8.6999999999999993</v>
      </c>
      <c r="H64" s="68"/>
      <c r="I64" s="69" t="str">
        <f t="shared" si="2"/>
        <v/>
      </c>
      <c r="J64" s="70" t="str">
        <f t="shared" si="3"/>
        <v/>
      </c>
    </row>
    <row r="65" spans="2:10" x14ac:dyDescent="0.2">
      <c r="B65" s="65">
        <v>10.1</v>
      </c>
      <c r="C65" s="65"/>
      <c r="D65" s="66" t="str">
        <f t="shared" si="4"/>
        <v/>
      </c>
      <c r="E65" s="71" t="str">
        <f t="shared" si="5"/>
        <v/>
      </c>
      <c r="G65" s="104">
        <v>8.8000000000000007</v>
      </c>
      <c r="H65" s="65"/>
      <c r="I65" s="66" t="str">
        <f t="shared" si="2"/>
        <v/>
      </c>
      <c r="J65" s="71" t="str">
        <f t="shared" si="3"/>
        <v/>
      </c>
    </row>
    <row r="66" spans="2:10" x14ac:dyDescent="0.2">
      <c r="B66" s="68">
        <v>10.199999999999999</v>
      </c>
      <c r="C66" s="68"/>
      <c r="D66" s="69" t="str">
        <f t="shared" si="4"/>
        <v/>
      </c>
      <c r="E66" s="70" t="str">
        <f t="shared" si="5"/>
        <v/>
      </c>
      <c r="G66" s="105">
        <v>8.9</v>
      </c>
      <c r="H66" s="68"/>
      <c r="I66" s="69" t="str">
        <f t="shared" si="2"/>
        <v/>
      </c>
      <c r="J66" s="70" t="str">
        <f t="shared" si="3"/>
        <v/>
      </c>
    </row>
    <row r="67" spans="2:10" x14ac:dyDescent="0.2">
      <c r="B67" s="65">
        <v>10.3</v>
      </c>
      <c r="C67" s="65"/>
      <c r="D67" s="66" t="str">
        <f t="shared" si="4"/>
        <v/>
      </c>
      <c r="E67" s="71" t="str">
        <f t="shared" si="5"/>
        <v/>
      </c>
      <c r="G67" s="127">
        <v>8.1</v>
      </c>
      <c r="H67" s="65"/>
      <c r="I67" s="66" t="str">
        <f t="shared" si="2"/>
        <v/>
      </c>
      <c r="J67" s="71" t="str">
        <f t="shared" si="3"/>
        <v/>
      </c>
    </row>
    <row r="68" spans="2:10" x14ac:dyDescent="0.2">
      <c r="B68" s="68">
        <v>10.4</v>
      </c>
      <c r="C68" s="68"/>
      <c r="D68" s="69" t="str">
        <f t="shared" si="4"/>
        <v/>
      </c>
      <c r="E68" s="70" t="str">
        <f t="shared" si="5"/>
        <v/>
      </c>
      <c r="G68" s="105">
        <v>8.11</v>
      </c>
      <c r="H68" s="68"/>
      <c r="I68" s="69" t="str">
        <f t="shared" si="2"/>
        <v/>
      </c>
      <c r="J68" s="70" t="str">
        <f t="shared" si="3"/>
        <v/>
      </c>
    </row>
    <row r="69" spans="2:10" x14ac:dyDescent="0.2">
      <c r="B69" s="65">
        <v>10.5</v>
      </c>
      <c r="C69" s="65"/>
      <c r="D69" s="66" t="str">
        <f t="shared" si="4"/>
        <v/>
      </c>
      <c r="E69" s="71" t="str">
        <f t="shared" si="5"/>
        <v/>
      </c>
      <c r="G69" s="104">
        <v>9.1</v>
      </c>
      <c r="H69" s="65"/>
      <c r="I69" s="66" t="str">
        <f t="shared" si="2"/>
        <v/>
      </c>
      <c r="J69" s="71" t="str">
        <f t="shared" si="3"/>
        <v/>
      </c>
    </row>
    <row r="70" spans="2:10" x14ac:dyDescent="0.2">
      <c r="B70" s="68">
        <v>11.1</v>
      </c>
      <c r="C70" s="68"/>
      <c r="D70" s="69" t="str">
        <f t="shared" si="4"/>
        <v/>
      </c>
      <c r="E70" s="70" t="str">
        <f t="shared" si="5"/>
        <v/>
      </c>
      <c r="G70" s="105">
        <v>9.1999999999999993</v>
      </c>
      <c r="H70" s="68"/>
      <c r="I70" s="69" t="str">
        <f t="shared" ref="I70:I133" si="6">LEFT($H70, 1)</f>
        <v/>
      </c>
      <c r="J70" s="70" t="str">
        <f t="shared" ref="J70:J133" si="7">I70</f>
        <v/>
      </c>
    </row>
    <row r="71" spans="2:10" x14ac:dyDescent="0.2">
      <c r="B71" s="65">
        <v>11.2</v>
      </c>
      <c r="C71" s="65"/>
      <c r="D71" s="66" t="str">
        <f t="shared" si="4"/>
        <v/>
      </c>
      <c r="E71" s="71" t="str">
        <f t="shared" si="5"/>
        <v/>
      </c>
      <c r="G71" s="104">
        <v>9.3000000000000007</v>
      </c>
      <c r="H71" s="65"/>
      <c r="I71" s="66" t="str">
        <f>LEFT($H71, 1)</f>
        <v/>
      </c>
      <c r="J71" s="71" t="str">
        <f t="shared" si="7"/>
        <v/>
      </c>
    </row>
    <row r="72" spans="2:10" x14ac:dyDescent="0.2">
      <c r="B72" s="68">
        <v>11.3</v>
      </c>
      <c r="C72" s="68"/>
      <c r="D72" s="69" t="str">
        <f t="shared" si="4"/>
        <v/>
      </c>
      <c r="E72" s="70" t="str">
        <f t="shared" si="5"/>
        <v/>
      </c>
      <c r="G72" s="105">
        <v>9.4</v>
      </c>
      <c r="H72" s="68"/>
      <c r="I72" s="69" t="str">
        <f t="shared" si="6"/>
        <v/>
      </c>
      <c r="J72" s="70" t="str">
        <f t="shared" si="7"/>
        <v/>
      </c>
    </row>
    <row r="73" spans="2:10" x14ac:dyDescent="0.2">
      <c r="B73" s="65">
        <v>11.4</v>
      </c>
      <c r="C73" s="65"/>
      <c r="D73" s="66" t="str">
        <f t="shared" si="4"/>
        <v/>
      </c>
      <c r="E73" s="71" t="str">
        <f t="shared" si="5"/>
        <v/>
      </c>
      <c r="G73" s="104">
        <v>9.5</v>
      </c>
      <c r="H73" s="65"/>
      <c r="I73" s="66" t="str">
        <f t="shared" si="6"/>
        <v/>
      </c>
      <c r="J73" s="71" t="str">
        <f t="shared" si="7"/>
        <v/>
      </c>
    </row>
    <row r="74" spans="2:10" x14ac:dyDescent="0.2">
      <c r="B74" s="68">
        <v>11.5</v>
      </c>
      <c r="C74" s="68"/>
      <c r="D74" s="69" t="str">
        <f t="shared" si="4"/>
        <v/>
      </c>
      <c r="E74" s="70" t="str">
        <f t="shared" si="5"/>
        <v/>
      </c>
      <c r="G74" s="105">
        <v>9.6</v>
      </c>
      <c r="H74" s="68"/>
      <c r="I74" s="69" t="str">
        <f t="shared" si="6"/>
        <v/>
      </c>
      <c r="J74" s="70" t="str">
        <f t="shared" si="7"/>
        <v/>
      </c>
    </row>
    <row r="75" spans="2:10" x14ac:dyDescent="0.2">
      <c r="B75" s="65">
        <v>11.6</v>
      </c>
      <c r="C75" s="65"/>
      <c r="D75" s="66" t="str">
        <f t="shared" si="4"/>
        <v/>
      </c>
      <c r="E75" s="71" t="str">
        <f t="shared" si="5"/>
        <v/>
      </c>
      <c r="G75" s="104">
        <v>10.1</v>
      </c>
      <c r="H75" s="65"/>
      <c r="I75" s="66" t="str">
        <f t="shared" si="6"/>
        <v/>
      </c>
      <c r="J75" s="71" t="str">
        <f t="shared" si="7"/>
        <v/>
      </c>
    </row>
    <row r="76" spans="2:10" x14ac:dyDescent="0.2">
      <c r="B76" s="68">
        <v>11.7</v>
      </c>
      <c r="C76" s="68"/>
      <c r="D76" s="69" t="str">
        <f t="shared" si="4"/>
        <v/>
      </c>
      <c r="E76" s="70" t="str">
        <f t="shared" si="5"/>
        <v/>
      </c>
      <c r="G76" s="105">
        <v>10.199999999999999</v>
      </c>
      <c r="H76" s="68"/>
      <c r="I76" s="69" t="str">
        <f t="shared" si="6"/>
        <v/>
      </c>
      <c r="J76" s="70" t="str">
        <f t="shared" si="7"/>
        <v/>
      </c>
    </row>
    <row r="77" spans="2:10" x14ac:dyDescent="0.2">
      <c r="B77" s="65">
        <v>12.1</v>
      </c>
      <c r="C77" s="65"/>
      <c r="D77" s="66" t="str">
        <f t="shared" si="4"/>
        <v/>
      </c>
      <c r="E77" s="71" t="str">
        <f t="shared" si="5"/>
        <v/>
      </c>
      <c r="G77" s="104">
        <v>10.3</v>
      </c>
      <c r="H77" s="65"/>
      <c r="I77" s="66" t="str">
        <f t="shared" si="6"/>
        <v/>
      </c>
      <c r="J77" s="71" t="str">
        <f t="shared" si="7"/>
        <v/>
      </c>
    </row>
    <row r="78" spans="2:10" x14ac:dyDescent="0.2">
      <c r="B78" s="68">
        <v>12.2</v>
      </c>
      <c r="C78" s="68"/>
      <c r="D78" s="69" t="str">
        <f t="shared" si="4"/>
        <v/>
      </c>
      <c r="E78" s="70" t="str">
        <f t="shared" si="5"/>
        <v/>
      </c>
      <c r="G78" s="105">
        <v>10.4</v>
      </c>
      <c r="H78" s="68"/>
      <c r="I78" s="69" t="str">
        <f t="shared" si="6"/>
        <v/>
      </c>
      <c r="J78" s="70" t="str">
        <f t="shared" si="7"/>
        <v/>
      </c>
    </row>
    <row r="79" spans="2:10" x14ac:dyDescent="0.2">
      <c r="B79" s="65">
        <v>12.3</v>
      </c>
      <c r="C79" s="65"/>
      <c r="D79" s="66" t="str">
        <f t="shared" si="4"/>
        <v/>
      </c>
      <c r="E79" s="71" t="str">
        <f t="shared" si="5"/>
        <v/>
      </c>
      <c r="G79" s="104">
        <v>10.5</v>
      </c>
      <c r="H79" s="65"/>
      <c r="I79" s="66" t="str">
        <f t="shared" si="6"/>
        <v/>
      </c>
      <c r="J79" s="71" t="str">
        <f t="shared" si="7"/>
        <v/>
      </c>
    </row>
    <row r="80" spans="2:10" x14ac:dyDescent="0.2">
      <c r="B80" s="68">
        <v>12.4</v>
      </c>
      <c r="C80" s="68"/>
      <c r="D80" s="69" t="str">
        <f t="shared" si="4"/>
        <v/>
      </c>
      <c r="E80" s="70" t="str">
        <f t="shared" si="5"/>
        <v/>
      </c>
      <c r="G80" s="105">
        <v>10.6</v>
      </c>
      <c r="H80" s="68"/>
      <c r="I80" s="69" t="str">
        <f t="shared" si="6"/>
        <v/>
      </c>
      <c r="J80" s="70" t="str">
        <f t="shared" si="7"/>
        <v/>
      </c>
    </row>
    <row r="81" spans="2:10" x14ac:dyDescent="0.2">
      <c r="B81" s="65">
        <v>12.5</v>
      </c>
      <c r="C81" s="65"/>
      <c r="D81" s="66" t="str">
        <f t="shared" si="4"/>
        <v/>
      </c>
      <c r="E81" s="71" t="str">
        <f t="shared" si="5"/>
        <v/>
      </c>
      <c r="G81" s="104">
        <v>10.7</v>
      </c>
      <c r="H81" s="65"/>
      <c r="I81" s="66" t="str">
        <f t="shared" si="6"/>
        <v/>
      </c>
      <c r="J81" s="71" t="str">
        <f t="shared" si="7"/>
        <v/>
      </c>
    </row>
    <row r="82" spans="2:10" x14ac:dyDescent="0.2">
      <c r="B82" s="68">
        <v>12.6</v>
      </c>
      <c r="C82" s="68"/>
      <c r="D82" s="69" t="str">
        <f t="shared" si="4"/>
        <v/>
      </c>
      <c r="E82" s="70" t="str">
        <f t="shared" si="5"/>
        <v/>
      </c>
      <c r="G82" s="105">
        <v>11.1</v>
      </c>
      <c r="H82" s="68"/>
      <c r="I82" s="69" t="str">
        <f t="shared" si="6"/>
        <v/>
      </c>
      <c r="J82" s="70" t="str">
        <f t="shared" si="7"/>
        <v/>
      </c>
    </row>
    <row r="83" spans="2:10" x14ac:dyDescent="0.2">
      <c r="B83" s="65">
        <v>12.8</v>
      </c>
      <c r="C83" s="65"/>
      <c r="D83" s="66" t="str">
        <f t="shared" si="4"/>
        <v/>
      </c>
      <c r="E83" s="71" t="str">
        <f t="shared" si="5"/>
        <v/>
      </c>
      <c r="G83" s="104">
        <v>11.2</v>
      </c>
      <c r="H83" s="65"/>
      <c r="I83" s="66" t="str">
        <f t="shared" si="6"/>
        <v/>
      </c>
      <c r="J83" s="71" t="str">
        <f t="shared" si="7"/>
        <v/>
      </c>
    </row>
    <row r="84" spans="2:10" x14ac:dyDescent="0.2">
      <c r="B84" s="68">
        <v>12.11</v>
      </c>
      <c r="C84" s="68"/>
      <c r="D84" s="69" t="str">
        <f t="shared" si="4"/>
        <v/>
      </c>
      <c r="E84" s="70" t="str">
        <f t="shared" si="5"/>
        <v/>
      </c>
      <c r="G84" s="105">
        <v>11.3</v>
      </c>
      <c r="H84" s="68"/>
      <c r="I84" s="69" t="str">
        <f t="shared" si="6"/>
        <v/>
      </c>
      <c r="J84" s="70" t="str">
        <f t="shared" si="7"/>
        <v/>
      </c>
    </row>
    <row r="85" spans="2:10" x14ac:dyDescent="0.2">
      <c r="B85" s="65">
        <v>13.1</v>
      </c>
      <c r="C85" s="65"/>
      <c r="D85" s="66" t="str">
        <f t="shared" si="4"/>
        <v/>
      </c>
      <c r="E85" s="71" t="str">
        <f t="shared" si="5"/>
        <v/>
      </c>
      <c r="G85" s="104">
        <v>11.4</v>
      </c>
      <c r="H85" s="65"/>
      <c r="I85" s="66" t="str">
        <f t="shared" si="6"/>
        <v/>
      </c>
      <c r="J85" s="71" t="str">
        <f t="shared" si="7"/>
        <v/>
      </c>
    </row>
    <row r="86" spans="2:10" x14ac:dyDescent="0.2">
      <c r="B86" s="68">
        <v>13.2</v>
      </c>
      <c r="C86" s="68"/>
      <c r="D86" s="69" t="str">
        <f t="shared" si="4"/>
        <v/>
      </c>
      <c r="E86" s="70" t="str">
        <f t="shared" si="5"/>
        <v/>
      </c>
      <c r="G86" s="105">
        <v>11.5</v>
      </c>
      <c r="H86" s="68"/>
      <c r="I86" s="69" t="str">
        <f t="shared" si="6"/>
        <v/>
      </c>
      <c r="J86" s="70" t="str">
        <f t="shared" si="7"/>
        <v/>
      </c>
    </row>
    <row r="87" spans="2:10" x14ac:dyDescent="0.2">
      <c r="B87" s="65">
        <v>13.4</v>
      </c>
      <c r="C87" s="65"/>
      <c r="D87" s="66" t="str">
        <f t="shared" si="4"/>
        <v/>
      </c>
      <c r="E87" s="71" t="str">
        <f t="shared" si="5"/>
        <v/>
      </c>
      <c r="G87" s="104">
        <v>12.1</v>
      </c>
      <c r="H87" s="65"/>
      <c r="I87" s="66" t="str">
        <f t="shared" si="6"/>
        <v/>
      </c>
      <c r="J87" s="71" t="str">
        <f t="shared" si="7"/>
        <v/>
      </c>
    </row>
    <row r="88" spans="2:10" x14ac:dyDescent="0.2">
      <c r="B88" s="68">
        <v>13.6</v>
      </c>
      <c r="C88" s="68"/>
      <c r="D88" s="69" t="str">
        <f t="shared" si="4"/>
        <v/>
      </c>
      <c r="E88" s="70" t="str">
        <f t="shared" si="5"/>
        <v/>
      </c>
      <c r="G88" s="105">
        <v>12.2</v>
      </c>
      <c r="H88" s="68"/>
      <c r="I88" s="69" t="str">
        <f t="shared" si="6"/>
        <v/>
      </c>
      <c r="J88" s="70" t="str">
        <f t="shared" si="7"/>
        <v/>
      </c>
    </row>
    <row r="89" spans="2:10" x14ac:dyDescent="0.2">
      <c r="B89" s="65">
        <v>13.7</v>
      </c>
      <c r="C89" s="65"/>
      <c r="D89" s="66" t="str">
        <f t="shared" si="4"/>
        <v/>
      </c>
      <c r="E89" s="71" t="str">
        <f t="shared" si="5"/>
        <v/>
      </c>
      <c r="G89" s="104">
        <v>12.3</v>
      </c>
      <c r="H89" s="65"/>
      <c r="I89" s="66" t="str">
        <f t="shared" si="6"/>
        <v/>
      </c>
      <c r="J89" s="71" t="str">
        <f t="shared" si="7"/>
        <v/>
      </c>
    </row>
    <row r="90" spans="2:10" x14ac:dyDescent="0.2">
      <c r="B90" s="68">
        <v>14.1</v>
      </c>
      <c r="C90" s="68"/>
      <c r="D90" s="69" t="str">
        <f t="shared" si="4"/>
        <v/>
      </c>
      <c r="E90" s="70" t="str">
        <f t="shared" si="5"/>
        <v/>
      </c>
      <c r="G90" s="105">
        <v>12.4</v>
      </c>
      <c r="H90" s="68"/>
      <c r="I90" s="69" t="str">
        <f t="shared" si="6"/>
        <v/>
      </c>
      <c r="J90" s="70" t="str">
        <f t="shared" si="7"/>
        <v/>
      </c>
    </row>
    <row r="91" spans="2:10" x14ac:dyDescent="0.2">
      <c r="B91" s="65">
        <v>14.2</v>
      </c>
      <c r="C91" s="65"/>
      <c r="D91" s="66" t="str">
        <f t="shared" si="4"/>
        <v/>
      </c>
      <c r="E91" s="71" t="str">
        <f t="shared" si="5"/>
        <v/>
      </c>
      <c r="G91" s="104">
        <v>12.5</v>
      </c>
      <c r="H91" s="65"/>
      <c r="I91" s="66" t="str">
        <f t="shared" si="6"/>
        <v/>
      </c>
      <c r="J91" s="71" t="str">
        <f t="shared" si="7"/>
        <v/>
      </c>
    </row>
    <row r="92" spans="2:10" x14ac:dyDescent="0.2">
      <c r="B92" s="68">
        <v>14.3</v>
      </c>
      <c r="C92" s="68"/>
      <c r="D92" s="69" t="str">
        <f t="shared" si="4"/>
        <v/>
      </c>
      <c r="E92" s="70" t="str">
        <f t="shared" si="5"/>
        <v/>
      </c>
      <c r="G92" s="105">
        <v>12.6</v>
      </c>
      <c r="H92" s="68"/>
      <c r="I92" s="69" t="str">
        <f t="shared" si="6"/>
        <v/>
      </c>
      <c r="J92" s="70" t="str">
        <f t="shared" si="7"/>
        <v/>
      </c>
    </row>
    <row r="93" spans="2:10" x14ac:dyDescent="0.2">
      <c r="B93" s="65">
        <v>14.4</v>
      </c>
      <c r="C93" s="65"/>
      <c r="D93" s="66" t="str">
        <f t="shared" si="4"/>
        <v/>
      </c>
      <c r="E93" s="71" t="str">
        <f t="shared" si="5"/>
        <v/>
      </c>
      <c r="G93" s="104">
        <v>12.7</v>
      </c>
      <c r="H93" s="65"/>
      <c r="I93" s="66" t="str">
        <f t="shared" si="6"/>
        <v/>
      </c>
      <c r="J93" s="71" t="str">
        <f t="shared" si="7"/>
        <v/>
      </c>
    </row>
    <row r="94" spans="2:10" x14ac:dyDescent="0.2">
      <c r="B94" s="68">
        <v>14.6</v>
      </c>
      <c r="C94" s="68"/>
      <c r="D94" s="69" t="str">
        <f t="shared" si="4"/>
        <v/>
      </c>
      <c r="E94" s="70" t="str">
        <f t="shared" si="5"/>
        <v/>
      </c>
      <c r="G94" s="105">
        <v>13.1</v>
      </c>
      <c r="H94" s="68"/>
      <c r="I94" s="69" t="str">
        <f t="shared" si="6"/>
        <v/>
      </c>
      <c r="J94" s="70" t="str">
        <f t="shared" si="7"/>
        <v/>
      </c>
    </row>
    <row r="95" spans="2:10" x14ac:dyDescent="0.2">
      <c r="B95" s="65">
        <v>15.1</v>
      </c>
      <c r="C95" s="65"/>
      <c r="D95" s="66" t="str">
        <f t="shared" si="4"/>
        <v/>
      </c>
      <c r="E95" s="71" t="str">
        <f t="shared" si="5"/>
        <v/>
      </c>
      <c r="G95" s="104">
        <v>13.2</v>
      </c>
      <c r="H95" s="65"/>
      <c r="I95" s="66" t="str">
        <f t="shared" si="6"/>
        <v/>
      </c>
      <c r="J95" s="71" t="str">
        <f t="shared" si="7"/>
        <v/>
      </c>
    </row>
    <row r="96" spans="2:10" x14ac:dyDescent="0.2">
      <c r="B96" s="68">
        <v>15.2</v>
      </c>
      <c r="C96" s="68"/>
      <c r="D96" s="69" t="str">
        <f t="shared" si="4"/>
        <v/>
      </c>
      <c r="E96" s="70" t="str">
        <f t="shared" si="5"/>
        <v/>
      </c>
      <c r="G96" s="105">
        <v>13.3</v>
      </c>
      <c r="H96" s="68"/>
      <c r="I96" s="69" t="str">
        <f t="shared" si="6"/>
        <v/>
      </c>
      <c r="J96" s="70" t="str">
        <f t="shared" si="7"/>
        <v/>
      </c>
    </row>
    <row r="97" spans="2:10" x14ac:dyDescent="0.2">
      <c r="B97" s="65">
        <v>15.3</v>
      </c>
      <c r="C97" s="65"/>
      <c r="D97" s="66" t="str">
        <f t="shared" si="4"/>
        <v/>
      </c>
      <c r="E97" s="71" t="str">
        <f t="shared" si="5"/>
        <v/>
      </c>
      <c r="G97" s="104">
        <v>13.4</v>
      </c>
      <c r="H97" s="65"/>
      <c r="I97" s="66" t="str">
        <f t="shared" si="6"/>
        <v/>
      </c>
      <c r="J97" s="71" t="str">
        <f t="shared" si="7"/>
        <v/>
      </c>
    </row>
    <row r="98" spans="2:10" x14ac:dyDescent="0.2">
      <c r="B98" s="68">
        <v>15.6</v>
      </c>
      <c r="C98" s="68"/>
      <c r="D98" s="69" t="str">
        <f t="shared" si="4"/>
        <v/>
      </c>
      <c r="E98" s="70" t="str">
        <f t="shared" si="5"/>
        <v/>
      </c>
      <c r="G98" s="105">
        <v>13.5</v>
      </c>
      <c r="H98" s="68"/>
      <c r="I98" s="69" t="str">
        <f t="shared" si="6"/>
        <v/>
      </c>
      <c r="J98" s="70" t="str">
        <f t="shared" si="7"/>
        <v/>
      </c>
    </row>
    <row r="99" spans="2:10" x14ac:dyDescent="0.2">
      <c r="B99" s="65">
        <v>15.7</v>
      </c>
      <c r="C99" s="65"/>
      <c r="D99" s="66" t="str">
        <f t="shared" si="4"/>
        <v/>
      </c>
      <c r="E99" s="71" t="str">
        <f t="shared" si="5"/>
        <v/>
      </c>
      <c r="G99" s="104">
        <v>13.6</v>
      </c>
      <c r="H99" s="65"/>
      <c r="I99" s="66" t="str">
        <f t="shared" si="6"/>
        <v/>
      </c>
      <c r="J99" s="71" t="str">
        <f t="shared" si="7"/>
        <v/>
      </c>
    </row>
    <row r="100" spans="2:10" x14ac:dyDescent="0.2">
      <c r="B100" s="68">
        <v>15.9</v>
      </c>
      <c r="C100" s="68"/>
      <c r="D100" s="69" t="str">
        <f t="shared" si="4"/>
        <v/>
      </c>
      <c r="E100" s="70" t="str">
        <f t="shared" si="5"/>
        <v/>
      </c>
      <c r="G100" s="105">
        <v>14.1</v>
      </c>
      <c r="H100" s="68"/>
      <c r="I100" s="69" t="str">
        <f t="shared" si="6"/>
        <v/>
      </c>
      <c r="J100" s="70" t="str">
        <f t="shared" si="7"/>
        <v/>
      </c>
    </row>
    <row r="101" spans="2:10" x14ac:dyDescent="0.2">
      <c r="B101" s="65" t="s">
        <v>545</v>
      </c>
      <c r="C101" s="65"/>
      <c r="D101" s="66" t="str">
        <f t="shared" si="4"/>
        <v/>
      </c>
      <c r="E101" s="71" t="str">
        <f t="shared" si="5"/>
        <v/>
      </c>
      <c r="G101" s="104">
        <v>14.2</v>
      </c>
      <c r="H101" s="65"/>
      <c r="I101" s="66" t="str">
        <f t="shared" si="6"/>
        <v/>
      </c>
      <c r="J101" s="71" t="str">
        <f t="shared" si="7"/>
        <v/>
      </c>
    </row>
    <row r="102" spans="2:10" x14ac:dyDescent="0.2">
      <c r="B102" s="68">
        <v>16.100000000000001</v>
      </c>
      <c r="C102" s="68"/>
      <c r="D102" s="69" t="str">
        <f t="shared" si="4"/>
        <v/>
      </c>
      <c r="E102" s="70" t="str">
        <f t="shared" si="5"/>
        <v/>
      </c>
      <c r="G102" s="105">
        <v>14.3</v>
      </c>
      <c r="H102" s="68"/>
      <c r="I102" s="69" t="str">
        <f t="shared" si="6"/>
        <v/>
      </c>
      <c r="J102" s="70" t="str">
        <f t="shared" si="7"/>
        <v/>
      </c>
    </row>
    <row r="103" spans="2:10" x14ac:dyDescent="0.2">
      <c r="B103" s="65">
        <v>16.2</v>
      </c>
      <c r="C103" s="65"/>
      <c r="D103" s="66" t="str">
        <f t="shared" si="4"/>
        <v/>
      </c>
      <c r="E103" s="71" t="str">
        <f t="shared" si="5"/>
        <v/>
      </c>
      <c r="G103" s="104">
        <v>14.4</v>
      </c>
      <c r="H103" s="65"/>
      <c r="I103" s="66" t="str">
        <f t="shared" si="6"/>
        <v/>
      </c>
      <c r="J103" s="71" t="str">
        <f t="shared" si="7"/>
        <v/>
      </c>
    </row>
    <row r="104" spans="2:10" x14ac:dyDescent="0.2">
      <c r="B104" s="68">
        <v>16.3</v>
      </c>
      <c r="C104" s="68"/>
      <c r="D104" s="69" t="str">
        <f t="shared" si="4"/>
        <v/>
      </c>
      <c r="E104" s="70" t="str">
        <f t="shared" si="5"/>
        <v/>
      </c>
      <c r="G104" s="105">
        <v>14.5</v>
      </c>
      <c r="H104" s="68"/>
      <c r="I104" s="69" t="str">
        <f t="shared" si="6"/>
        <v/>
      </c>
      <c r="J104" s="70" t="str">
        <f t="shared" si="7"/>
        <v/>
      </c>
    </row>
    <row r="105" spans="2:10" x14ac:dyDescent="0.2">
      <c r="B105" s="65">
        <v>16.399999999999999</v>
      </c>
      <c r="C105" s="65"/>
      <c r="D105" s="66" t="str">
        <f t="shared" si="4"/>
        <v/>
      </c>
      <c r="E105" s="71" t="str">
        <f t="shared" si="5"/>
        <v/>
      </c>
      <c r="G105" s="104">
        <v>14.6</v>
      </c>
      <c r="H105" s="65"/>
      <c r="I105" s="66" t="str">
        <f t="shared" si="6"/>
        <v/>
      </c>
      <c r="J105" s="71" t="str">
        <f t="shared" si="7"/>
        <v/>
      </c>
    </row>
    <row r="106" spans="2:10" x14ac:dyDescent="0.2">
      <c r="B106" s="68">
        <v>16.5</v>
      </c>
      <c r="C106" s="68"/>
      <c r="D106" s="69" t="str">
        <f t="shared" si="4"/>
        <v/>
      </c>
      <c r="E106" s="70" t="str">
        <f t="shared" si="5"/>
        <v/>
      </c>
      <c r="G106" s="105">
        <v>14.7</v>
      </c>
      <c r="H106" s="68"/>
      <c r="I106" s="69" t="str">
        <f t="shared" si="6"/>
        <v/>
      </c>
      <c r="J106" s="70" t="str">
        <f t="shared" si="7"/>
        <v/>
      </c>
    </row>
    <row r="107" spans="2:10" x14ac:dyDescent="0.2">
      <c r="B107" s="65">
        <v>16.600000000000001</v>
      </c>
      <c r="C107" s="65"/>
      <c r="D107" s="66" t="str">
        <f t="shared" si="4"/>
        <v/>
      </c>
      <c r="E107" s="71" t="str">
        <f t="shared" si="5"/>
        <v/>
      </c>
      <c r="G107" s="104">
        <v>14.8</v>
      </c>
      <c r="H107" s="65"/>
      <c r="I107" s="66" t="str">
        <f t="shared" si="6"/>
        <v/>
      </c>
      <c r="J107" s="71" t="str">
        <f t="shared" si="7"/>
        <v/>
      </c>
    </row>
    <row r="108" spans="2:10" x14ac:dyDescent="0.2">
      <c r="B108" s="68">
        <v>16.7</v>
      </c>
      <c r="C108" s="68"/>
      <c r="D108" s="69" t="str">
        <f t="shared" si="4"/>
        <v/>
      </c>
      <c r="E108" s="70" t="str">
        <f t="shared" si="5"/>
        <v/>
      </c>
      <c r="G108" s="105">
        <v>14.9</v>
      </c>
      <c r="H108" s="68"/>
      <c r="I108" s="69" t="str">
        <f t="shared" si="6"/>
        <v/>
      </c>
      <c r="J108" s="70" t="str">
        <f t="shared" si="7"/>
        <v/>
      </c>
    </row>
    <row r="109" spans="2:10" x14ac:dyDescent="0.2">
      <c r="B109" s="65">
        <v>16.8</v>
      </c>
      <c r="C109" s="65"/>
      <c r="D109" s="66" t="str">
        <f t="shared" si="4"/>
        <v/>
      </c>
      <c r="E109" s="71" t="str">
        <f t="shared" si="5"/>
        <v/>
      </c>
      <c r="G109" s="104">
        <v>15.1</v>
      </c>
      <c r="H109" s="65"/>
      <c r="I109" s="66" t="str">
        <f t="shared" si="6"/>
        <v/>
      </c>
      <c r="J109" s="71" t="str">
        <f t="shared" si="7"/>
        <v/>
      </c>
    </row>
    <row r="110" spans="2:10" x14ac:dyDescent="0.2">
      <c r="B110" s="68">
        <v>16.899999999999999</v>
      </c>
      <c r="C110" s="68"/>
      <c r="D110" s="69" t="str">
        <f t="shared" si="4"/>
        <v/>
      </c>
      <c r="E110" s="70" t="str">
        <f t="shared" si="5"/>
        <v/>
      </c>
      <c r="G110" s="105">
        <v>15.2</v>
      </c>
      <c r="H110" s="68"/>
      <c r="I110" s="69" t="str">
        <f t="shared" si="6"/>
        <v/>
      </c>
      <c r="J110" s="70" t="str">
        <f t="shared" si="7"/>
        <v/>
      </c>
    </row>
    <row r="111" spans="2:10" x14ac:dyDescent="0.2">
      <c r="B111" s="65" t="s">
        <v>546</v>
      </c>
      <c r="C111" s="65"/>
      <c r="D111" s="66" t="str">
        <f t="shared" si="4"/>
        <v/>
      </c>
      <c r="E111" s="71" t="str">
        <f t="shared" si="5"/>
        <v/>
      </c>
      <c r="G111" s="104">
        <v>15.3</v>
      </c>
      <c r="H111" s="65"/>
      <c r="I111" s="66" t="str">
        <f t="shared" si="6"/>
        <v/>
      </c>
      <c r="J111" s="71" t="str">
        <f t="shared" si="7"/>
        <v/>
      </c>
    </row>
    <row r="112" spans="2:10" x14ac:dyDescent="0.2">
      <c r="B112" s="68">
        <v>16.11</v>
      </c>
      <c r="C112" s="68"/>
      <c r="D112" s="69" t="str">
        <f t="shared" ref="D112:D146" si="8">LEFT($C112, 1)</f>
        <v/>
      </c>
      <c r="E112" s="70" t="str">
        <f t="shared" si="5"/>
        <v/>
      </c>
      <c r="G112" s="105">
        <v>15.4</v>
      </c>
      <c r="H112" s="68"/>
      <c r="I112" s="69" t="str">
        <f t="shared" si="6"/>
        <v/>
      </c>
      <c r="J112" s="70" t="str">
        <f t="shared" si="7"/>
        <v/>
      </c>
    </row>
    <row r="113" spans="2:10" x14ac:dyDescent="0.2">
      <c r="B113" s="65">
        <v>16.12</v>
      </c>
      <c r="C113" s="65"/>
      <c r="D113" s="66" t="str">
        <f t="shared" si="8"/>
        <v/>
      </c>
      <c r="E113" s="71" t="str">
        <f t="shared" ref="E113:E146" si="9">D113</f>
        <v/>
      </c>
      <c r="G113" s="104">
        <v>16.100000000000001</v>
      </c>
      <c r="H113" s="65"/>
      <c r="I113" s="66" t="str">
        <f t="shared" si="6"/>
        <v/>
      </c>
      <c r="J113" s="71" t="str">
        <f t="shared" si="7"/>
        <v/>
      </c>
    </row>
    <row r="114" spans="2:10" x14ac:dyDescent="0.2">
      <c r="B114" s="68" t="s">
        <v>547</v>
      </c>
      <c r="C114" s="68"/>
      <c r="D114" s="69" t="str">
        <f t="shared" si="8"/>
        <v/>
      </c>
      <c r="E114" s="70" t="str">
        <f t="shared" si="9"/>
        <v/>
      </c>
      <c r="G114" s="105">
        <v>16.2</v>
      </c>
      <c r="H114" s="68"/>
      <c r="I114" s="69" t="str">
        <f t="shared" si="6"/>
        <v/>
      </c>
      <c r="J114" s="70" t="str">
        <f t="shared" si="7"/>
        <v/>
      </c>
    </row>
    <row r="115" spans="2:10" x14ac:dyDescent="0.2">
      <c r="B115" s="65" t="s">
        <v>548</v>
      </c>
      <c r="C115" s="65"/>
      <c r="D115" s="66" t="str">
        <f t="shared" si="8"/>
        <v/>
      </c>
      <c r="E115" s="71" t="str">
        <f t="shared" si="9"/>
        <v/>
      </c>
      <c r="G115" s="104">
        <v>16.3</v>
      </c>
      <c r="H115" s="65"/>
      <c r="I115" s="66" t="str">
        <f t="shared" si="6"/>
        <v/>
      </c>
      <c r="J115" s="71" t="str">
        <f t="shared" si="7"/>
        <v/>
      </c>
    </row>
    <row r="116" spans="2:10" x14ac:dyDescent="0.2">
      <c r="B116" s="68" t="s">
        <v>549</v>
      </c>
      <c r="C116" s="68"/>
      <c r="D116" s="69" t="str">
        <f t="shared" si="8"/>
        <v/>
      </c>
      <c r="E116" s="70" t="str">
        <f t="shared" si="9"/>
        <v/>
      </c>
      <c r="G116" s="105">
        <v>16.399999999999999</v>
      </c>
      <c r="H116" s="68"/>
      <c r="I116" s="69" t="str">
        <f t="shared" si="6"/>
        <v/>
      </c>
      <c r="J116" s="70" t="str">
        <f t="shared" si="7"/>
        <v/>
      </c>
    </row>
    <row r="117" spans="2:10" x14ac:dyDescent="0.2">
      <c r="B117" s="65" t="s">
        <v>550</v>
      </c>
      <c r="C117" s="65"/>
      <c r="D117" s="66" t="str">
        <f t="shared" si="8"/>
        <v/>
      </c>
      <c r="E117" s="71" t="str">
        <f t="shared" si="9"/>
        <v/>
      </c>
      <c r="G117" s="104">
        <v>16.5</v>
      </c>
      <c r="H117" s="65"/>
      <c r="I117" s="66" t="str">
        <f t="shared" si="6"/>
        <v/>
      </c>
      <c r="J117" s="71" t="str">
        <f t="shared" si="7"/>
        <v/>
      </c>
    </row>
    <row r="118" spans="2:10" x14ac:dyDescent="0.2">
      <c r="B118" s="68" t="s">
        <v>551</v>
      </c>
      <c r="C118" s="68"/>
      <c r="D118" s="69" t="str">
        <f t="shared" si="8"/>
        <v/>
      </c>
      <c r="E118" s="70" t="str">
        <f t="shared" si="9"/>
        <v/>
      </c>
      <c r="G118" s="105">
        <v>16.600000000000001</v>
      </c>
      <c r="H118" s="68"/>
      <c r="I118" s="69" t="str">
        <f t="shared" si="6"/>
        <v/>
      </c>
      <c r="J118" s="70" t="str">
        <f t="shared" si="7"/>
        <v/>
      </c>
    </row>
    <row r="119" spans="2:10" x14ac:dyDescent="0.2">
      <c r="B119" s="65" t="s">
        <v>552</v>
      </c>
      <c r="C119" s="65"/>
      <c r="D119" s="66" t="str">
        <f t="shared" si="8"/>
        <v/>
      </c>
      <c r="E119" s="71" t="str">
        <f t="shared" si="9"/>
        <v/>
      </c>
      <c r="G119" s="104">
        <v>16.7</v>
      </c>
      <c r="H119" s="65"/>
      <c r="I119" s="66" t="str">
        <f t="shared" si="6"/>
        <v/>
      </c>
      <c r="J119" s="71" t="str">
        <f t="shared" si="7"/>
        <v/>
      </c>
    </row>
    <row r="120" spans="2:10" x14ac:dyDescent="0.2">
      <c r="B120" s="68" t="s">
        <v>553</v>
      </c>
      <c r="C120" s="68"/>
      <c r="D120" s="69" t="str">
        <f t="shared" si="8"/>
        <v/>
      </c>
      <c r="E120" s="70" t="str">
        <f t="shared" si="9"/>
        <v/>
      </c>
      <c r="G120" s="105">
        <v>16.8</v>
      </c>
      <c r="H120" s="68"/>
      <c r="I120" s="69" t="str">
        <f t="shared" si="6"/>
        <v/>
      </c>
      <c r="J120" s="70" t="str">
        <f t="shared" si="7"/>
        <v/>
      </c>
    </row>
    <row r="121" spans="2:10" x14ac:dyDescent="0.2">
      <c r="B121" s="65" t="s">
        <v>554</v>
      </c>
      <c r="C121" s="65"/>
      <c r="D121" s="66" t="str">
        <f t="shared" si="8"/>
        <v/>
      </c>
      <c r="E121" s="71" t="str">
        <f t="shared" si="9"/>
        <v/>
      </c>
      <c r="G121" s="104">
        <v>16.899999999999999</v>
      </c>
      <c r="H121" s="65"/>
      <c r="I121" s="66" t="str">
        <f t="shared" si="6"/>
        <v/>
      </c>
      <c r="J121" s="71" t="str">
        <f t="shared" si="7"/>
        <v/>
      </c>
    </row>
    <row r="122" spans="2:10" x14ac:dyDescent="0.2">
      <c r="B122" s="68" t="s">
        <v>555</v>
      </c>
      <c r="C122" s="68"/>
      <c r="D122" s="69" t="str">
        <f t="shared" si="8"/>
        <v/>
      </c>
      <c r="E122" s="70" t="str">
        <f t="shared" si="9"/>
        <v/>
      </c>
      <c r="G122" s="106">
        <v>16.100000000000001</v>
      </c>
      <c r="H122" s="68"/>
      <c r="I122" s="69" t="str">
        <f t="shared" si="6"/>
        <v/>
      </c>
      <c r="J122" s="70" t="str">
        <f t="shared" si="7"/>
        <v/>
      </c>
    </row>
    <row r="123" spans="2:10" x14ac:dyDescent="0.2">
      <c r="B123" s="65" t="s">
        <v>556</v>
      </c>
      <c r="C123" s="65"/>
      <c r="D123" s="66" t="str">
        <f t="shared" si="8"/>
        <v/>
      </c>
      <c r="E123" s="71" t="str">
        <f t="shared" si="9"/>
        <v/>
      </c>
      <c r="G123" s="104">
        <v>16.11</v>
      </c>
      <c r="H123" s="65"/>
      <c r="I123" s="66" t="str">
        <f t="shared" si="6"/>
        <v/>
      </c>
      <c r="J123" s="71" t="str">
        <f t="shared" si="7"/>
        <v/>
      </c>
    </row>
    <row r="124" spans="2:10" x14ac:dyDescent="0.2">
      <c r="B124" s="68" t="s">
        <v>557</v>
      </c>
      <c r="C124" s="68"/>
      <c r="D124" s="69" t="str">
        <f t="shared" si="8"/>
        <v/>
      </c>
      <c r="E124" s="70" t="str">
        <f t="shared" si="9"/>
        <v/>
      </c>
      <c r="G124" s="105">
        <v>17.100000000000001</v>
      </c>
      <c r="H124" s="68"/>
      <c r="I124" s="69" t="str">
        <f t="shared" si="6"/>
        <v/>
      </c>
      <c r="J124" s="70" t="str">
        <f t="shared" si="7"/>
        <v/>
      </c>
    </row>
    <row r="125" spans="2:10" x14ac:dyDescent="0.2">
      <c r="B125" s="65" t="s">
        <v>558</v>
      </c>
      <c r="C125" s="65"/>
      <c r="D125" s="66" t="str">
        <f t="shared" si="8"/>
        <v/>
      </c>
      <c r="E125" s="71" t="str">
        <f t="shared" si="9"/>
        <v/>
      </c>
      <c r="G125" s="104">
        <v>17.2</v>
      </c>
      <c r="H125" s="65"/>
      <c r="I125" s="66" t="str">
        <f t="shared" si="6"/>
        <v/>
      </c>
      <c r="J125" s="71" t="str">
        <f t="shared" si="7"/>
        <v/>
      </c>
    </row>
    <row r="126" spans="2:10" x14ac:dyDescent="0.2">
      <c r="B126" s="68" t="s">
        <v>559</v>
      </c>
      <c r="C126" s="68"/>
      <c r="D126" s="69" t="str">
        <f t="shared" si="8"/>
        <v/>
      </c>
      <c r="E126" s="70" t="str">
        <f t="shared" si="9"/>
        <v/>
      </c>
      <c r="G126" s="105">
        <v>17.3</v>
      </c>
      <c r="H126" s="68"/>
      <c r="I126" s="69" t="str">
        <f t="shared" si="6"/>
        <v/>
      </c>
      <c r="J126" s="70" t="str">
        <f t="shared" si="7"/>
        <v/>
      </c>
    </row>
    <row r="127" spans="2:10" x14ac:dyDescent="0.2">
      <c r="B127" s="65" t="s">
        <v>560</v>
      </c>
      <c r="C127" s="65"/>
      <c r="D127" s="66" t="str">
        <f t="shared" si="8"/>
        <v/>
      </c>
      <c r="E127" s="71" t="str">
        <f t="shared" si="9"/>
        <v/>
      </c>
      <c r="G127" s="104">
        <v>17.399999999999999</v>
      </c>
      <c r="H127" s="65"/>
      <c r="I127" s="66" t="str">
        <f t="shared" si="6"/>
        <v/>
      </c>
      <c r="J127" s="71" t="str">
        <f t="shared" si="7"/>
        <v/>
      </c>
    </row>
    <row r="128" spans="2:10" x14ac:dyDescent="0.2">
      <c r="B128" s="68" t="s">
        <v>561</v>
      </c>
      <c r="C128" s="68"/>
      <c r="D128" s="69" t="str">
        <f t="shared" si="8"/>
        <v/>
      </c>
      <c r="E128" s="70" t="str">
        <f t="shared" si="9"/>
        <v/>
      </c>
      <c r="G128" s="105">
        <v>17.5</v>
      </c>
      <c r="H128" s="68"/>
      <c r="I128" s="69" t="str">
        <f t="shared" si="6"/>
        <v/>
      </c>
      <c r="J128" s="70" t="str">
        <f t="shared" si="7"/>
        <v/>
      </c>
    </row>
    <row r="129" spans="2:10" x14ac:dyDescent="0.2">
      <c r="B129" s="65" t="s">
        <v>562</v>
      </c>
      <c r="C129" s="65"/>
      <c r="D129" s="66" t="str">
        <f t="shared" si="8"/>
        <v/>
      </c>
      <c r="E129" s="71" t="str">
        <f t="shared" si="9"/>
        <v/>
      </c>
      <c r="G129" s="104">
        <v>17.600000000000001</v>
      </c>
      <c r="H129" s="65"/>
      <c r="I129" s="66" t="str">
        <f t="shared" si="6"/>
        <v/>
      </c>
      <c r="J129" s="71" t="str">
        <f t="shared" si="7"/>
        <v/>
      </c>
    </row>
    <row r="130" spans="2:10" x14ac:dyDescent="0.2">
      <c r="B130" s="68" t="s">
        <v>563</v>
      </c>
      <c r="C130" s="68"/>
      <c r="D130" s="69" t="str">
        <f t="shared" si="8"/>
        <v/>
      </c>
      <c r="E130" s="70" t="str">
        <f t="shared" si="9"/>
        <v/>
      </c>
      <c r="G130" s="105">
        <v>17.7</v>
      </c>
      <c r="H130" s="68"/>
      <c r="I130" s="69" t="str">
        <f t="shared" si="6"/>
        <v/>
      </c>
      <c r="J130" s="70" t="str">
        <f t="shared" si="7"/>
        <v/>
      </c>
    </row>
    <row r="131" spans="2:10" x14ac:dyDescent="0.2">
      <c r="B131" s="65" t="s">
        <v>564</v>
      </c>
      <c r="C131" s="65"/>
      <c r="D131" s="66" t="str">
        <f t="shared" si="8"/>
        <v/>
      </c>
      <c r="E131" s="71" t="str">
        <f t="shared" si="9"/>
        <v/>
      </c>
      <c r="G131" s="104">
        <v>17.8</v>
      </c>
      <c r="H131" s="65"/>
      <c r="I131" s="66" t="str">
        <f t="shared" si="6"/>
        <v/>
      </c>
      <c r="J131" s="71" t="str">
        <f t="shared" si="7"/>
        <v/>
      </c>
    </row>
    <row r="132" spans="2:10" x14ac:dyDescent="0.2">
      <c r="B132" s="73">
        <v>18.100000000000001</v>
      </c>
      <c r="C132" s="68"/>
      <c r="D132" s="69" t="str">
        <f t="shared" si="8"/>
        <v/>
      </c>
      <c r="E132" s="70" t="str">
        <f t="shared" si="9"/>
        <v/>
      </c>
      <c r="G132" s="105">
        <v>18.100000000000001</v>
      </c>
      <c r="H132" s="68"/>
      <c r="I132" s="69" t="str">
        <f t="shared" si="6"/>
        <v/>
      </c>
      <c r="J132" s="70" t="str">
        <f t="shared" si="7"/>
        <v/>
      </c>
    </row>
    <row r="133" spans="2:10" x14ac:dyDescent="0.2">
      <c r="B133" s="65">
        <v>18.11</v>
      </c>
      <c r="C133" s="65"/>
      <c r="D133" s="66" t="str">
        <f t="shared" si="8"/>
        <v/>
      </c>
      <c r="E133" s="71" t="str">
        <f t="shared" si="9"/>
        <v/>
      </c>
      <c r="G133" s="104">
        <v>18.2</v>
      </c>
      <c r="H133" s="65"/>
      <c r="I133" s="66" t="str">
        <f t="shared" si="6"/>
        <v/>
      </c>
      <c r="J133" s="71" t="str">
        <f t="shared" si="7"/>
        <v/>
      </c>
    </row>
    <row r="134" spans="2:10" ht="13.5" thickBot="1" x14ac:dyDescent="0.25">
      <c r="B134" s="68" t="s">
        <v>565</v>
      </c>
      <c r="C134" s="68"/>
      <c r="D134" s="69" t="str">
        <f t="shared" si="8"/>
        <v/>
      </c>
      <c r="E134" s="70" t="str">
        <f t="shared" si="9"/>
        <v/>
      </c>
      <c r="G134" s="107">
        <v>18.3</v>
      </c>
      <c r="H134" s="75"/>
      <c r="I134" s="76" t="str">
        <f t="shared" ref="I134" si="10">LEFT($H134, 1)</f>
        <v/>
      </c>
      <c r="J134" s="77" t="str">
        <f t="shared" ref="J134" si="11">I134</f>
        <v/>
      </c>
    </row>
    <row r="135" spans="2:10" x14ac:dyDescent="0.2">
      <c r="B135" s="65" t="s">
        <v>566</v>
      </c>
      <c r="C135" s="65"/>
      <c r="D135" s="66" t="str">
        <f t="shared" si="8"/>
        <v/>
      </c>
      <c r="E135" s="71" t="str">
        <f t="shared" si="9"/>
        <v/>
      </c>
    </row>
    <row r="136" spans="2:10" x14ac:dyDescent="0.2">
      <c r="B136" s="68" t="s">
        <v>567</v>
      </c>
      <c r="C136" s="68"/>
      <c r="D136" s="69" t="str">
        <f t="shared" si="8"/>
        <v/>
      </c>
      <c r="E136" s="70" t="str">
        <f t="shared" si="9"/>
        <v/>
      </c>
    </row>
    <row r="137" spans="2:10" x14ac:dyDescent="0.2">
      <c r="B137" s="65" t="s">
        <v>568</v>
      </c>
      <c r="C137" s="65"/>
      <c r="D137" s="66" t="str">
        <f t="shared" si="8"/>
        <v/>
      </c>
      <c r="E137" s="71" t="str">
        <f t="shared" si="9"/>
        <v/>
      </c>
    </row>
    <row r="138" spans="2:10" x14ac:dyDescent="0.2">
      <c r="B138" s="68" t="s">
        <v>569</v>
      </c>
      <c r="C138" s="68"/>
      <c r="D138" s="69" t="str">
        <f t="shared" si="8"/>
        <v/>
      </c>
      <c r="E138" s="70" t="str">
        <f t="shared" si="9"/>
        <v/>
      </c>
    </row>
    <row r="139" spans="2:10" x14ac:dyDescent="0.2">
      <c r="B139" s="65" t="s">
        <v>570</v>
      </c>
      <c r="C139" s="65"/>
      <c r="D139" s="66" t="str">
        <f t="shared" si="8"/>
        <v/>
      </c>
      <c r="E139" s="71" t="str">
        <f t="shared" si="9"/>
        <v/>
      </c>
    </row>
    <row r="140" spans="2:10" x14ac:dyDescent="0.2">
      <c r="B140" s="68" t="s">
        <v>571</v>
      </c>
      <c r="C140" s="68"/>
      <c r="D140" s="69" t="str">
        <f t="shared" si="8"/>
        <v/>
      </c>
      <c r="E140" s="70" t="str">
        <f t="shared" si="9"/>
        <v/>
      </c>
    </row>
    <row r="141" spans="2:10" x14ac:dyDescent="0.2">
      <c r="B141" s="65" t="s">
        <v>572</v>
      </c>
      <c r="C141" s="65"/>
      <c r="D141" s="66" t="str">
        <f t="shared" si="8"/>
        <v/>
      </c>
      <c r="E141" s="71" t="str">
        <f t="shared" si="9"/>
        <v/>
      </c>
    </row>
    <row r="142" spans="2:10" x14ac:dyDescent="0.2">
      <c r="B142" s="68" t="s">
        <v>573</v>
      </c>
      <c r="C142" s="68"/>
      <c r="D142" s="69" t="str">
        <f t="shared" si="8"/>
        <v/>
      </c>
      <c r="E142" s="70" t="str">
        <f t="shared" si="9"/>
        <v/>
      </c>
    </row>
    <row r="143" spans="2:10" x14ac:dyDescent="0.2">
      <c r="B143" s="65" t="s">
        <v>574</v>
      </c>
      <c r="C143" s="65"/>
      <c r="D143" s="66" t="str">
        <f t="shared" si="8"/>
        <v/>
      </c>
      <c r="E143" s="71" t="str">
        <f t="shared" si="9"/>
        <v/>
      </c>
    </row>
    <row r="144" spans="2:10" x14ac:dyDescent="0.2">
      <c r="B144" s="68" t="s">
        <v>575</v>
      </c>
      <c r="C144" s="68"/>
      <c r="D144" s="69" t="str">
        <f t="shared" si="8"/>
        <v/>
      </c>
      <c r="E144" s="70" t="str">
        <f t="shared" si="9"/>
        <v/>
      </c>
    </row>
    <row r="145" spans="2:5" x14ac:dyDescent="0.2">
      <c r="B145" s="65" t="s">
        <v>576</v>
      </c>
      <c r="C145" s="65"/>
      <c r="D145" s="66" t="str">
        <f t="shared" si="8"/>
        <v/>
      </c>
      <c r="E145" s="71" t="str">
        <f t="shared" si="9"/>
        <v/>
      </c>
    </row>
    <row r="146" spans="2:5" ht="13.5" thickBot="1" x14ac:dyDescent="0.25">
      <c r="B146" s="75" t="s">
        <v>577</v>
      </c>
      <c r="C146" s="75"/>
      <c r="D146" s="76" t="str">
        <f t="shared" si="8"/>
        <v/>
      </c>
      <c r="E146" s="77" t="str">
        <f t="shared" si="9"/>
        <v/>
      </c>
    </row>
  </sheetData>
  <sheetProtection sheet="1" objects="1" scenarios="1"/>
  <mergeCells count="4">
    <mergeCell ref="B1:J1"/>
    <mergeCell ref="M1:S7"/>
    <mergeCell ref="B3:E3"/>
    <mergeCell ref="G3:J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A3294B-ED08-41AF-97D2-AB55E95E2C5D}">
  <sheetPr>
    <tabColor rgb="FF003B5C"/>
  </sheetPr>
  <dimension ref="A1:L2"/>
  <sheetViews>
    <sheetView showGridLines="0" workbookViewId="0">
      <selection sqref="A1:L1"/>
    </sheetView>
  </sheetViews>
  <sheetFormatPr defaultColWidth="11.42578125" defaultRowHeight="15" x14ac:dyDescent="0.25"/>
  <sheetData>
    <row r="1" spans="1:12" ht="30.75" x14ac:dyDescent="0.25">
      <c r="A1" s="299" t="s">
        <v>924</v>
      </c>
      <c r="B1" s="300"/>
      <c r="C1" s="300"/>
      <c r="D1" s="300"/>
      <c r="E1" s="300"/>
      <c r="F1" s="300"/>
      <c r="G1" s="300"/>
      <c r="H1" s="300"/>
      <c r="I1" s="300"/>
      <c r="J1" s="300"/>
      <c r="K1" s="300"/>
      <c r="L1" s="301"/>
    </row>
    <row r="2" spans="1:12" ht="165.75" customHeight="1" x14ac:dyDescent="0.25">
      <c r="A2" s="302" t="s">
        <v>925</v>
      </c>
      <c r="B2" s="302"/>
      <c r="C2" s="302"/>
      <c r="D2" s="302"/>
      <c r="E2" s="302"/>
      <c r="F2" s="302"/>
      <c r="G2" s="302"/>
      <c r="H2" s="302"/>
      <c r="I2" s="302"/>
      <c r="J2" s="302"/>
      <c r="K2" s="302"/>
      <c r="L2" s="302"/>
    </row>
  </sheetData>
  <sheetProtection sheet="1"/>
  <mergeCells count="2">
    <mergeCell ref="A1:L1"/>
    <mergeCell ref="A2:L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747FE-510B-4238-9CB0-634BF40AFA97}">
  <sheetPr>
    <tabColor rgb="FF003B5C"/>
  </sheetPr>
  <dimension ref="B1:C21"/>
  <sheetViews>
    <sheetView showGridLines="0" zoomScale="150" zoomScaleNormal="150" workbookViewId="0"/>
  </sheetViews>
  <sheetFormatPr defaultColWidth="12.42578125" defaultRowHeight="11.25" x14ac:dyDescent="0.25"/>
  <cols>
    <col min="1" max="1" width="7.85546875" style="289" customWidth="1"/>
    <col min="2" max="2" width="30.140625" style="289" customWidth="1"/>
    <col min="3" max="3" width="86.85546875" style="289" bestFit="1" customWidth="1"/>
    <col min="4" max="16384" width="12.42578125" style="289"/>
  </cols>
  <sheetData>
    <row r="1" spans="2:3" ht="39.950000000000003" customHeight="1" x14ac:dyDescent="0.25"/>
    <row r="2" spans="2:3" ht="110.1" customHeight="1" x14ac:dyDescent="0.25">
      <c r="B2" s="290"/>
      <c r="C2" s="291" t="s">
        <v>932</v>
      </c>
    </row>
    <row r="3" spans="2:3" x14ac:dyDescent="0.25">
      <c r="C3" s="292" t="s">
        <v>395</v>
      </c>
    </row>
    <row r="4" spans="2:3" ht="20.100000000000001" customHeight="1" x14ac:dyDescent="0.25"/>
    <row r="5" spans="2:3" ht="30" customHeight="1" x14ac:dyDescent="0.25">
      <c r="B5" s="290"/>
      <c r="C5" s="291" t="s">
        <v>933</v>
      </c>
    </row>
    <row r="6" spans="2:3" x14ac:dyDescent="0.25">
      <c r="C6" s="293" t="s">
        <v>934</v>
      </c>
    </row>
    <row r="7" spans="2:3" ht="39.950000000000003" customHeight="1" x14ac:dyDescent="0.25"/>
    <row r="8" spans="2:3" ht="20.100000000000001" customHeight="1" x14ac:dyDescent="0.25">
      <c r="B8" s="290"/>
      <c r="C8" s="294" t="s">
        <v>396</v>
      </c>
    </row>
    <row r="9" spans="2:3" x14ac:dyDescent="0.25">
      <c r="C9" s="295" t="s">
        <v>397</v>
      </c>
    </row>
    <row r="10" spans="2:3" ht="39.950000000000003" customHeight="1" x14ac:dyDescent="0.25"/>
    <row r="11" spans="2:3" ht="20.100000000000001" customHeight="1" x14ac:dyDescent="0.25">
      <c r="B11" s="290"/>
      <c r="C11" s="296" t="s">
        <v>398</v>
      </c>
    </row>
    <row r="12" spans="2:3" ht="5.0999999999999996" customHeight="1" x14ac:dyDescent="0.25">
      <c r="C12" s="297"/>
    </row>
    <row r="13" spans="2:3" ht="33.75" x14ac:dyDescent="0.25">
      <c r="C13" s="289" t="s">
        <v>935</v>
      </c>
    </row>
    <row r="14" spans="2:3" ht="9.9499999999999993" customHeight="1" x14ac:dyDescent="0.25"/>
    <row r="15" spans="2:3" x14ac:dyDescent="0.25">
      <c r="C15" s="298" t="s">
        <v>399</v>
      </c>
    </row>
    <row r="16" spans="2:3" ht="5.0999999999999996" customHeight="1" x14ac:dyDescent="0.25"/>
    <row r="17" spans="3:3" ht="22.5" x14ac:dyDescent="0.25">
      <c r="C17" s="289" t="s">
        <v>936</v>
      </c>
    </row>
    <row r="18" spans="3:3" x14ac:dyDescent="0.25">
      <c r="C18" s="292" t="s">
        <v>400</v>
      </c>
    </row>
    <row r="19" spans="3:3" ht="9.9499999999999993" customHeight="1" x14ac:dyDescent="0.25">
      <c r="C19" s="292"/>
    </row>
    <row r="20" spans="3:3" ht="92.1" customHeight="1" x14ac:dyDescent="0.25">
      <c r="C20" s="289" t="s">
        <v>937</v>
      </c>
    </row>
    <row r="21" spans="3:3" x14ac:dyDescent="0.25">
      <c r="C21" s="292" t="s">
        <v>401</v>
      </c>
    </row>
  </sheetData>
  <sheetProtection sheet="1" objects="1" scenarios="1"/>
  <hyperlinks>
    <hyperlink ref="C6" r:id="rId1" xr:uid="{211E516D-8A6E-451E-A237-116F2E831A95}"/>
    <hyperlink ref="C9" r:id="rId2" xr:uid="{610B660D-79B8-4C4C-ACE5-C683C5FA34B9}"/>
    <hyperlink ref="C18" r:id="rId3" xr:uid="{153BBF31-CA90-422D-97DE-BE47ED35875F}"/>
    <hyperlink ref="C21" r:id="rId4" xr:uid="{C1543406-D30E-4F5F-8340-9C816750C14A}"/>
    <hyperlink ref="C3" r:id="rId5" xr:uid="{100CDC7C-83F0-4731-986C-3AE54343B6E1}"/>
  </hyperlinks>
  <pageMargins left="0.7" right="0.7" top="0.75" bottom="0.75" header="0.3" footer="0.3"/>
  <pageSetup orientation="portrait" horizontalDpi="0" verticalDpi="0"/>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55178-005D-4C75-8F85-5C99D3D85F4C}">
  <sheetPr codeName="Sheet3">
    <tabColor rgb="FF0086BF"/>
  </sheetPr>
  <dimension ref="B2:E70"/>
  <sheetViews>
    <sheetView showGridLines="0" zoomScaleNormal="100" workbookViewId="0">
      <selection activeCell="B3" sqref="B3"/>
    </sheetView>
  </sheetViews>
  <sheetFormatPr defaultColWidth="9.140625" defaultRowHeight="14.25" x14ac:dyDescent="0.25"/>
  <cols>
    <col min="1" max="1" width="4.42578125" style="114" customWidth="1"/>
    <col min="2" max="2" width="10.42578125" style="167" customWidth="1"/>
    <col min="3" max="3" width="22.7109375" style="174" customWidth="1"/>
    <col min="4" max="4" width="52.5703125" style="174" customWidth="1"/>
    <col min="5" max="5" width="52.140625" style="7" customWidth="1"/>
    <col min="6" max="16384" width="9.140625" style="114"/>
  </cols>
  <sheetData>
    <row r="2" spans="2:5" ht="15" x14ac:dyDescent="0.25">
      <c r="D2" s="164" t="s">
        <v>222</v>
      </c>
      <c r="E2" s="175" t="s">
        <v>832</v>
      </c>
    </row>
    <row r="3" spans="2:5" ht="39" thickBot="1" x14ac:dyDescent="0.3">
      <c r="B3" s="166">
        <v>1</v>
      </c>
      <c r="C3" s="166" t="s">
        <v>6</v>
      </c>
      <c r="D3" s="132" t="s">
        <v>831</v>
      </c>
      <c r="E3" s="133"/>
    </row>
    <row r="4" spans="2:5" ht="15" thickTop="1" x14ac:dyDescent="0.25">
      <c r="C4" s="168"/>
      <c r="D4" s="168"/>
      <c r="E4" s="113"/>
    </row>
    <row r="5" spans="2:5" ht="32.25" customHeight="1" x14ac:dyDescent="0.25">
      <c r="C5" s="303" t="s">
        <v>411</v>
      </c>
      <c r="D5" s="304"/>
      <c r="E5" s="305"/>
    </row>
    <row r="6" spans="2:5" x14ac:dyDescent="0.25">
      <c r="C6" s="168"/>
      <c r="D6" s="168"/>
      <c r="E6" s="113"/>
    </row>
    <row r="7" spans="2:5" x14ac:dyDescent="0.25">
      <c r="C7" s="169" t="s">
        <v>309</v>
      </c>
      <c r="D7" s="169" t="s">
        <v>222</v>
      </c>
      <c r="E7" s="169" t="s">
        <v>832</v>
      </c>
    </row>
    <row r="8" spans="2:5" ht="25.5" x14ac:dyDescent="0.25">
      <c r="C8" s="23" t="s">
        <v>223</v>
      </c>
      <c r="D8" s="170" t="s">
        <v>207</v>
      </c>
      <c r="E8" s="171" t="s">
        <v>786</v>
      </c>
    </row>
    <row r="9" spans="2:5" ht="25.5" x14ac:dyDescent="0.25">
      <c r="C9" s="23" t="s">
        <v>204</v>
      </c>
      <c r="D9" s="170" t="s">
        <v>208</v>
      </c>
      <c r="E9" s="171" t="s">
        <v>787</v>
      </c>
    </row>
    <row r="10" spans="2:5" ht="51" x14ac:dyDescent="0.25">
      <c r="C10" s="23" t="s">
        <v>205</v>
      </c>
      <c r="D10" s="170" t="s">
        <v>210</v>
      </c>
      <c r="E10" s="171" t="s">
        <v>788</v>
      </c>
    </row>
    <row r="11" spans="2:5" ht="38.25" x14ac:dyDescent="0.25">
      <c r="C11" s="23" t="s">
        <v>206</v>
      </c>
      <c r="D11" s="170" t="s">
        <v>209</v>
      </c>
      <c r="E11" s="171" t="s">
        <v>789</v>
      </c>
    </row>
    <row r="12" spans="2:5" ht="38.25" x14ac:dyDescent="0.25">
      <c r="C12" s="23" t="s">
        <v>211</v>
      </c>
      <c r="D12" s="170" t="s">
        <v>833</v>
      </c>
      <c r="E12" s="171" t="s">
        <v>790</v>
      </c>
    </row>
    <row r="13" spans="2:5" ht="15" x14ac:dyDescent="0.25">
      <c r="C13" s="115"/>
      <c r="D13" s="108"/>
      <c r="E13" s="113"/>
    </row>
    <row r="14" spans="2:5" s="116" customFormat="1" ht="12.75" x14ac:dyDescent="0.25">
      <c r="C14" s="109"/>
      <c r="D14" s="109"/>
      <c r="E14" s="129"/>
    </row>
    <row r="15" spans="2:5" ht="15" x14ac:dyDescent="0.25">
      <c r="C15" s="168"/>
      <c r="D15" s="164" t="s">
        <v>222</v>
      </c>
      <c r="E15" s="175" t="s">
        <v>832</v>
      </c>
    </row>
    <row r="16" spans="2:5" ht="45" customHeight="1" thickBot="1" x14ac:dyDescent="0.3">
      <c r="B16" s="166">
        <v>2</v>
      </c>
      <c r="C16" s="166" t="s">
        <v>137</v>
      </c>
      <c r="D16" s="132" t="s">
        <v>212</v>
      </c>
      <c r="E16" s="133"/>
    </row>
    <row r="17" spans="2:5" ht="15" thickTop="1" x14ac:dyDescent="0.25">
      <c r="C17" s="168"/>
      <c r="D17" s="168"/>
      <c r="E17" s="113"/>
    </row>
    <row r="18" spans="2:5" ht="32.25" customHeight="1" x14ac:dyDescent="0.25">
      <c r="C18" s="303" t="s">
        <v>412</v>
      </c>
      <c r="D18" s="304"/>
      <c r="E18" s="305"/>
    </row>
    <row r="19" spans="2:5" x14ac:dyDescent="0.25">
      <c r="C19" s="168"/>
      <c r="D19" s="168"/>
      <c r="E19" s="113"/>
    </row>
    <row r="20" spans="2:5" x14ac:dyDescent="0.25">
      <c r="C20" s="169" t="s">
        <v>309</v>
      </c>
      <c r="D20" s="169" t="s">
        <v>222</v>
      </c>
      <c r="E20" s="169" t="s">
        <v>832</v>
      </c>
    </row>
    <row r="21" spans="2:5" ht="38.25" x14ac:dyDescent="0.25">
      <c r="C21" s="23" t="s">
        <v>223</v>
      </c>
      <c r="D21" s="170" t="s">
        <v>214</v>
      </c>
      <c r="E21" s="133" t="s">
        <v>834</v>
      </c>
    </row>
    <row r="22" spans="2:5" ht="38.25" x14ac:dyDescent="0.25">
      <c r="C22" s="23" t="s">
        <v>204</v>
      </c>
      <c r="D22" s="170" t="s">
        <v>215</v>
      </c>
      <c r="E22" s="133" t="s">
        <v>791</v>
      </c>
    </row>
    <row r="23" spans="2:5" ht="51" x14ac:dyDescent="0.25">
      <c r="C23" s="23" t="s">
        <v>205</v>
      </c>
      <c r="D23" s="170" t="s">
        <v>216</v>
      </c>
      <c r="E23" s="133" t="s">
        <v>792</v>
      </c>
    </row>
    <row r="24" spans="2:5" ht="38.25" x14ac:dyDescent="0.25">
      <c r="C24" s="23" t="s">
        <v>206</v>
      </c>
      <c r="D24" s="170" t="s">
        <v>217</v>
      </c>
      <c r="E24" s="133" t="s">
        <v>793</v>
      </c>
    </row>
    <row r="25" spans="2:5" ht="38.25" x14ac:dyDescent="0.25">
      <c r="C25" s="23" t="s">
        <v>211</v>
      </c>
      <c r="D25" s="170" t="s">
        <v>835</v>
      </c>
      <c r="E25" s="133" t="s">
        <v>794</v>
      </c>
    </row>
    <row r="26" spans="2:5" x14ac:dyDescent="0.25">
      <c r="C26" s="168"/>
      <c r="D26" s="168"/>
      <c r="E26" s="113"/>
    </row>
    <row r="27" spans="2:5" s="116" customFormat="1" ht="12.75" x14ac:dyDescent="0.25">
      <c r="C27" s="109"/>
      <c r="D27" s="109"/>
      <c r="E27" s="130"/>
    </row>
    <row r="28" spans="2:5" ht="15" x14ac:dyDescent="0.25">
      <c r="C28" s="168"/>
      <c r="D28" s="164" t="s">
        <v>222</v>
      </c>
      <c r="E28" s="175" t="s">
        <v>832</v>
      </c>
    </row>
    <row r="29" spans="2:5" ht="45" customHeight="1" x14ac:dyDescent="0.25">
      <c r="B29" s="172">
        <v>3</v>
      </c>
      <c r="C29" s="172" t="s">
        <v>138</v>
      </c>
      <c r="D29" s="132" t="s">
        <v>213</v>
      </c>
      <c r="E29" s="133"/>
    </row>
    <row r="30" spans="2:5" x14ac:dyDescent="0.25">
      <c r="C30" s="168"/>
      <c r="D30" s="168"/>
      <c r="E30" s="113"/>
    </row>
    <row r="31" spans="2:5" ht="32.25" customHeight="1" x14ac:dyDescent="0.25">
      <c r="C31" s="303" t="s">
        <v>413</v>
      </c>
      <c r="D31" s="304"/>
      <c r="E31" s="305"/>
    </row>
    <row r="32" spans="2:5" x14ac:dyDescent="0.25">
      <c r="C32" s="168"/>
      <c r="D32" s="168"/>
      <c r="E32" s="113"/>
    </row>
    <row r="33" spans="2:5" ht="15" x14ac:dyDescent="0.25">
      <c r="C33" s="169" t="s">
        <v>309</v>
      </c>
      <c r="D33" s="169" t="s">
        <v>222</v>
      </c>
      <c r="E33" s="169" t="s">
        <v>832</v>
      </c>
    </row>
    <row r="34" spans="2:5" ht="38.25" x14ac:dyDescent="0.25">
      <c r="C34" s="23" t="s">
        <v>223</v>
      </c>
      <c r="D34" s="170" t="s">
        <v>218</v>
      </c>
      <c r="E34" s="208"/>
    </row>
    <row r="35" spans="2:5" ht="38.25" x14ac:dyDescent="0.25">
      <c r="C35" s="23" t="s">
        <v>204</v>
      </c>
      <c r="D35" s="170" t="s">
        <v>219</v>
      </c>
      <c r="E35" s="208"/>
    </row>
    <row r="36" spans="2:5" ht="51" x14ac:dyDescent="0.25">
      <c r="C36" s="23" t="s">
        <v>205</v>
      </c>
      <c r="D36" s="170" t="s">
        <v>220</v>
      </c>
      <c r="E36" s="208"/>
    </row>
    <row r="37" spans="2:5" ht="38.25" x14ac:dyDescent="0.25">
      <c r="C37" s="23" t="s">
        <v>206</v>
      </c>
      <c r="D37" s="170" t="s">
        <v>221</v>
      </c>
      <c r="E37" s="208"/>
    </row>
    <row r="38" spans="2:5" x14ac:dyDescent="0.25">
      <c r="C38" s="23" t="s">
        <v>211</v>
      </c>
      <c r="D38" s="170" t="s">
        <v>316</v>
      </c>
      <c r="E38" s="173"/>
    </row>
    <row r="39" spans="2:5" x14ac:dyDescent="0.25">
      <c r="C39" s="168"/>
      <c r="D39" s="168"/>
      <c r="E39" s="113"/>
    </row>
    <row r="40" spans="2:5" s="116" customFormat="1" ht="12.75" x14ac:dyDescent="0.25">
      <c r="C40" s="109"/>
      <c r="D40" s="109"/>
      <c r="E40" s="130"/>
    </row>
    <row r="41" spans="2:5" ht="15" x14ac:dyDescent="0.25">
      <c r="C41" s="168"/>
      <c r="D41" s="164" t="s">
        <v>222</v>
      </c>
      <c r="E41" s="175" t="s">
        <v>832</v>
      </c>
    </row>
    <row r="42" spans="2:5" ht="45" customHeight="1" thickBot="1" x14ac:dyDescent="0.3">
      <c r="B42" s="166">
        <v>4</v>
      </c>
      <c r="C42" s="166" t="s">
        <v>51</v>
      </c>
      <c r="D42" s="132" t="s">
        <v>836</v>
      </c>
      <c r="E42" s="133"/>
    </row>
    <row r="43" spans="2:5" ht="15" thickTop="1" x14ac:dyDescent="0.25">
      <c r="C43" s="168"/>
      <c r="D43" s="168"/>
      <c r="E43" s="113"/>
    </row>
    <row r="44" spans="2:5" ht="32.25" customHeight="1" x14ac:dyDescent="0.25">
      <c r="C44" s="303" t="s">
        <v>414</v>
      </c>
      <c r="D44" s="304"/>
      <c r="E44" s="305"/>
    </row>
    <row r="45" spans="2:5" x14ac:dyDescent="0.25">
      <c r="C45" s="168"/>
      <c r="D45" s="168"/>
      <c r="E45" s="113"/>
    </row>
    <row r="46" spans="2:5" ht="15" x14ac:dyDescent="0.25">
      <c r="C46" s="169" t="s">
        <v>309</v>
      </c>
      <c r="D46" s="169" t="s">
        <v>222</v>
      </c>
      <c r="E46" s="169" t="s">
        <v>832</v>
      </c>
    </row>
    <row r="47" spans="2:5" x14ac:dyDescent="0.25">
      <c r="C47" s="23" t="s">
        <v>223</v>
      </c>
      <c r="D47" s="132" t="s">
        <v>328</v>
      </c>
      <c r="E47" s="171" t="s">
        <v>795</v>
      </c>
    </row>
    <row r="48" spans="2:5" ht="38.25" x14ac:dyDescent="0.25">
      <c r="C48" s="23" t="s">
        <v>204</v>
      </c>
      <c r="D48" s="132" t="s">
        <v>837</v>
      </c>
      <c r="E48" s="171" t="s">
        <v>324</v>
      </c>
    </row>
    <row r="49" spans="3:5" ht="25.5" x14ac:dyDescent="0.25">
      <c r="C49" s="23" t="s">
        <v>205</v>
      </c>
      <c r="D49" s="132" t="s">
        <v>322</v>
      </c>
      <c r="E49" s="171" t="s">
        <v>325</v>
      </c>
    </row>
    <row r="50" spans="3:5" ht="51" x14ac:dyDescent="0.25">
      <c r="C50" s="23" t="s">
        <v>206</v>
      </c>
      <c r="D50" s="132" t="s">
        <v>838</v>
      </c>
      <c r="E50" s="171" t="s">
        <v>326</v>
      </c>
    </row>
    <row r="51" spans="3:5" ht="25.5" x14ac:dyDescent="0.25">
      <c r="C51" s="23" t="s">
        <v>211</v>
      </c>
      <c r="D51" s="132" t="s">
        <v>839</v>
      </c>
      <c r="E51" s="171" t="s">
        <v>327</v>
      </c>
    </row>
    <row r="52" spans="3:5" x14ac:dyDescent="0.25">
      <c r="C52" s="168"/>
      <c r="D52" s="168"/>
      <c r="E52" s="113"/>
    </row>
    <row r="53" spans="3:5" x14ac:dyDescent="0.25">
      <c r="C53" s="168"/>
      <c r="D53" s="168"/>
      <c r="E53" s="113"/>
    </row>
    <row r="54" spans="3:5" x14ac:dyDescent="0.25">
      <c r="C54" s="168"/>
      <c r="D54" s="168"/>
      <c r="E54" s="113"/>
    </row>
    <row r="55" spans="3:5" x14ac:dyDescent="0.25">
      <c r="C55" s="168"/>
      <c r="D55" s="168"/>
      <c r="E55" s="113"/>
    </row>
    <row r="56" spans="3:5" x14ac:dyDescent="0.25">
      <c r="C56" s="168"/>
      <c r="D56" s="168"/>
      <c r="E56" s="113"/>
    </row>
    <row r="57" spans="3:5" x14ac:dyDescent="0.25">
      <c r="C57" s="168"/>
      <c r="D57" s="168"/>
      <c r="E57" s="113"/>
    </row>
    <row r="58" spans="3:5" x14ac:dyDescent="0.25">
      <c r="C58" s="168"/>
      <c r="D58" s="168"/>
      <c r="E58" s="113"/>
    </row>
    <row r="59" spans="3:5" x14ac:dyDescent="0.25">
      <c r="C59" s="168"/>
      <c r="D59" s="168"/>
      <c r="E59" s="113"/>
    </row>
    <row r="60" spans="3:5" x14ac:dyDescent="0.25">
      <c r="C60" s="168"/>
      <c r="D60" s="168"/>
      <c r="E60" s="113"/>
    </row>
    <row r="61" spans="3:5" x14ac:dyDescent="0.25">
      <c r="C61" s="168"/>
      <c r="D61" s="168"/>
      <c r="E61" s="113"/>
    </row>
    <row r="62" spans="3:5" x14ac:dyDescent="0.25">
      <c r="C62" s="168"/>
      <c r="D62" s="168"/>
      <c r="E62" s="113"/>
    </row>
    <row r="63" spans="3:5" x14ac:dyDescent="0.25">
      <c r="C63" s="168"/>
      <c r="D63" s="168"/>
      <c r="E63" s="113"/>
    </row>
    <row r="64" spans="3:5" x14ac:dyDescent="0.25">
      <c r="C64" s="168"/>
      <c r="D64" s="168"/>
      <c r="E64" s="113"/>
    </row>
    <row r="65" spans="3:5" x14ac:dyDescent="0.25">
      <c r="C65" s="168"/>
      <c r="D65" s="168"/>
      <c r="E65" s="113"/>
    </row>
    <row r="66" spans="3:5" x14ac:dyDescent="0.25">
      <c r="C66" s="168"/>
      <c r="D66" s="168"/>
      <c r="E66" s="113"/>
    </row>
    <row r="67" spans="3:5" x14ac:dyDescent="0.25">
      <c r="C67" s="168"/>
      <c r="D67" s="168"/>
      <c r="E67" s="113"/>
    </row>
    <row r="68" spans="3:5" x14ac:dyDescent="0.25">
      <c r="C68" s="168"/>
      <c r="D68" s="168"/>
      <c r="E68" s="113"/>
    </row>
    <row r="69" spans="3:5" x14ac:dyDescent="0.25">
      <c r="C69" s="168"/>
      <c r="D69" s="168"/>
      <c r="E69" s="113"/>
    </row>
    <row r="70" spans="3:5" x14ac:dyDescent="0.25">
      <c r="C70" s="168"/>
      <c r="D70" s="168"/>
      <c r="E70" s="113"/>
    </row>
  </sheetData>
  <sheetProtection sheet="1" insertRows="0" sort="0" autoFilter="0"/>
  <mergeCells count="4">
    <mergeCell ref="C5:E5"/>
    <mergeCell ref="C18:E18"/>
    <mergeCell ref="C31:E31"/>
    <mergeCell ref="C44:E44"/>
  </mergeCells>
  <pageMargins left="0.7" right="0.7" top="0.75" bottom="0.75" header="0.3" footer="0.3"/>
  <pageSetup orientation="portrait" r:id="rId1"/>
  <tableParts count="4">
    <tablePart r:id="rId2"/>
    <tablePart r:id="rId3"/>
    <tablePart r:id="rId4"/>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EB48D-930A-4BEC-A9BC-ABBFE295C7DD}">
  <sheetPr codeName="Sheet4">
    <tabColor rgb="FF0086BF"/>
  </sheetPr>
  <dimension ref="B1:G48"/>
  <sheetViews>
    <sheetView showGridLines="0" zoomScaleNormal="100" workbookViewId="0">
      <selection activeCell="B2" sqref="B2:B4"/>
    </sheetView>
  </sheetViews>
  <sheetFormatPr defaultRowHeight="15" x14ac:dyDescent="0.25"/>
  <cols>
    <col min="1" max="1" width="4.140625" customWidth="1"/>
    <col min="2" max="2" width="8.7109375" style="181" customWidth="1"/>
    <col min="3" max="3" width="41.140625" customWidth="1"/>
    <col min="4" max="4" width="38.7109375" customWidth="1"/>
    <col min="5" max="5" width="35.140625" customWidth="1"/>
    <col min="6" max="6" width="46.85546875" customWidth="1"/>
    <col min="7" max="7" width="33.42578125" customWidth="1"/>
  </cols>
  <sheetData>
    <row r="1" spans="2:7" s="2" customFormat="1" ht="12.75" x14ac:dyDescent="0.2">
      <c r="B1" s="111"/>
      <c r="D1" s="8"/>
    </row>
    <row r="2" spans="2:7" s="2" customFormat="1" ht="12.75" customHeight="1" x14ac:dyDescent="0.2">
      <c r="B2" s="306">
        <v>1</v>
      </c>
      <c r="C2" s="306" t="s">
        <v>225</v>
      </c>
      <c r="D2" s="176" t="s">
        <v>136</v>
      </c>
      <c r="E2" s="177"/>
    </row>
    <row r="3" spans="2:7" s="2" customFormat="1" ht="15" customHeight="1" x14ac:dyDescent="0.2">
      <c r="B3" s="307"/>
      <c r="C3" s="307"/>
      <c r="D3" s="176" t="s">
        <v>52</v>
      </c>
      <c r="E3" s="178"/>
    </row>
    <row r="4" spans="2:7" s="2" customFormat="1" ht="15" customHeight="1" x14ac:dyDescent="0.2">
      <c r="B4" s="308"/>
      <c r="C4" s="308"/>
      <c r="D4" s="176" t="s">
        <v>53</v>
      </c>
      <c r="E4" s="179"/>
    </row>
    <row r="5" spans="2:7" s="2" customFormat="1" ht="12.75" x14ac:dyDescent="0.2">
      <c r="B5" s="111"/>
      <c r="D5" s="8"/>
    </row>
    <row r="6" spans="2:7" s="2" customFormat="1" ht="12.75" x14ac:dyDescent="0.2">
      <c r="B6" s="3"/>
      <c r="C6" s="3"/>
      <c r="D6" s="4"/>
      <c r="E6" s="4"/>
      <c r="F6" s="4"/>
      <c r="G6" s="4"/>
    </row>
    <row r="7" spans="2:7" s="2" customFormat="1" ht="12.75" x14ac:dyDescent="0.2">
      <c r="B7" s="111"/>
      <c r="D7" s="8"/>
    </row>
    <row r="8" spans="2:7" s="2" customFormat="1" ht="15.75" x14ac:dyDescent="0.2">
      <c r="B8" s="180">
        <v>2</v>
      </c>
      <c r="C8" s="49" t="s">
        <v>47</v>
      </c>
      <c r="D8" s="311"/>
      <c r="E8" s="311"/>
      <c r="F8" s="311"/>
      <c r="G8" s="311"/>
    </row>
    <row r="9" spans="2:7" s="2" customFormat="1" ht="12.75" x14ac:dyDescent="0.2">
      <c r="B9" s="111"/>
    </row>
    <row r="10" spans="2:7" s="2" customFormat="1" x14ac:dyDescent="0.2">
      <c r="B10" s="111"/>
      <c r="C10" s="182" t="s">
        <v>5</v>
      </c>
      <c r="D10" s="183" t="s">
        <v>6</v>
      </c>
      <c r="E10" s="183" t="s">
        <v>137</v>
      </c>
      <c r="F10" s="184" t="s">
        <v>138</v>
      </c>
      <c r="G10" s="185" t="s">
        <v>51</v>
      </c>
    </row>
    <row r="11" spans="2:7" s="2" customFormat="1" ht="12.75" x14ac:dyDescent="0.2">
      <c r="B11" s="111"/>
      <c r="C11" s="186" t="s">
        <v>4</v>
      </c>
      <c r="D11" s="187" t="str">
        <f>IF(ISBLANK('1. Impact Criteria Survey '!E3),"",'1. Impact Criteria Survey '!E3)</f>
        <v/>
      </c>
      <c r="E11" s="187" t="str">
        <f>IF(ISBLANK('1. Impact Criteria Survey '!E16),"",'1. Impact Criteria Survey '!E16)</f>
        <v/>
      </c>
      <c r="F11" s="187" t="str">
        <f>IF(ISBLANK('1. Impact Criteria Survey '!E29),"",'1. Impact Criteria Survey '!E29)</f>
        <v/>
      </c>
      <c r="G11" s="188" t="str">
        <f>IF(ISBLANK('1. Impact Criteria Survey '!E42),"",'1. Impact Criteria Survey '!E42)</f>
        <v/>
      </c>
    </row>
    <row r="12" spans="2:7" s="2" customFormat="1" ht="12.75" x14ac:dyDescent="0.2">
      <c r="B12" s="111"/>
      <c r="C12" s="189" t="s">
        <v>199</v>
      </c>
      <c r="D12" s="162" t="str">
        <f>IF(ISBLANK('1. Impact Criteria Survey '!E8),"",'1. Impact Criteria Survey '!E8)</f>
        <v>The mission would remain intact.</v>
      </c>
      <c r="E12" s="162" t="str">
        <f>IF(ISBLANK('1. Impact Criteria Survey '!E21),"",'1. Impact Criteria Survey '!E21)</f>
        <v>Growth plan would be intact.</v>
      </c>
      <c r="F12" s="236" t="str">
        <f>IF(ISBLANK('1. Impact Criteria Survey '!E34),"",'1. Impact Criteria Survey '!E34)</f>
        <v/>
      </c>
      <c r="G12" s="163" t="str">
        <f>IF(ISBLANK('1. Impact Criteria Survey '!E47),"",'1. Impact Criteria Survey '!E47)</f>
        <v>No harm could foreseeably result.</v>
      </c>
    </row>
    <row r="13" spans="2:7" s="2" customFormat="1" ht="51" x14ac:dyDescent="0.2">
      <c r="B13" s="111"/>
      <c r="C13" s="189" t="s">
        <v>200</v>
      </c>
      <c r="D13" s="162" t="str">
        <f>IF(ISBLANK('1. Impact Criteria Survey '!E9),"",'1. Impact Criteria Survey '!E9)</f>
        <v>This mission would not be perfectly achieved, but could be recovered within normal operations.</v>
      </c>
      <c r="E13" s="162" t="str">
        <f>IF(ISBLANK('1. Impact Criteria Survey '!E22),"",'1. Impact Criteria Survey '!E22)</f>
        <v>Growth plan would be off target, but within variance.</v>
      </c>
      <c r="F13" s="236" t="str">
        <f>IF(ISBLANK('1. Impact Criteria Survey '!E35),"",'1. Impact Criteria Survey '!E35)</f>
        <v/>
      </c>
      <c r="G13" s="163" t="str">
        <f>IF(ISBLANK('1. Impact Criteria Survey '!E48),"",'1. Impact Criteria Survey '!E48)</f>
        <v>Any harm that could result would not require correction, repair, or compensation to make the harmed parties "whole."</v>
      </c>
    </row>
    <row r="14" spans="2:7" s="2" customFormat="1" ht="38.25" x14ac:dyDescent="0.2">
      <c r="B14" s="111"/>
      <c r="C14" s="189" t="s">
        <v>201</v>
      </c>
      <c r="D14" s="162" t="str">
        <f>IF(ISBLANK('1. Impact Criteria Survey '!E10),"",'1. Impact Criteria Survey '!E10)</f>
        <v>This mission would not be achieved, and would require short-term, unplanned efforts, resources, or investments to recover.</v>
      </c>
      <c r="E14" s="162" t="str">
        <f>IF(ISBLANK('1. Impact Criteria Survey '!E23),"",'1. Impact Criteria Survey '!E23)</f>
        <v>Growth plan would be out of variance, but can be recovered within a fiscal year.</v>
      </c>
      <c r="F14" s="236" t="str">
        <f>IF(ISBLANK('1. Impact Criteria Survey '!E36),"",'1. Impact Criteria Survey '!E36)</f>
        <v/>
      </c>
      <c r="G14" s="163" t="str">
        <f>IF(ISBLANK('1. Impact Criteria Survey '!E49),"",'1. Impact Criteria Survey '!E49)</f>
        <v>Correctible harm may occur to one or few others.</v>
      </c>
    </row>
    <row r="15" spans="2:7" s="2" customFormat="1" ht="51" x14ac:dyDescent="0.2">
      <c r="B15" s="111"/>
      <c r="C15" s="189" t="s">
        <v>202</v>
      </c>
      <c r="D15" s="162" t="str">
        <f>IF(ISBLANK('1. Impact Criteria Survey '!E11),"",'1. Impact Criteria Survey '!E11)</f>
        <v>This mission would not be achieved. If significant, unplanned efforts, resources, or investments are not made, the mission may not ever be achievable.</v>
      </c>
      <c r="E15" s="162" t="str">
        <f>IF(ISBLANK('1. Impact Criteria Survey '!E24),"",'1. Impact Criteria Survey '!E24)</f>
        <v>Growth plan would be out of variance, and may require multiple years to correct.</v>
      </c>
      <c r="F15" s="236" t="str">
        <f>IF(ISBLANK('1. Impact Criteria Survey '!E37),"",'1. Impact Criteria Survey '!E37)</f>
        <v/>
      </c>
      <c r="G15" s="163" t="str">
        <f>IF(ISBLANK('1. Impact Criteria Survey '!E50),"",'1. Impact Criteria Survey '!E50)</f>
        <v>Correctible harm may occur to many others, or harm that can be partially corrected for a few others may occur.</v>
      </c>
    </row>
    <row r="16" spans="2:7" s="2" customFormat="1" ht="25.5" x14ac:dyDescent="0.2">
      <c r="B16" s="111"/>
      <c r="C16" s="190" t="s">
        <v>203</v>
      </c>
      <c r="D16" s="237" t="str">
        <f>IF(ISBLANK('1. Impact Criteria Survey '!E12),"",'1. Impact Criteria Survey '!E12)</f>
        <v>The mission would not be achievable.</v>
      </c>
      <c r="E16" s="237" t="str">
        <f>IF(ISBLANK('1. Impact Criteria Survey '!E25),"",'1. Impact Criteria Survey '!E25)</f>
        <v>We would not be able to grow.</v>
      </c>
      <c r="F16" s="191" t="str">
        <f>IF(ISBLANK('1. Impact Criteria Survey '!E38),"",'1. Impact Criteria Survey '!E38)</f>
        <v/>
      </c>
      <c r="G16" s="192" t="str">
        <f>IF(ISBLANK('1. Impact Criteria Survey '!E51),"",'1. Impact Criteria Survey '!E51)</f>
        <v>We would not be able to protect others from any degree of harm.</v>
      </c>
    </row>
    <row r="17" spans="2:7" s="2" customFormat="1" ht="12.75" x14ac:dyDescent="0.2">
      <c r="B17" s="111"/>
      <c r="D17" s="8"/>
    </row>
    <row r="18" spans="2:7" s="2" customFormat="1" ht="12.75" x14ac:dyDescent="0.2">
      <c r="B18" s="3"/>
      <c r="C18" s="3"/>
      <c r="D18" s="4"/>
      <c r="E18" s="4"/>
      <c r="F18" s="4"/>
      <c r="G18" s="4"/>
    </row>
    <row r="19" spans="2:7" s="2" customFormat="1" ht="12.75" x14ac:dyDescent="0.2">
      <c r="B19" s="111"/>
      <c r="D19" s="8"/>
    </row>
    <row r="20" spans="2:7" s="2" customFormat="1" ht="15.75" x14ac:dyDescent="0.2">
      <c r="B20" s="180">
        <v>3</v>
      </c>
      <c r="C20" s="49" t="s">
        <v>801</v>
      </c>
      <c r="D20" s="312"/>
      <c r="E20" s="313"/>
    </row>
    <row r="21" spans="2:7" s="2" customFormat="1" x14ac:dyDescent="0.2">
      <c r="B21" s="111"/>
      <c r="C21" s="41"/>
      <c r="D21" s="50"/>
      <c r="E21" s="41"/>
    </row>
    <row r="22" spans="2:7" s="2" customFormat="1" ht="14.25" x14ac:dyDescent="0.2">
      <c r="B22" s="111"/>
      <c r="C22" s="193" t="s">
        <v>802</v>
      </c>
      <c r="D22" s="194" t="s">
        <v>803</v>
      </c>
      <c r="E22" s="195" t="s">
        <v>300</v>
      </c>
    </row>
    <row r="23" spans="2:7" s="2" customFormat="1" ht="25.5" x14ac:dyDescent="0.2">
      <c r="B23" s="111"/>
      <c r="C23" s="186">
        <v>1</v>
      </c>
      <c r="D23" s="35" t="s">
        <v>301</v>
      </c>
      <c r="E23" s="196" t="s">
        <v>840</v>
      </c>
    </row>
    <row r="24" spans="2:7" s="2" customFormat="1" ht="25.5" x14ac:dyDescent="0.2">
      <c r="B24" s="111"/>
      <c r="C24" s="186">
        <v>2</v>
      </c>
      <c r="D24" s="35" t="s">
        <v>302</v>
      </c>
      <c r="E24" s="196" t="s">
        <v>841</v>
      </c>
    </row>
    <row r="25" spans="2:7" s="2" customFormat="1" ht="25.5" x14ac:dyDescent="0.2">
      <c r="B25" s="111"/>
      <c r="C25" s="186">
        <v>3</v>
      </c>
      <c r="D25" s="35" t="s">
        <v>303</v>
      </c>
      <c r="E25" s="196" t="s">
        <v>842</v>
      </c>
    </row>
    <row r="26" spans="2:7" s="2" customFormat="1" ht="25.5" x14ac:dyDescent="0.2">
      <c r="B26" s="111"/>
      <c r="C26" s="186">
        <v>4</v>
      </c>
      <c r="D26" s="35" t="s">
        <v>304</v>
      </c>
      <c r="E26" s="196" t="s">
        <v>843</v>
      </c>
    </row>
    <row r="27" spans="2:7" s="2" customFormat="1" ht="25.5" x14ac:dyDescent="0.2">
      <c r="B27" s="111"/>
      <c r="C27" s="197">
        <v>5</v>
      </c>
      <c r="D27" s="214" t="s">
        <v>305</v>
      </c>
      <c r="E27" s="198" t="s">
        <v>844</v>
      </c>
    </row>
    <row r="28" spans="2:7" s="2" customFormat="1" ht="12.75" x14ac:dyDescent="0.2">
      <c r="B28" s="111"/>
      <c r="D28" s="8"/>
    </row>
    <row r="29" spans="2:7" s="2" customFormat="1" ht="12.75" x14ac:dyDescent="0.2">
      <c r="B29" s="3"/>
      <c r="C29" s="3"/>
      <c r="D29" s="4"/>
      <c r="E29" s="4"/>
      <c r="F29" s="4"/>
      <c r="G29" s="4"/>
    </row>
    <row r="30" spans="2:7" s="2" customFormat="1" ht="12.75" x14ac:dyDescent="0.2">
      <c r="B30" s="111"/>
      <c r="D30" s="8"/>
    </row>
    <row r="31" spans="2:7" s="2" customFormat="1" ht="15.75" x14ac:dyDescent="0.2">
      <c r="B31" s="180">
        <v>4</v>
      </c>
      <c r="C31" s="49" t="s">
        <v>8</v>
      </c>
      <c r="D31" s="314"/>
      <c r="E31" s="315"/>
    </row>
    <row r="32" spans="2:7" s="2" customFormat="1" ht="12.75" x14ac:dyDescent="0.2">
      <c r="B32" s="111"/>
      <c r="D32" s="6"/>
      <c r="E32" s="111"/>
    </row>
    <row r="33" spans="2:7" s="2" customFormat="1" ht="12.75" customHeight="1" x14ac:dyDescent="0.25">
      <c r="B33" s="111"/>
      <c r="C33" s="311" t="s">
        <v>845</v>
      </c>
      <c r="D33" s="215" t="s">
        <v>803</v>
      </c>
      <c r="E33" s="216" t="s">
        <v>306</v>
      </c>
    </row>
    <row r="34" spans="2:7" s="2" customFormat="1" ht="13.5" thickBot="1" x14ac:dyDescent="0.25">
      <c r="B34" s="111"/>
      <c r="C34" s="311"/>
      <c r="D34" s="134"/>
      <c r="E34" s="135"/>
    </row>
    <row r="35" spans="2:7" s="2" customFormat="1" ht="13.5" thickBot="1" x14ac:dyDescent="0.25">
      <c r="B35" s="111"/>
      <c r="C35" s="316"/>
      <c r="D35" s="45" t="s">
        <v>307</v>
      </c>
      <c r="E35" s="46">
        <f>D34*E34</f>
        <v>0</v>
      </c>
    </row>
    <row r="36" spans="2:7" s="2" customFormat="1" ht="12.75" x14ac:dyDescent="0.2">
      <c r="B36" s="111"/>
      <c r="D36" s="8"/>
    </row>
    <row r="37" spans="2:7" s="2" customFormat="1" ht="12.75" x14ac:dyDescent="0.2">
      <c r="B37" s="3"/>
      <c r="C37" s="3"/>
      <c r="D37" s="4"/>
      <c r="E37" s="4"/>
      <c r="F37" s="4"/>
      <c r="G37" s="4"/>
    </row>
    <row r="38" spans="2:7" s="2" customFormat="1" ht="12.75" x14ac:dyDescent="0.2">
      <c r="B38" s="111"/>
      <c r="D38" s="8"/>
    </row>
    <row r="39" spans="2:7" s="2" customFormat="1" ht="45" customHeight="1" x14ac:dyDescent="0.2">
      <c r="B39" s="180">
        <v>5</v>
      </c>
      <c r="C39" s="49" t="s">
        <v>55</v>
      </c>
      <c r="D39" s="309" t="s">
        <v>846</v>
      </c>
      <c r="E39" s="310"/>
      <c r="F39" s="310"/>
      <c r="G39" s="310"/>
    </row>
    <row r="40" spans="2:7" s="2" customFormat="1" ht="12.75" x14ac:dyDescent="0.2">
      <c r="B40" s="111"/>
      <c r="C40" s="6"/>
      <c r="D40" s="7"/>
      <c r="E40" s="7"/>
      <c r="F40" s="7"/>
    </row>
    <row r="41" spans="2:7" s="2" customFormat="1" x14ac:dyDescent="0.2">
      <c r="B41" s="111"/>
      <c r="C41" s="182" t="s">
        <v>50</v>
      </c>
      <c r="D41" s="183" t="s">
        <v>45</v>
      </c>
      <c r="E41" s="183" t="s">
        <v>139</v>
      </c>
      <c r="F41" s="184" t="s">
        <v>224</v>
      </c>
      <c r="G41" s="185" t="s">
        <v>46</v>
      </c>
    </row>
    <row r="42" spans="2:7" s="2" customFormat="1" ht="12.75" x14ac:dyDescent="0.2">
      <c r="B42" s="111"/>
      <c r="C42" s="199" t="s">
        <v>135</v>
      </c>
      <c r="D42" s="200" t="str">
        <f t="shared" ref="D42:D47" si="0">IF(MAX(D43:D47)=0,"",MAX(D43:D47))</f>
        <v/>
      </c>
      <c r="E42" s="200" t="str">
        <f>IF(MAX(E43:E47)=0,"",MAX(E43:E47))</f>
        <v/>
      </c>
      <c r="F42" s="200" t="str">
        <f>IF(MAX(F43:F47)=0,"",MAX(F43:F47))</f>
        <v/>
      </c>
      <c r="G42" s="201" t="str">
        <f>IF(MAX(G43:G47)=0,"",MAX(G43:G47))</f>
        <v/>
      </c>
    </row>
    <row r="43" spans="2:7" s="2" customFormat="1" ht="12.75" x14ac:dyDescent="0.2">
      <c r="B43" s="111"/>
      <c r="C43" s="189" t="s">
        <v>131</v>
      </c>
      <c r="D43" s="202" t="str">
        <f t="shared" si="0"/>
        <v/>
      </c>
      <c r="E43" s="202"/>
      <c r="F43" s="202"/>
      <c r="G43" s="203"/>
    </row>
    <row r="44" spans="2:7" s="2" customFormat="1" ht="12.75" x14ac:dyDescent="0.2">
      <c r="B44" s="111"/>
      <c r="C44" s="199" t="s">
        <v>132</v>
      </c>
      <c r="D44" s="204" t="str">
        <f t="shared" si="0"/>
        <v/>
      </c>
      <c r="E44" s="204"/>
      <c r="F44" s="204"/>
      <c r="G44" s="205"/>
    </row>
    <row r="45" spans="2:7" s="2" customFormat="1" ht="12.75" x14ac:dyDescent="0.2">
      <c r="B45" s="111"/>
      <c r="C45" s="189" t="s">
        <v>130</v>
      </c>
      <c r="D45" s="202" t="str">
        <f t="shared" si="0"/>
        <v/>
      </c>
      <c r="E45" s="202"/>
      <c r="F45" s="202"/>
      <c r="G45" s="203"/>
    </row>
    <row r="46" spans="2:7" s="2" customFormat="1" ht="12.75" x14ac:dyDescent="0.2">
      <c r="B46" s="111"/>
      <c r="C46" s="199" t="s">
        <v>133</v>
      </c>
      <c r="D46" s="204" t="str">
        <f t="shared" si="0"/>
        <v/>
      </c>
      <c r="E46" s="204"/>
      <c r="F46" s="204"/>
      <c r="G46" s="205"/>
    </row>
    <row r="47" spans="2:7" s="2" customFormat="1" ht="12.75" x14ac:dyDescent="0.2">
      <c r="B47" s="111"/>
      <c r="C47" s="190" t="s">
        <v>134</v>
      </c>
      <c r="D47" s="206" t="str">
        <f t="shared" si="0"/>
        <v/>
      </c>
      <c r="E47" s="206"/>
      <c r="F47" s="206"/>
      <c r="G47" s="207"/>
    </row>
    <row r="48" spans="2:7" s="2" customFormat="1" ht="12.75" x14ac:dyDescent="0.2">
      <c r="B48" s="111"/>
      <c r="D48" s="8"/>
    </row>
  </sheetData>
  <sheetProtection sheet="1" objects="1" scenarios="1"/>
  <mergeCells count="7">
    <mergeCell ref="B2:B4"/>
    <mergeCell ref="D39:G39"/>
    <mergeCell ref="C2:C4"/>
    <mergeCell ref="D8:G8"/>
    <mergeCell ref="D20:E20"/>
    <mergeCell ref="D31:E31"/>
    <mergeCell ref="C33:C35"/>
  </mergeCells>
  <dataValidations count="1">
    <dataValidation type="list" allowBlank="1" showInputMessage="1" showErrorMessage="1" sqref="D43:G47 D34:E34" xr:uid="{0B7FA91E-6D46-4E2A-9021-369148D97762}">
      <formula1>"1,2,3,4,5"</formula1>
    </dataValidation>
  </dataValidations>
  <pageMargins left="0.7" right="0.7" top="0.75" bottom="0.75" header="0.3" footer="0.3"/>
  <pageSetup orientation="portrait" r:id="rId1"/>
  <ignoredErrors>
    <ignoredError sqref="D11:D16 E11 G11" calculatedColumn="1"/>
  </ignoredErrors>
  <tableParts count="3">
    <tablePart r:id="rId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FCAE39-458F-4C4B-9AAA-F9002BC40E08}">
  <sheetPr codeName="Sheet16">
    <tabColor rgb="FF0086BF"/>
  </sheetPr>
  <dimension ref="B2:AN152"/>
  <sheetViews>
    <sheetView showGridLines="0" zoomScaleNormal="100" workbookViewId="0">
      <selection activeCell="B2" sqref="B2:B4"/>
    </sheetView>
  </sheetViews>
  <sheetFormatPr defaultColWidth="9.140625" defaultRowHeight="12.75" x14ac:dyDescent="0.2"/>
  <cols>
    <col min="1" max="1" width="9.140625" style="2"/>
    <col min="2" max="2" width="22.7109375" style="2" customWidth="1"/>
    <col min="3" max="3" width="22.85546875" style="2" customWidth="1"/>
    <col min="4" max="4" width="17" style="2" customWidth="1"/>
    <col min="5" max="5" width="30.28515625" style="8" customWidth="1"/>
    <col min="6" max="6" width="9.140625" style="8" customWidth="1"/>
    <col min="7" max="7" width="9.85546875" style="8" customWidth="1"/>
    <col min="8" max="10" width="20.5703125" style="8" customWidth="1"/>
    <col min="11" max="11" width="16.42578125" style="2" customWidth="1"/>
    <col min="12" max="18" width="13.28515625" style="2" customWidth="1"/>
    <col min="19" max="19" width="12.140625" style="2" customWidth="1"/>
    <col min="20" max="20" width="20.5703125" style="111" customWidth="1"/>
    <col min="21" max="21" width="26.42578125" style="2" customWidth="1"/>
    <col min="22" max="22" width="55.28515625" style="2" customWidth="1"/>
    <col min="23" max="23" width="44" style="2" customWidth="1"/>
    <col min="24" max="24" width="69.7109375" style="2" customWidth="1"/>
    <col min="25" max="25" width="18.140625" style="2" customWidth="1"/>
    <col min="26" max="26" width="20.42578125" style="2" customWidth="1"/>
    <col min="27" max="31" width="15.5703125" style="2" customWidth="1"/>
    <col min="32" max="34" width="19" style="2" customWidth="1"/>
    <col min="35" max="35" width="20.140625" style="2" customWidth="1"/>
    <col min="36" max="36" width="15.5703125" style="2" customWidth="1"/>
    <col min="37" max="37" width="14.140625" style="2" bestFit="1" customWidth="1"/>
    <col min="38" max="38" width="14.28515625" style="2" customWidth="1"/>
    <col min="39" max="39" width="13" style="2" customWidth="1"/>
    <col min="40" max="16384" width="9.140625" style="2"/>
  </cols>
  <sheetData>
    <row r="2" spans="2:40" x14ac:dyDescent="0.2">
      <c r="B2" s="323" t="s">
        <v>225</v>
      </c>
      <c r="C2" s="1" t="s">
        <v>136</v>
      </c>
      <c r="D2" s="326" t="str">
        <f>IF(ISBLANK('2. Enterprise Parameters'!E2),"",'2. Enterprise Parameters'!E2)</f>
        <v/>
      </c>
      <c r="E2" s="327"/>
      <c r="F2" s="64"/>
      <c r="G2" s="64"/>
      <c r="H2" s="64"/>
      <c r="I2" s="64"/>
      <c r="J2" s="64"/>
    </row>
    <row r="3" spans="2:40" x14ac:dyDescent="0.2">
      <c r="B3" s="324"/>
      <c r="C3" s="1" t="s">
        <v>52</v>
      </c>
      <c r="D3" s="326" t="str">
        <f>IF(ISBLANK('2. Enterprise Parameters'!E3),"",'2. Enterprise Parameters'!E3)</f>
        <v/>
      </c>
      <c r="E3" s="327"/>
      <c r="F3" s="64"/>
      <c r="G3" s="64"/>
      <c r="H3" s="64"/>
      <c r="I3" s="64"/>
      <c r="J3" s="64"/>
    </row>
    <row r="4" spans="2:40" ht="22.5" customHeight="1" x14ac:dyDescent="0.2">
      <c r="B4" s="325"/>
      <c r="C4" s="217" t="s">
        <v>53</v>
      </c>
      <c r="D4" s="328" t="str">
        <f>IF(ISBLANK('2. Enterprise Parameters'!E4),"",'2. Enterprise Parameters'!E4)</f>
        <v/>
      </c>
      <c r="E4" s="329"/>
      <c r="F4" s="128"/>
      <c r="G4" s="128"/>
      <c r="H4" s="128"/>
      <c r="I4" s="128"/>
      <c r="J4" s="128"/>
    </row>
    <row r="6" spans="2:40" x14ac:dyDescent="0.2">
      <c r="B6" s="3"/>
      <c r="C6" s="3"/>
      <c r="D6" s="3"/>
      <c r="E6" s="4"/>
      <c r="F6" s="4"/>
      <c r="G6" s="4"/>
      <c r="H6" s="4"/>
      <c r="I6" s="4"/>
      <c r="J6" s="4"/>
      <c r="K6" s="4"/>
      <c r="L6" s="4"/>
      <c r="M6" s="4"/>
      <c r="N6" s="4"/>
      <c r="O6" s="4"/>
      <c r="P6" s="4"/>
      <c r="Q6" s="4"/>
      <c r="R6" s="4"/>
      <c r="S6" s="4"/>
      <c r="T6" s="12"/>
      <c r="U6" s="4"/>
      <c r="V6" s="4"/>
      <c r="W6" s="4"/>
      <c r="X6" s="4"/>
      <c r="Y6" s="4"/>
      <c r="Z6" s="4"/>
      <c r="AA6" s="4"/>
      <c r="AB6" s="4"/>
      <c r="AC6" s="4"/>
      <c r="AD6" s="4"/>
      <c r="AE6" s="4"/>
      <c r="AF6" s="4"/>
      <c r="AG6" s="4"/>
      <c r="AH6" s="4"/>
      <c r="AI6" s="4"/>
      <c r="AJ6" s="4"/>
    </row>
    <row r="8" spans="2:40" s="41" customFormat="1" ht="15.75" x14ac:dyDescent="0.2">
      <c r="B8" s="218" t="s">
        <v>54</v>
      </c>
      <c r="C8" s="330" t="s">
        <v>182</v>
      </c>
      <c r="D8" s="330"/>
      <c r="E8" s="330"/>
      <c r="F8" s="330"/>
      <c r="G8" s="330"/>
      <c r="H8" s="330"/>
      <c r="I8" s="330"/>
      <c r="J8" s="330"/>
      <c r="K8" s="330"/>
      <c r="L8" s="330"/>
      <c r="M8" s="330"/>
      <c r="N8" s="330"/>
      <c r="O8" s="330"/>
      <c r="P8" s="330"/>
      <c r="Q8" s="330"/>
      <c r="R8" s="330"/>
      <c r="S8" s="330"/>
      <c r="T8" s="218" t="s">
        <v>54</v>
      </c>
      <c r="U8" s="320" t="s">
        <v>180</v>
      </c>
      <c r="V8" s="321"/>
      <c r="W8" s="321"/>
      <c r="X8" s="321"/>
      <c r="Y8" s="321"/>
      <c r="Z8" s="321"/>
      <c r="AA8" s="321"/>
      <c r="AB8" s="321"/>
      <c r="AC8" s="321"/>
      <c r="AD8" s="321"/>
      <c r="AE8" s="321"/>
      <c r="AF8" s="321"/>
      <c r="AG8" s="321"/>
      <c r="AH8" s="321"/>
      <c r="AI8" s="321"/>
      <c r="AJ8" s="322"/>
      <c r="AL8" s="317" t="s">
        <v>797</v>
      </c>
      <c r="AM8" s="318"/>
      <c r="AN8" s="319"/>
    </row>
    <row r="10" spans="2:40" s="11" customFormat="1" ht="63.75" x14ac:dyDescent="0.2">
      <c r="B10" s="9" t="s">
        <v>50</v>
      </c>
      <c r="C10" s="153" t="s">
        <v>329</v>
      </c>
      <c r="D10" s="9" t="s">
        <v>151</v>
      </c>
      <c r="E10" s="9" t="s">
        <v>152</v>
      </c>
      <c r="F10" s="9" t="s">
        <v>783</v>
      </c>
      <c r="G10" s="9" t="s">
        <v>784</v>
      </c>
      <c r="H10" s="9" t="s">
        <v>922</v>
      </c>
      <c r="I10" s="24" t="s">
        <v>811</v>
      </c>
      <c r="J10" s="153" t="s">
        <v>830</v>
      </c>
      <c r="K10" s="24" t="s">
        <v>804</v>
      </c>
      <c r="L10" s="24" t="s">
        <v>192</v>
      </c>
      <c r="M10" s="9" t="s">
        <v>48</v>
      </c>
      <c r="N10" s="9" t="s">
        <v>802</v>
      </c>
      <c r="O10" s="9" t="s">
        <v>0</v>
      </c>
      <c r="P10" s="9" t="s">
        <v>140</v>
      </c>
      <c r="Q10" s="9" t="s">
        <v>142</v>
      </c>
      <c r="R10" s="9" t="s">
        <v>1</v>
      </c>
      <c r="S10" s="9" t="s">
        <v>2</v>
      </c>
      <c r="T10" s="9" t="s">
        <v>3</v>
      </c>
      <c r="U10" s="5" t="s">
        <v>196</v>
      </c>
      <c r="V10" s="37" t="s">
        <v>56</v>
      </c>
      <c r="W10" s="37" t="s">
        <v>60</v>
      </c>
      <c r="X10" s="37" t="s">
        <v>61</v>
      </c>
      <c r="Y10" s="153" t="s">
        <v>153</v>
      </c>
      <c r="Z10" s="5" t="s">
        <v>193</v>
      </c>
      <c r="AA10" s="10" t="s">
        <v>806</v>
      </c>
      <c r="AB10" s="10" t="s">
        <v>62</v>
      </c>
      <c r="AC10" s="10" t="s">
        <v>141</v>
      </c>
      <c r="AD10" s="10" t="s">
        <v>796</v>
      </c>
      <c r="AE10" s="10" t="s">
        <v>63</v>
      </c>
      <c r="AF10" s="10" t="s">
        <v>65</v>
      </c>
      <c r="AG10" s="10" t="s">
        <v>181</v>
      </c>
      <c r="AH10" s="28" t="s">
        <v>64</v>
      </c>
      <c r="AI10" s="28" t="s">
        <v>147</v>
      </c>
      <c r="AJ10" s="28" t="s">
        <v>57</v>
      </c>
      <c r="AL10" s="12" t="s">
        <v>142</v>
      </c>
      <c r="AM10" s="12" t="s">
        <v>58</v>
      </c>
      <c r="AN10" s="12" t="s">
        <v>59</v>
      </c>
    </row>
    <row r="11" spans="2:40" ht="25.5" x14ac:dyDescent="0.2">
      <c r="B11" s="15" t="s">
        <v>132</v>
      </c>
      <c r="C11" s="15"/>
      <c r="D11" s="13">
        <v>2.1</v>
      </c>
      <c r="E11" s="14" t="s">
        <v>15</v>
      </c>
      <c r="F11" s="17" t="s">
        <v>785</v>
      </c>
      <c r="G11" s="17" t="s">
        <v>785</v>
      </c>
      <c r="H11" s="17" t="s">
        <v>926</v>
      </c>
      <c r="I11" s="147"/>
      <c r="J11" s="15"/>
      <c r="K11" s="15"/>
      <c r="L11" s="16"/>
      <c r="M11" s="26">
        <f>IFERROR(VLOOKUP(tblRiskRegister3234[[#This Row],[Asset Class]],tblVCDBIndex[],4,FALSE),"")</f>
        <v>2</v>
      </c>
      <c r="N11" s="26" t="str">
        <f>IFERROR(VLOOKUP(10*tblRiskRegister3234[[#This Row],[Safeguard Maturity Score]]+tblRiskRegister3234[[#This Row],[VCDB Index]],tblHITIndexWeightTable[],4,FALSE),"")</f>
        <v/>
      </c>
      <c r="O11" s="26" t="str">
        <f>VLOOKUP(tblRiskRegister3234[[#This Row],[Asset Class]],tblInherentImpacts30[],2,FALSE)</f>
        <v/>
      </c>
      <c r="P11" s="26">
        <f>VLOOKUP(tblRiskRegister3234[[#This Row],[Asset Class]],tblInherentImpacts30[],3,FALSE)</f>
        <v>0</v>
      </c>
      <c r="Q11" s="26">
        <f>VLOOKUP(tblRiskRegister3234[[#This Row],[Asset Class]],tblInherentImpacts30[],4,FALSE)</f>
        <v>0</v>
      </c>
      <c r="R11" s="26">
        <f>VLOOKUP(tblRiskRegister3234[[#This Row],[Asset Class]],tblInherentImpacts30[],5,FALSE)</f>
        <v>0</v>
      </c>
      <c r="S11" s="26" t="str">
        <f>IFERROR(MAX(tblRiskRegister3234[[#This Row],[Impact to Mission]:[Impact to Obligations]])*tblRiskRegister3234[[#This Row],[Expectancy Score]],"")</f>
        <v/>
      </c>
      <c r="T11" s="26" t="str">
        <f>tblRiskRegister3234[[#This Row],[Risk Score]]</f>
        <v/>
      </c>
      <c r="U11" s="100"/>
      <c r="V11" s="100">
        <v>2.1</v>
      </c>
      <c r="W11" s="15" t="s">
        <v>15</v>
      </c>
      <c r="X11" s="15" t="s">
        <v>155</v>
      </c>
      <c r="Y11" s="15"/>
      <c r="Z11" s="16"/>
      <c r="AA11" s="27" t="str">
        <f>IFERROR(VLOOKUP(10*tblRiskRegister3234[[#This Row],[Risk Treatment Safeguard Maturity Score]]+tblRiskRegister3234[[#This Row],[VCDB Index]],tblHITIndexWeightTable[],4,FALSE),"")</f>
        <v/>
      </c>
      <c r="AB11" s="138" t="str">
        <f>VLOOKUP(tblRiskRegister3234[[#This Row],[Asset Class]],tblInherentImpacts30[],2,FALSE)</f>
        <v/>
      </c>
      <c r="AC11" s="138">
        <f>VLOOKUP(tblRiskRegister3234[[#This Row],[Asset Class]],tblInherentImpacts30[],3,FALSE)</f>
        <v>0</v>
      </c>
      <c r="AD11" s="138">
        <f>VLOOKUP(tblRiskRegister3234[[#This Row],[Asset Class]],tblInherentImpacts30[],4,FALSE)</f>
        <v>0</v>
      </c>
      <c r="AE11" s="138">
        <f>VLOOKUP(tblRiskRegister3234[[#This Row],[Asset Class]],tblInherentImpacts30[],5,FALSE)</f>
        <v>0</v>
      </c>
      <c r="AF11" s="138" t="str">
        <f>IFERROR(MAX(tblRiskRegister3234[[#This Row],[Risk Treatment Safeguard Impact to Mission]:[Risk Treatment Safeguard Impact to Obligations]])*tblRiskRegister3234[[#This Row],[Risk Treatment
Safeguard Expectancy Score]],"")</f>
        <v/>
      </c>
      <c r="AG11" s="138" t="str">
        <f>IF(tblRiskRegister3234[[#This Row],[Risk Score]]&gt;AcceptableRisk,IF(tblRiskRegister3234[[#This Row],[Risk Treatment Safeguard Risk Score]]&lt;AcceptableRisk, IF(tblRiskRegister3234[[#This Row],[Risk Treatment Safeguard Risk Score]]&lt;=tblRiskRegister3234[[#This Row],[Risk Score]],"Yes","No"),"No"),"Yes")</f>
        <v>No</v>
      </c>
      <c r="AH11" s="18"/>
      <c r="AI11" s="18"/>
      <c r="AJ11" s="19"/>
      <c r="AL11" s="20">
        <f>SUMIF(tblRiskRegister3234[[#All],[Implementation Year]],"="&amp;tblCostImpacts3335[[#This Row],[Year]],tblRiskRegister3234[[#All],[Risk Treatment Safeguard Cost]])</f>
        <v>0</v>
      </c>
      <c r="AM11" s="6">
        <v>2021</v>
      </c>
      <c r="AN11" s="6" t="str">
        <f>IF(tblCostImpacts3335[[#This Row],[Impact to Financial Objectives]]&lt;='2. Enterprise Parameters'!$F$13,"Yes","No")</f>
        <v>Yes</v>
      </c>
    </row>
    <row r="12" spans="2:40" ht="51" x14ac:dyDescent="0.2">
      <c r="B12" s="15" t="s">
        <v>132</v>
      </c>
      <c r="C12" s="15"/>
      <c r="D12" s="13">
        <v>2.2000000000000002</v>
      </c>
      <c r="E12" s="14" t="s">
        <v>16</v>
      </c>
      <c r="F12" s="17" t="s">
        <v>785</v>
      </c>
      <c r="G12" s="17" t="s">
        <v>785</v>
      </c>
      <c r="H12" s="17" t="s">
        <v>926</v>
      </c>
      <c r="I12" s="147"/>
      <c r="J12" s="15"/>
      <c r="K12" s="15"/>
      <c r="L12" s="16"/>
      <c r="M12" s="26">
        <f>IFERROR(VLOOKUP(tblRiskRegister3234[[#This Row],[Asset Class]],tblVCDBIndex[],4,FALSE),"")</f>
        <v>2</v>
      </c>
      <c r="N12" s="26" t="str">
        <f>IFERROR(VLOOKUP(10*tblRiskRegister3234[[#This Row],[Safeguard Maturity Score]]+tblRiskRegister3234[[#This Row],[VCDB Index]],tblHITIndexWeightTable[],4,FALSE),"")</f>
        <v/>
      </c>
      <c r="O12" s="26" t="str">
        <f>VLOOKUP(tblRiskRegister3234[[#This Row],[Asset Class]],tblInherentImpacts30[],2,FALSE)</f>
        <v/>
      </c>
      <c r="P12" s="26">
        <f>VLOOKUP(tblRiskRegister3234[[#This Row],[Asset Class]],tblInherentImpacts30[],3,FALSE)</f>
        <v>0</v>
      </c>
      <c r="Q12" s="26">
        <f>VLOOKUP(tblRiskRegister3234[[#This Row],[Asset Class]],tblInherentImpacts30[],4,FALSE)</f>
        <v>0</v>
      </c>
      <c r="R12" s="26">
        <f>VLOOKUP(tblRiskRegister3234[[#This Row],[Asset Class]],tblInherentImpacts30[],5,FALSE)</f>
        <v>0</v>
      </c>
      <c r="S12" s="26" t="str">
        <f>IFERROR(MAX(tblRiskRegister3234[[#This Row],[Impact to Mission]:[Impact to Obligations]])*tblRiskRegister3234[[#This Row],[Expectancy Score]],"")</f>
        <v/>
      </c>
      <c r="T12" s="26" t="str">
        <f>tblRiskRegister3234[[#This Row],[Risk Score]]</f>
        <v/>
      </c>
      <c r="U12" s="100"/>
      <c r="V12" s="100">
        <v>2.2000000000000002</v>
      </c>
      <c r="W12" s="15" t="s">
        <v>16</v>
      </c>
      <c r="X12" s="15" t="s">
        <v>676</v>
      </c>
      <c r="Y12" s="15"/>
      <c r="Z12" s="16"/>
      <c r="AA12" s="27" t="str">
        <f>IFERROR(VLOOKUP(10*tblRiskRegister3234[[#This Row],[Risk Treatment Safeguard Maturity Score]]+tblRiskRegister3234[[#This Row],[VCDB Index]],tblHITIndexWeightTable[],4,FALSE),"")</f>
        <v/>
      </c>
      <c r="AB12" s="138" t="str">
        <f>VLOOKUP(tblRiskRegister3234[[#This Row],[Asset Class]],tblInherentImpacts30[],2,FALSE)</f>
        <v/>
      </c>
      <c r="AC12" s="138">
        <f>VLOOKUP(tblRiskRegister3234[[#This Row],[Asset Class]],tblInherentImpacts30[],3,FALSE)</f>
        <v>0</v>
      </c>
      <c r="AD12" s="138">
        <f>VLOOKUP(tblRiskRegister3234[[#This Row],[Asset Class]],tblInherentImpacts30[],4,FALSE)</f>
        <v>0</v>
      </c>
      <c r="AE12" s="138">
        <f>VLOOKUP(tblRiskRegister3234[[#This Row],[Asset Class]],tblInherentImpacts30[],5,FALSE)</f>
        <v>0</v>
      </c>
      <c r="AF12" s="138" t="str">
        <f>IFERROR(MAX(tblRiskRegister3234[[#This Row],[Risk Treatment Safeguard Impact to Mission]:[Risk Treatment Safeguard Impact to Obligations]])*tblRiskRegister3234[[#This Row],[Risk Treatment
Safeguard Expectancy Score]],"")</f>
        <v/>
      </c>
      <c r="AG12" s="138" t="str">
        <f>IF(tblRiskRegister3234[[#This Row],[Risk Score]]&gt;AcceptableRisk,IF(tblRiskRegister3234[[#This Row],[Risk Treatment Safeguard Risk Score]]&lt;AcceptableRisk, IF(tblRiskRegister3234[[#This Row],[Risk Treatment Safeguard Risk Score]]&lt;=tblRiskRegister3234[[#This Row],[Risk Score]],"Yes","No"),"No"),"Yes")</f>
        <v>No</v>
      </c>
      <c r="AH12" s="18"/>
      <c r="AI12" s="18"/>
      <c r="AJ12" s="19"/>
      <c r="AL12" s="20">
        <f>SUMIF(tblRiskRegister3234[[#All],[Implementation Year]],"="&amp;tblCostImpacts3335[[#This Row],[Year]],tblRiskRegister3234[[#All],[Risk Treatment Safeguard Cost]])</f>
        <v>0</v>
      </c>
      <c r="AM12" s="6">
        <v>2022</v>
      </c>
      <c r="AN12" s="6" t="str">
        <f>IF(tblCostImpacts3335[[#This Row],[Impact to Financial Objectives]]&lt;='2. Enterprise Parameters'!$F$13,"Yes","No")</f>
        <v>Yes</v>
      </c>
    </row>
    <row r="13" spans="2:40" ht="25.5" x14ac:dyDescent="0.2">
      <c r="B13" s="15" t="s">
        <v>132</v>
      </c>
      <c r="C13" s="15"/>
      <c r="D13" s="13">
        <v>2.2999999999999998</v>
      </c>
      <c r="E13" s="14" t="s">
        <v>581</v>
      </c>
      <c r="F13" s="17"/>
      <c r="G13" s="17" t="s">
        <v>785</v>
      </c>
      <c r="H13" s="17" t="s">
        <v>926</v>
      </c>
      <c r="I13" s="147"/>
      <c r="J13" s="15"/>
      <c r="K13" s="15"/>
      <c r="L13" s="16"/>
      <c r="M13" s="26">
        <f>IFERROR(VLOOKUP(tblRiskRegister3234[[#This Row],[Asset Class]],tblVCDBIndex[],4,FALSE),"")</f>
        <v>2</v>
      </c>
      <c r="N13" s="26" t="str">
        <f>IFERROR(VLOOKUP(10*tblRiskRegister3234[[#This Row],[Safeguard Maturity Score]]+tblRiskRegister3234[[#This Row],[VCDB Index]],tblHITIndexWeightTable[],4,FALSE),"")</f>
        <v/>
      </c>
      <c r="O13" s="26" t="str">
        <f>VLOOKUP(tblRiskRegister3234[[#This Row],[Asset Class]],tblInherentImpacts30[],2,FALSE)</f>
        <v/>
      </c>
      <c r="P13" s="26">
        <f>VLOOKUP(tblRiskRegister3234[[#This Row],[Asset Class]],tblInherentImpacts30[],3,FALSE)</f>
        <v>0</v>
      </c>
      <c r="Q13" s="26">
        <f>VLOOKUP(tblRiskRegister3234[[#This Row],[Asset Class]],tblInherentImpacts30[],4,FALSE)</f>
        <v>0</v>
      </c>
      <c r="R13" s="26">
        <f>VLOOKUP(tblRiskRegister3234[[#This Row],[Asset Class]],tblInherentImpacts30[],5,FALSE)</f>
        <v>0</v>
      </c>
      <c r="S13" s="26" t="str">
        <f>IFERROR(MAX(tblRiskRegister3234[[#This Row],[Impact to Mission]:[Impact to Obligations]])*tblRiskRegister3234[[#This Row],[Expectancy Score]],"")</f>
        <v/>
      </c>
      <c r="T13" s="26" t="str">
        <f>tblRiskRegister3234[[#This Row],[Risk Score]]</f>
        <v/>
      </c>
      <c r="U13" s="100"/>
      <c r="V13" s="100">
        <v>2.2999999999999998</v>
      </c>
      <c r="W13" s="15" t="s">
        <v>581</v>
      </c>
      <c r="X13" s="15" t="s">
        <v>677</v>
      </c>
      <c r="Y13" s="15"/>
      <c r="Z13" s="16"/>
      <c r="AA13" s="27" t="str">
        <f>IFERROR(VLOOKUP(10*tblRiskRegister3234[[#This Row],[Risk Treatment Safeguard Maturity Score]]+tblRiskRegister3234[[#This Row],[VCDB Index]],tblHITIndexWeightTable[],4,FALSE),"")</f>
        <v/>
      </c>
      <c r="AB13" s="138" t="str">
        <f>VLOOKUP(tblRiskRegister3234[[#This Row],[Asset Class]],tblInherentImpacts30[],2,FALSE)</f>
        <v/>
      </c>
      <c r="AC13" s="138">
        <f>VLOOKUP(tblRiskRegister3234[[#This Row],[Asset Class]],tblInherentImpacts30[],3,FALSE)</f>
        <v>0</v>
      </c>
      <c r="AD13" s="138">
        <f>VLOOKUP(tblRiskRegister3234[[#This Row],[Asset Class]],tblInherentImpacts30[],4,FALSE)</f>
        <v>0</v>
      </c>
      <c r="AE13" s="138">
        <f>VLOOKUP(tblRiskRegister3234[[#This Row],[Asset Class]],tblInherentImpacts30[],5,FALSE)</f>
        <v>0</v>
      </c>
      <c r="AF13" s="138" t="str">
        <f>IFERROR(MAX(tblRiskRegister3234[[#This Row],[Risk Treatment Safeguard Impact to Mission]:[Risk Treatment Safeguard Impact to Obligations]])*tblRiskRegister3234[[#This Row],[Risk Treatment
Safeguard Expectancy Score]],"")</f>
        <v/>
      </c>
      <c r="AG13" s="138" t="str">
        <f>IF(tblRiskRegister3234[[#This Row],[Risk Score]]&gt;AcceptableRisk,IF(tblRiskRegister3234[[#This Row],[Risk Treatment Safeguard Risk Score]]&lt;AcceptableRisk, IF(tblRiskRegister3234[[#This Row],[Risk Treatment Safeguard Risk Score]]&lt;=tblRiskRegister3234[[#This Row],[Risk Score]],"Yes","No"),"No"),"Yes")</f>
        <v>No</v>
      </c>
      <c r="AH13" s="18"/>
      <c r="AI13" s="18"/>
      <c r="AJ13" s="19"/>
      <c r="AL13" s="20">
        <f>SUMIF(tblRiskRegister3234[[#All],[Implementation Year]],"="&amp;tblCostImpacts3335[[#This Row],[Year]],tblRiskRegister3234[[#All],[Risk Treatment Safeguard Cost]])</f>
        <v>0</v>
      </c>
      <c r="AM13" s="6">
        <v>2023</v>
      </c>
      <c r="AN13" s="6" t="str">
        <f>IF(tblCostImpacts3335[[#This Row],[Impact to Financial Objectives]]&lt;='2. Enterprise Parameters'!$F$13,"Yes","No")</f>
        <v>Yes</v>
      </c>
    </row>
    <row r="14" spans="2:40" ht="38.25" x14ac:dyDescent="0.2">
      <c r="B14" s="15" t="s">
        <v>132</v>
      </c>
      <c r="C14" s="15"/>
      <c r="D14" s="13">
        <v>2.4</v>
      </c>
      <c r="E14" s="14" t="s">
        <v>582</v>
      </c>
      <c r="F14" s="17"/>
      <c r="G14" s="17" t="s">
        <v>785</v>
      </c>
      <c r="H14" s="17" t="s">
        <v>926</v>
      </c>
      <c r="I14" s="147"/>
      <c r="J14" s="15"/>
      <c r="K14" s="15"/>
      <c r="L14" s="16"/>
      <c r="M14" s="26">
        <f>IFERROR(VLOOKUP(tblRiskRegister3234[[#This Row],[Asset Class]],tblVCDBIndex[],4,FALSE),"")</f>
        <v>2</v>
      </c>
      <c r="N14" s="26" t="str">
        <f>IFERROR(VLOOKUP(10*tblRiskRegister3234[[#This Row],[Safeguard Maturity Score]]+tblRiskRegister3234[[#This Row],[VCDB Index]],tblHITIndexWeightTable[],4,FALSE),"")</f>
        <v/>
      </c>
      <c r="O14" s="26" t="str">
        <f>VLOOKUP(tblRiskRegister3234[[#This Row],[Asset Class]],tblInherentImpacts30[],2,FALSE)</f>
        <v/>
      </c>
      <c r="P14" s="26">
        <f>VLOOKUP(tblRiskRegister3234[[#This Row],[Asset Class]],tblInherentImpacts30[],3,FALSE)</f>
        <v>0</v>
      </c>
      <c r="Q14" s="26">
        <f>VLOOKUP(tblRiskRegister3234[[#This Row],[Asset Class]],tblInherentImpacts30[],4,FALSE)</f>
        <v>0</v>
      </c>
      <c r="R14" s="26">
        <f>VLOOKUP(tblRiskRegister3234[[#This Row],[Asset Class]],tblInherentImpacts30[],5,FALSE)</f>
        <v>0</v>
      </c>
      <c r="S14" s="26" t="str">
        <f>IFERROR(MAX(tblRiskRegister3234[[#This Row],[Impact to Mission]:[Impact to Obligations]])*tblRiskRegister3234[[#This Row],[Expectancy Score]],"")</f>
        <v/>
      </c>
      <c r="T14" s="26" t="str">
        <f>tblRiskRegister3234[[#This Row],[Risk Score]]</f>
        <v/>
      </c>
      <c r="U14" s="100"/>
      <c r="V14" s="100">
        <v>2.4</v>
      </c>
      <c r="W14" s="15" t="s">
        <v>582</v>
      </c>
      <c r="X14" s="15" t="s">
        <v>678</v>
      </c>
      <c r="Y14" s="15"/>
      <c r="Z14" s="16"/>
      <c r="AA14" s="27" t="str">
        <f>IFERROR(VLOOKUP(10*tblRiskRegister3234[[#This Row],[Risk Treatment Safeguard Maturity Score]]+tblRiskRegister3234[[#This Row],[VCDB Index]],tblHITIndexWeightTable[],4,FALSE),"")</f>
        <v/>
      </c>
      <c r="AB14" s="138" t="str">
        <f>VLOOKUP(tblRiskRegister3234[[#This Row],[Asset Class]],tblInherentImpacts30[],2,FALSE)</f>
        <v/>
      </c>
      <c r="AC14" s="138">
        <f>VLOOKUP(tblRiskRegister3234[[#This Row],[Asset Class]],tblInherentImpacts30[],3,FALSE)</f>
        <v>0</v>
      </c>
      <c r="AD14" s="138">
        <f>VLOOKUP(tblRiskRegister3234[[#This Row],[Asset Class]],tblInherentImpacts30[],4,FALSE)</f>
        <v>0</v>
      </c>
      <c r="AE14" s="138">
        <f>VLOOKUP(tblRiskRegister3234[[#This Row],[Asset Class]],tblInherentImpacts30[],5,FALSE)</f>
        <v>0</v>
      </c>
      <c r="AF14" s="138" t="str">
        <f>IFERROR(MAX(tblRiskRegister3234[[#This Row],[Risk Treatment Safeguard Impact to Mission]:[Risk Treatment Safeguard Impact to Obligations]])*tblRiskRegister3234[[#This Row],[Risk Treatment
Safeguard Expectancy Score]],"")</f>
        <v/>
      </c>
      <c r="AG14" s="138" t="str">
        <f>IF(tblRiskRegister3234[[#This Row],[Risk Score]]&gt;AcceptableRisk,IF(tblRiskRegister3234[[#This Row],[Risk Treatment Safeguard Risk Score]]&lt;AcceptableRisk, IF(tblRiskRegister3234[[#This Row],[Risk Treatment Safeguard Risk Score]]&lt;=tblRiskRegister3234[[#This Row],[Risk Score]],"Yes","No"),"No"),"Yes")</f>
        <v>No</v>
      </c>
      <c r="AH14" s="18"/>
      <c r="AI14" s="18"/>
      <c r="AJ14" s="19"/>
      <c r="AL14" s="20">
        <f>SUMIF(tblRiskRegister3234[[#All],[Implementation Year]],"="&amp;tblCostImpacts3335[[#This Row],[Year]],tblRiskRegister3234[[#All],[Risk Treatment Safeguard Cost]])</f>
        <v>0</v>
      </c>
      <c r="AM14" s="6">
        <v>2024</v>
      </c>
      <c r="AN14" s="6" t="str">
        <f>IF(tblCostImpacts3335[[#This Row],[Impact to Financial Objectives]]&lt;='2. Enterprise Parameters'!$F$13,"Yes","No")</f>
        <v>Yes</v>
      </c>
    </row>
    <row r="15" spans="2:40" ht="25.5" x14ac:dyDescent="0.2">
      <c r="B15" s="15" t="s">
        <v>132</v>
      </c>
      <c r="C15" s="15"/>
      <c r="D15" s="13">
        <v>2.6</v>
      </c>
      <c r="E15" s="14" t="s">
        <v>17</v>
      </c>
      <c r="F15" s="17" t="s">
        <v>785</v>
      </c>
      <c r="G15" s="17" t="s">
        <v>785</v>
      </c>
      <c r="H15" s="17" t="s">
        <v>927</v>
      </c>
      <c r="I15" s="147"/>
      <c r="J15" s="15"/>
      <c r="K15" s="15"/>
      <c r="L15" s="16"/>
      <c r="M15" s="26">
        <f>IFERROR(VLOOKUP(tblRiskRegister3234[[#This Row],[Asset Class]],tblVCDBIndex[],4,FALSE),"")</f>
        <v>2</v>
      </c>
      <c r="N15" s="26" t="str">
        <f>IFERROR(VLOOKUP(10*tblRiskRegister3234[[#This Row],[Safeguard Maturity Score]]+tblRiskRegister3234[[#This Row],[VCDB Index]],tblHITIndexWeightTable[],4,FALSE),"")</f>
        <v/>
      </c>
      <c r="O15" s="26" t="str">
        <f>VLOOKUP(tblRiskRegister3234[[#This Row],[Asset Class]],tblInherentImpacts30[],2,FALSE)</f>
        <v/>
      </c>
      <c r="P15" s="26">
        <f>VLOOKUP(tblRiskRegister3234[[#This Row],[Asset Class]],tblInherentImpacts30[],3,FALSE)</f>
        <v>0</v>
      </c>
      <c r="Q15" s="26">
        <f>VLOOKUP(tblRiskRegister3234[[#This Row],[Asset Class]],tblInherentImpacts30[],4,FALSE)</f>
        <v>0</v>
      </c>
      <c r="R15" s="26">
        <f>VLOOKUP(tblRiskRegister3234[[#This Row],[Asset Class]],tblInherentImpacts30[],5,FALSE)</f>
        <v>0</v>
      </c>
      <c r="S15" s="26" t="str">
        <f>IFERROR(MAX(tblRiskRegister3234[[#This Row],[Impact to Mission]:[Impact to Obligations]])*tblRiskRegister3234[[#This Row],[Expectancy Score]],"")</f>
        <v/>
      </c>
      <c r="T15" s="26" t="str">
        <f>tblRiskRegister3234[[#This Row],[Risk Score]]</f>
        <v/>
      </c>
      <c r="U15" s="100"/>
      <c r="V15" s="100">
        <v>2.6</v>
      </c>
      <c r="W15" s="15" t="s">
        <v>17</v>
      </c>
      <c r="X15" s="15" t="s">
        <v>156</v>
      </c>
      <c r="Y15" s="15"/>
      <c r="Z15" s="16"/>
      <c r="AA15" s="27" t="str">
        <f>IFERROR(VLOOKUP(10*tblRiskRegister3234[[#This Row],[Risk Treatment Safeguard Maturity Score]]+tblRiskRegister3234[[#This Row],[VCDB Index]],tblHITIndexWeightTable[],4,FALSE),"")</f>
        <v/>
      </c>
      <c r="AB15" s="138" t="str">
        <f>VLOOKUP(tblRiskRegister3234[[#This Row],[Asset Class]],tblInherentImpacts30[],2,FALSE)</f>
        <v/>
      </c>
      <c r="AC15" s="138">
        <f>VLOOKUP(tblRiskRegister3234[[#This Row],[Asset Class]],tblInherentImpacts30[],3,FALSE)</f>
        <v>0</v>
      </c>
      <c r="AD15" s="138">
        <f>VLOOKUP(tblRiskRegister3234[[#This Row],[Asset Class]],tblInherentImpacts30[],4,FALSE)</f>
        <v>0</v>
      </c>
      <c r="AE15" s="138">
        <f>VLOOKUP(tblRiskRegister3234[[#This Row],[Asset Class]],tblInherentImpacts30[],5,FALSE)</f>
        <v>0</v>
      </c>
      <c r="AF15" s="138" t="str">
        <f>IFERROR(MAX(tblRiskRegister3234[[#This Row],[Risk Treatment Safeguard Impact to Mission]:[Risk Treatment Safeguard Impact to Obligations]])*tblRiskRegister3234[[#This Row],[Risk Treatment
Safeguard Expectancy Score]],"")</f>
        <v/>
      </c>
      <c r="AG15" s="138" t="str">
        <f>IF(tblRiskRegister3234[[#This Row],[Risk Score]]&gt;AcceptableRisk,IF(tblRiskRegister3234[[#This Row],[Risk Treatment Safeguard Risk Score]]&lt;AcceptableRisk, IF(tblRiskRegister3234[[#This Row],[Risk Treatment Safeguard Risk Score]]&lt;=tblRiskRegister3234[[#This Row],[Risk Score]],"Yes","No"),"No"),"Yes")</f>
        <v>No</v>
      </c>
      <c r="AH15" s="18"/>
      <c r="AI15" s="18"/>
      <c r="AJ15" s="19"/>
      <c r="AL15" s="20">
        <f>SUMIF(tblRiskRegister3234[[#All],[Implementation Year]],"="&amp;tblCostImpacts3335[[#This Row],[Year]],tblRiskRegister3234[[#All],[Risk Treatment Safeguard Cost]])</f>
        <v>0</v>
      </c>
      <c r="AM15" s="6">
        <v>2025</v>
      </c>
      <c r="AN15" s="6" t="str">
        <f>IF(tblCostImpacts3335[[#This Row],[Impact to Financial Objectives]]&lt;='2. Enterprise Parameters'!$F$13,"Yes","No")</f>
        <v>Yes</v>
      </c>
    </row>
    <row r="16" spans="2:40" ht="51" x14ac:dyDescent="0.2">
      <c r="B16" s="15" t="s">
        <v>132</v>
      </c>
      <c r="C16" s="15"/>
      <c r="D16" s="13">
        <v>3.1</v>
      </c>
      <c r="E16" s="14" t="s">
        <v>583</v>
      </c>
      <c r="F16" s="17"/>
      <c r="G16" s="17" t="s">
        <v>785</v>
      </c>
      <c r="H16" s="17" t="s">
        <v>929</v>
      </c>
      <c r="I16" s="147"/>
      <c r="J16" s="15"/>
      <c r="K16" s="15"/>
      <c r="L16" s="16"/>
      <c r="M16" s="26">
        <f>IFERROR(VLOOKUP(tblRiskRegister3234[[#This Row],[Asset Class]],tblVCDBIndex[],4,FALSE),"")</f>
        <v>2</v>
      </c>
      <c r="N16" s="26" t="str">
        <f>IFERROR(VLOOKUP(10*tblRiskRegister3234[[#This Row],[Safeguard Maturity Score]]+tblRiskRegister3234[[#This Row],[VCDB Index]],tblHITIndexWeightTable[],4,FALSE),"")</f>
        <v/>
      </c>
      <c r="O16" s="26" t="str">
        <f>VLOOKUP(tblRiskRegister3234[[#This Row],[Asset Class]],tblInherentImpacts30[],2,FALSE)</f>
        <v/>
      </c>
      <c r="P16" s="26">
        <f>VLOOKUP(tblRiskRegister3234[[#This Row],[Asset Class]],tblInherentImpacts30[],3,FALSE)</f>
        <v>0</v>
      </c>
      <c r="Q16" s="26">
        <f>VLOOKUP(tblRiskRegister3234[[#This Row],[Asset Class]],tblInherentImpacts30[],4,FALSE)</f>
        <v>0</v>
      </c>
      <c r="R16" s="26">
        <f>VLOOKUP(tblRiskRegister3234[[#This Row],[Asset Class]],tblInherentImpacts30[],5,FALSE)</f>
        <v>0</v>
      </c>
      <c r="S16" s="26" t="str">
        <f>IFERROR(MAX(tblRiskRegister3234[[#This Row],[Impact to Mission]:[Impact to Obligations]])*tblRiskRegister3234[[#This Row],[Expectancy Score]],"")</f>
        <v/>
      </c>
      <c r="T16" s="26" t="str">
        <f>tblRiskRegister3234[[#This Row],[Risk Score]]</f>
        <v/>
      </c>
      <c r="U16" s="100"/>
      <c r="V16" s="100">
        <v>3.1</v>
      </c>
      <c r="W16" s="15" t="s">
        <v>583</v>
      </c>
      <c r="X16" s="15" t="s">
        <v>679</v>
      </c>
      <c r="Y16" s="15"/>
      <c r="Z16" s="16"/>
      <c r="AA16" s="27" t="str">
        <f>IFERROR(VLOOKUP(10*tblRiskRegister3234[[#This Row],[Risk Treatment Safeguard Maturity Score]]+tblRiskRegister3234[[#This Row],[VCDB Index]],tblHITIndexWeightTable[],4,FALSE),"")</f>
        <v/>
      </c>
      <c r="AB16" s="138" t="str">
        <f>VLOOKUP(tblRiskRegister3234[[#This Row],[Asset Class]],tblInherentImpacts30[],2,FALSE)</f>
        <v/>
      </c>
      <c r="AC16" s="138">
        <f>VLOOKUP(tblRiskRegister3234[[#This Row],[Asset Class]],tblInherentImpacts30[],3,FALSE)</f>
        <v>0</v>
      </c>
      <c r="AD16" s="138">
        <f>VLOOKUP(tblRiskRegister3234[[#This Row],[Asset Class]],tblInherentImpacts30[],4,FALSE)</f>
        <v>0</v>
      </c>
      <c r="AE16" s="138">
        <f>VLOOKUP(tblRiskRegister3234[[#This Row],[Asset Class]],tblInherentImpacts30[],5,FALSE)</f>
        <v>0</v>
      </c>
      <c r="AF16" s="138" t="str">
        <f>IFERROR(MAX(tblRiskRegister3234[[#This Row],[Risk Treatment Safeguard Impact to Mission]:[Risk Treatment Safeguard Impact to Obligations]])*tblRiskRegister3234[[#This Row],[Risk Treatment
Safeguard Expectancy Score]],"")</f>
        <v/>
      </c>
      <c r="AG16" s="138" t="str">
        <f>IF(tblRiskRegister3234[[#This Row],[Risk Score]]&gt;AcceptableRisk,IF(tblRiskRegister3234[[#This Row],[Risk Treatment Safeguard Risk Score]]&lt;AcceptableRisk, IF(tblRiskRegister3234[[#This Row],[Risk Treatment Safeguard Risk Score]]&lt;=tblRiskRegister3234[[#This Row],[Risk Score]],"Yes","No"),"No"),"Yes")</f>
        <v>No</v>
      </c>
      <c r="AH16" s="18"/>
      <c r="AI16" s="18"/>
      <c r="AJ16" s="19"/>
      <c r="AL16" s="20">
        <f>SUMIF(tblRiskRegister3234[[#All],[Implementation Year]],"="&amp;tblCostImpacts3335[[#This Row],[Year]],tblRiskRegister3234[[#All],[Risk Treatment Safeguard Cost]])</f>
        <v>0</v>
      </c>
      <c r="AM16" s="6">
        <v>2026</v>
      </c>
      <c r="AN16" s="6" t="str">
        <f>IF(tblCostImpacts3335[[#This Row],[Impact to Financial Objectives]]&lt;='2. Enterprise Parameters'!$F$13,"Yes","No")</f>
        <v>Yes</v>
      </c>
    </row>
    <row r="17" spans="2:40" ht="38.25" x14ac:dyDescent="0.2">
      <c r="B17" s="15" t="s">
        <v>132</v>
      </c>
      <c r="C17" s="15"/>
      <c r="D17" s="13">
        <v>3.2</v>
      </c>
      <c r="E17" s="14" t="s">
        <v>584</v>
      </c>
      <c r="F17" s="17"/>
      <c r="G17" s="17" t="s">
        <v>785</v>
      </c>
      <c r="H17" s="17" t="s">
        <v>929</v>
      </c>
      <c r="I17" s="147"/>
      <c r="J17" s="15"/>
      <c r="K17" s="15"/>
      <c r="L17" s="16"/>
      <c r="M17" s="26">
        <f>IFERROR(VLOOKUP(tblRiskRegister3234[[#This Row],[Asset Class]],tblVCDBIndex[],4,FALSE),"")</f>
        <v>2</v>
      </c>
      <c r="N17" s="26" t="str">
        <f>IFERROR(VLOOKUP(10*tblRiskRegister3234[[#This Row],[Safeguard Maturity Score]]+tblRiskRegister3234[[#This Row],[VCDB Index]],tblHITIndexWeightTable[],4,FALSE),"")</f>
        <v/>
      </c>
      <c r="O17" s="26" t="str">
        <f>VLOOKUP(tblRiskRegister3234[[#This Row],[Asset Class]],tblInherentImpacts30[],2,FALSE)</f>
        <v/>
      </c>
      <c r="P17" s="26">
        <f>VLOOKUP(tblRiskRegister3234[[#This Row],[Asset Class]],tblInherentImpacts30[],3,FALSE)</f>
        <v>0</v>
      </c>
      <c r="Q17" s="26">
        <f>VLOOKUP(tblRiskRegister3234[[#This Row],[Asset Class]],tblInherentImpacts30[],4,FALSE)</f>
        <v>0</v>
      </c>
      <c r="R17" s="26">
        <f>VLOOKUP(tblRiskRegister3234[[#This Row],[Asset Class]],tblInherentImpacts30[],5,FALSE)</f>
        <v>0</v>
      </c>
      <c r="S17" s="26" t="str">
        <f>IFERROR(MAX(tblRiskRegister3234[[#This Row],[Impact to Mission]:[Impact to Obligations]])*tblRiskRegister3234[[#This Row],[Expectancy Score]],"")</f>
        <v/>
      </c>
      <c r="T17" s="26" t="str">
        <f>tblRiskRegister3234[[#This Row],[Risk Score]]</f>
        <v/>
      </c>
      <c r="U17" s="100"/>
      <c r="V17" s="100">
        <v>3.2</v>
      </c>
      <c r="W17" s="15" t="s">
        <v>584</v>
      </c>
      <c r="X17" s="15" t="s">
        <v>680</v>
      </c>
      <c r="Y17" s="15"/>
      <c r="Z17" s="16"/>
      <c r="AA17" s="27" t="str">
        <f>IFERROR(VLOOKUP(10*tblRiskRegister3234[[#This Row],[Risk Treatment Safeguard Maturity Score]]+tblRiskRegister3234[[#This Row],[VCDB Index]],tblHITIndexWeightTable[],4,FALSE),"")</f>
        <v/>
      </c>
      <c r="AB17" s="138" t="str">
        <f>VLOOKUP(tblRiskRegister3234[[#This Row],[Asset Class]],tblInherentImpacts30[],2,FALSE)</f>
        <v/>
      </c>
      <c r="AC17" s="138">
        <f>VLOOKUP(tblRiskRegister3234[[#This Row],[Asset Class]],tblInherentImpacts30[],3,FALSE)</f>
        <v>0</v>
      </c>
      <c r="AD17" s="138">
        <f>VLOOKUP(tblRiskRegister3234[[#This Row],[Asset Class]],tblInherentImpacts30[],4,FALSE)</f>
        <v>0</v>
      </c>
      <c r="AE17" s="138">
        <f>VLOOKUP(tblRiskRegister3234[[#This Row],[Asset Class]],tblInherentImpacts30[],5,FALSE)</f>
        <v>0</v>
      </c>
      <c r="AF17" s="138" t="str">
        <f>IFERROR(MAX(tblRiskRegister3234[[#This Row],[Risk Treatment Safeguard Impact to Mission]:[Risk Treatment Safeguard Impact to Obligations]])*tblRiskRegister3234[[#This Row],[Risk Treatment
Safeguard Expectancy Score]],"")</f>
        <v/>
      </c>
      <c r="AG17" s="138" t="str">
        <f>IF(tblRiskRegister3234[[#This Row],[Risk Score]]&gt;AcceptableRisk,IF(tblRiskRegister3234[[#This Row],[Risk Treatment Safeguard Risk Score]]&lt;AcceptableRisk, IF(tblRiskRegister3234[[#This Row],[Risk Treatment Safeguard Risk Score]]&lt;=tblRiskRegister3234[[#This Row],[Risk Score]],"Yes","No"),"No"),"Yes")</f>
        <v>No</v>
      </c>
      <c r="AH17" s="18"/>
      <c r="AI17" s="18"/>
      <c r="AJ17" s="19"/>
      <c r="AL17" s="20">
        <f>SUMIF(tblRiskRegister3234[[#All],[Implementation Year]],"="&amp;tblCostImpacts3335[[#This Row],[Year]],tblRiskRegister3234[[#All],[Risk Treatment Safeguard Cost]])</f>
        <v>0</v>
      </c>
      <c r="AM17" s="6">
        <v>2027</v>
      </c>
      <c r="AN17" s="6" t="str">
        <f>IF(tblCostImpacts3335[[#This Row],[Impact to Financial Objectives]]&lt;='2. Enterprise Parameters'!$F$13,"Yes","No")</f>
        <v>Yes</v>
      </c>
    </row>
    <row r="18" spans="2:40" ht="38.25" x14ac:dyDescent="0.2">
      <c r="B18" s="15" t="s">
        <v>132</v>
      </c>
      <c r="C18" s="15"/>
      <c r="D18" s="13">
        <v>3.4</v>
      </c>
      <c r="E18" s="14" t="s">
        <v>18</v>
      </c>
      <c r="F18" s="17" t="s">
        <v>785</v>
      </c>
      <c r="G18" s="17" t="s">
        <v>785</v>
      </c>
      <c r="H18" s="17" t="s">
        <v>928</v>
      </c>
      <c r="I18" s="147"/>
      <c r="J18" s="15"/>
      <c r="K18" s="15"/>
      <c r="L18" s="16"/>
      <c r="M18" s="26">
        <f>IFERROR(VLOOKUP(tblRiskRegister3234[[#This Row],[Asset Class]],tblVCDBIndex[],4,FALSE),"")</f>
        <v>2</v>
      </c>
      <c r="N18" s="26" t="str">
        <f>IFERROR(VLOOKUP(10*tblRiskRegister3234[[#This Row],[Safeguard Maturity Score]]+tblRiskRegister3234[[#This Row],[VCDB Index]],tblHITIndexWeightTable[],4,FALSE),"")</f>
        <v/>
      </c>
      <c r="O18" s="26" t="str">
        <f>VLOOKUP(tblRiskRegister3234[[#This Row],[Asset Class]],tblInherentImpacts30[],2,FALSE)</f>
        <v/>
      </c>
      <c r="P18" s="26">
        <f>VLOOKUP(tblRiskRegister3234[[#This Row],[Asset Class]],tblInherentImpacts30[],3,FALSE)</f>
        <v>0</v>
      </c>
      <c r="Q18" s="26">
        <f>VLOOKUP(tblRiskRegister3234[[#This Row],[Asset Class]],tblInherentImpacts30[],4,FALSE)</f>
        <v>0</v>
      </c>
      <c r="R18" s="26">
        <f>VLOOKUP(tblRiskRegister3234[[#This Row],[Asset Class]],tblInherentImpacts30[],5,FALSE)</f>
        <v>0</v>
      </c>
      <c r="S18" s="26" t="str">
        <f>IFERROR(MAX(tblRiskRegister3234[[#This Row],[Impact to Mission]:[Impact to Obligations]])*tblRiskRegister3234[[#This Row],[Expectancy Score]],"")</f>
        <v/>
      </c>
      <c r="T18" s="26" t="str">
        <f>tblRiskRegister3234[[#This Row],[Risk Score]]</f>
        <v/>
      </c>
      <c r="U18" s="100"/>
      <c r="V18" s="100">
        <v>3.4</v>
      </c>
      <c r="W18" s="15" t="s">
        <v>18</v>
      </c>
      <c r="X18" s="15" t="s">
        <v>157</v>
      </c>
      <c r="Y18" s="15"/>
      <c r="Z18" s="16"/>
      <c r="AA18" s="27" t="str">
        <f>IFERROR(VLOOKUP(10*tblRiskRegister3234[[#This Row],[Risk Treatment Safeguard Maturity Score]]+tblRiskRegister3234[[#This Row],[VCDB Index]],tblHITIndexWeightTable[],4,FALSE),"")</f>
        <v/>
      </c>
      <c r="AB18" s="138" t="str">
        <f>VLOOKUP(tblRiskRegister3234[[#This Row],[Asset Class]],tblInherentImpacts30[],2,FALSE)</f>
        <v/>
      </c>
      <c r="AC18" s="138">
        <f>VLOOKUP(tblRiskRegister3234[[#This Row],[Asset Class]],tblInherentImpacts30[],3,FALSE)</f>
        <v>0</v>
      </c>
      <c r="AD18" s="138">
        <f>VLOOKUP(tblRiskRegister3234[[#This Row],[Asset Class]],tblInherentImpacts30[],4,FALSE)</f>
        <v>0</v>
      </c>
      <c r="AE18" s="138">
        <f>VLOOKUP(tblRiskRegister3234[[#This Row],[Asset Class]],tblInherentImpacts30[],5,FALSE)</f>
        <v>0</v>
      </c>
      <c r="AF18" s="138" t="str">
        <f>IFERROR(MAX(tblRiskRegister3234[[#This Row],[Risk Treatment Safeguard Impact to Mission]:[Risk Treatment Safeguard Impact to Obligations]])*tblRiskRegister3234[[#This Row],[Risk Treatment
Safeguard Expectancy Score]],"")</f>
        <v/>
      </c>
      <c r="AG18" s="138" t="str">
        <f>IF(tblRiskRegister3234[[#This Row],[Risk Score]]&gt;AcceptableRisk,IF(tblRiskRegister3234[[#This Row],[Risk Treatment Safeguard Risk Score]]&lt;AcceptableRisk, IF(tblRiskRegister3234[[#This Row],[Risk Treatment Safeguard Risk Score]]&lt;=tblRiskRegister3234[[#This Row],[Risk Score]],"Yes","No"),"No"),"Yes")</f>
        <v>No</v>
      </c>
      <c r="AH18" s="18"/>
      <c r="AI18" s="18"/>
      <c r="AJ18" s="19"/>
      <c r="AL18" s="20">
        <f>SUMIF(tblRiskRegister3234[[#All],[Implementation Year]],"="&amp;tblCostImpacts3335[[#This Row],[Year]],tblRiskRegister3234[[#All],[Risk Treatment Safeguard Cost]])</f>
        <v>0</v>
      </c>
      <c r="AM18" s="6">
        <v>2028</v>
      </c>
      <c r="AN18" s="6" t="str">
        <f>IF(tblCostImpacts3335[[#This Row],[Impact to Financial Objectives]]&lt;='2. Enterprise Parameters'!$F$13,"Yes","No")</f>
        <v>Yes</v>
      </c>
    </row>
    <row r="19" spans="2:40" ht="38.25" x14ac:dyDescent="0.2">
      <c r="B19" s="44" t="s">
        <v>132</v>
      </c>
      <c r="C19" s="44"/>
      <c r="D19" s="13">
        <v>3.5</v>
      </c>
      <c r="E19" s="14" t="s">
        <v>19</v>
      </c>
      <c r="F19" s="17" t="s">
        <v>785</v>
      </c>
      <c r="G19" s="17" t="s">
        <v>785</v>
      </c>
      <c r="H19" s="17" t="s">
        <v>928</v>
      </c>
      <c r="I19" s="147"/>
      <c r="J19" s="15"/>
      <c r="K19" s="15"/>
      <c r="L19" s="16"/>
      <c r="M19" s="26">
        <f>IFERROR(VLOOKUP(tblRiskRegister3234[[#This Row],[Asset Class]],tblVCDBIndex[],4,FALSE),"")</f>
        <v>2</v>
      </c>
      <c r="N19" s="29" t="str">
        <f>IFERROR(VLOOKUP(10*tblRiskRegister3234[[#This Row],[Safeguard Maturity Score]]+tblRiskRegister3234[[#This Row],[VCDB Index]],tblHITIndexWeightTable[],4,FALSE),"")</f>
        <v/>
      </c>
      <c r="O19" s="29" t="str">
        <f>VLOOKUP(tblRiskRegister3234[[#This Row],[Asset Class]],tblInherentImpacts30[],2,FALSE)</f>
        <v/>
      </c>
      <c r="P19" s="29">
        <f>VLOOKUP(tblRiskRegister3234[[#This Row],[Asset Class]],tblInherentImpacts30[],3,FALSE)</f>
        <v>0</v>
      </c>
      <c r="Q19" s="29">
        <f>VLOOKUP(tblRiskRegister3234[[#This Row],[Asset Class]],tblInherentImpacts30[],4,FALSE)</f>
        <v>0</v>
      </c>
      <c r="R19" s="29">
        <f>VLOOKUP(tblRiskRegister3234[[#This Row],[Asset Class]],tblInherentImpacts30[],5,FALSE)</f>
        <v>0</v>
      </c>
      <c r="S19" s="29" t="str">
        <f>IFERROR(MAX(tblRiskRegister3234[[#This Row],[Impact to Mission]:[Impact to Obligations]])*tblRiskRegister3234[[#This Row],[Expectancy Score]],"")</f>
        <v/>
      </c>
      <c r="T19" s="29" t="str">
        <f>tblRiskRegister3234[[#This Row],[Risk Score]]</f>
        <v/>
      </c>
      <c r="U19" s="100"/>
      <c r="V19" s="112">
        <v>3.5</v>
      </c>
      <c r="W19" s="44" t="s">
        <v>19</v>
      </c>
      <c r="X19" s="44" t="s">
        <v>158</v>
      </c>
      <c r="Y19" s="30"/>
      <c r="Z19" s="16"/>
      <c r="AA19" s="27" t="str">
        <f>IFERROR(VLOOKUP(10*tblRiskRegister3234[[#This Row],[Risk Treatment Safeguard Maturity Score]]+tblRiskRegister3234[[#This Row],[VCDB Index]],tblHITIndexWeightTable[],4,FALSE),"")</f>
        <v/>
      </c>
      <c r="AB19" s="138" t="str">
        <f>VLOOKUP(tblRiskRegister3234[[#This Row],[Asset Class]],tblInherentImpacts30[],2,FALSE)</f>
        <v/>
      </c>
      <c r="AC19" s="138">
        <f>VLOOKUP(tblRiskRegister3234[[#This Row],[Asset Class]],tblInherentImpacts30[],3,FALSE)</f>
        <v>0</v>
      </c>
      <c r="AD19" s="138">
        <f>VLOOKUP(tblRiskRegister3234[[#This Row],[Asset Class]],tblInherentImpacts30[],4,FALSE)</f>
        <v>0</v>
      </c>
      <c r="AE19" s="138">
        <f>VLOOKUP(tblRiskRegister3234[[#This Row],[Asset Class]],tblInherentImpacts30[],5,FALSE)</f>
        <v>0</v>
      </c>
      <c r="AF19" s="138" t="str">
        <f>IFERROR(MAX(tblRiskRegister3234[[#This Row],[Risk Treatment Safeguard Impact to Mission]:[Risk Treatment Safeguard Impact to Obligations]])*tblRiskRegister3234[[#This Row],[Risk Treatment
Safeguard Expectancy Score]],"")</f>
        <v/>
      </c>
      <c r="AG19" s="138" t="str">
        <f>IF(tblRiskRegister3234[[#This Row],[Risk Score]]&gt;AcceptableRisk,IF(tblRiskRegister3234[[#This Row],[Risk Treatment Safeguard Risk Score]]&lt;AcceptableRisk, IF(tblRiskRegister3234[[#This Row],[Risk Treatment Safeguard Risk Score]]&lt;=tblRiskRegister3234[[#This Row],[Risk Score]],"Yes","No"),"No"),"Yes")</f>
        <v>No</v>
      </c>
      <c r="AH19" s="18"/>
      <c r="AI19" s="18"/>
      <c r="AJ19" s="19"/>
      <c r="AL19" s="20">
        <f>SUMIF(tblRiskRegister3234[[#All],[Implementation Year]],"="&amp;tblCostImpacts3335[[#This Row],[Year]],tblRiskRegister3234[[#All],[Risk Treatment Safeguard Cost]])</f>
        <v>0</v>
      </c>
      <c r="AM19" s="6">
        <v>2029</v>
      </c>
      <c r="AN19" s="6" t="str">
        <f>IF(tblCostImpacts3335[[#This Row],[Impact to Financial Objectives]]&lt;='2. Enterprise Parameters'!$F$13,"Yes","No")</f>
        <v>Yes</v>
      </c>
    </row>
    <row r="20" spans="2:40" ht="25.5" x14ac:dyDescent="0.2">
      <c r="B20" s="15" t="s">
        <v>132</v>
      </c>
      <c r="C20" s="15"/>
      <c r="D20" s="13">
        <v>3.6</v>
      </c>
      <c r="E20" s="14" t="s">
        <v>586</v>
      </c>
      <c r="F20" s="17"/>
      <c r="G20" s="17" t="s">
        <v>785</v>
      </c>
      <c r="H20" s="17" t="s">
        <v>927</v>
      </c>
      <c r="I20" s="147"/>
      <c r="J20" s="15"/>
      <c r="K20" s="15"/>
      <c r="L20" s="16"/>
      <c r="M20" s="26">
        <f>IFERROR(VLOOKUP(tblRiskRegister3234[[#This Row],[Asset Class]],tblVCDBIndex[],4,FALSE),"")</f>
        <v>2</v>
      </c>
      <c r="N20" s="26" t="str">
        <f>IFERROR(VLOOKUP(10*tblRiskRegister3234[[#This Row],[Safeguard Maturity Score]]+tblRiskRegister3234[[#This Row],[VCDB Index]],tblHITIndexWeightTable[],4,FALSE),"")</f>
        <v/>
      </c>
      <c r="O20" s="26" t="str">
        <f>VLOOKUP(tblRiskRegister3234[[#This Row],[Asset Class]],tblInherentImpacts30[],2,FALSE)</f>
        <v/>
      </c>
      <c r="P20" s="26">
        <f>VLOOKUP(tblRiskRegister3234[[#This Row],[Asset Class]],tblInherentImpacts30[],3,FALSE)</f>
        <v>0</v>
      </c>
      <c r="Q20" s="26">
        <f>VLOOKUP(tblRiskRegister3234[[#This Row],[Asset Class]],tblInherentImpacts30[],4,FALSE)</f>
        <v>0</v>
      </c>
      <c r="R20" s="26">
        <f>VLOOKUP(tblRiskRegister3234[[#This Row],[Asset Class]],tblInherentImpacts30[],5,FALSE)</f>
        <v>0</v>
      </c>
      <c r="S20" s="26" t="str">
        <f>IFERROR(MAX(tblRiskRegister3234[[#This Row],[Impact to Mission]:[Impact to Obligations]])*tblRiskRegister3234[[#This Row],[Expectancy Score]],"")</f>
        <v/>
      </c>
      <c r="T20" s="26" t="str">
        <f>tblRiskRegister3234[[#This Row],[Risk Score]]</f>
        <v/>
      </c>
      <c r="U20" s="100"/>
      <c r="V20" s="100">
        <v>3.6</v>
      </c>
      <c r="W20" s="15" t="s">
        <v>586</v>
      </c>
      <c r="X20" s="15" t="s">
        <v>682</v>
      </c>
      <c r="Y20" s="15"/>
      <c r="Z20" s="16"/>
      <c r="AA20" s="27" t="str">
        <f>IFERROR(VLOOKUP(10*tblRiskRegister3234[[#This Row],[Risk Treatment Safeguard Maturity Score]]+tblRiskRegister3234[[#This Row],[VCDB Index]],tblHITIndexWeightTable[],4,FALSE),"")</f>
        <v/>
      </c>
      <c r="AB20" s="138" t="str">
        <f>VLOOKUP(tblRiskRegister3234[[#This Row],[Asset Class]],tblInherentImpacts30[],2,FALSE)</f>
        <v/>
      </c>
      <c r="AC20" s="138">
        <f>VLOOKUP(tblRiskRegister3234[[#This Row],[Asset Class]],tblInherentImpacts30[],3,FALSE)</f>
        <v>0</v>
      </c>
      <c r="AD20" s="138">
        <f>VLOOKUP(tblRiskRegister3234[[#This Row],[Asset Class]],tblInherentImpacts30[],4,FALSE)</f>
        <v>0</v>
      </c>
      <c r="AE20" s="138">
        <f>VLOOKUP(tblRiskRegister3234[[#This Row],[Asset Class]],tblInherentImpacts30[],5,FALSE)</f>
        <v>0</v>
      </c>
      <c r="AF20" s="138" t="str">
        <f>IFERROR(MAX(tblRiskRegister3234[[#This Row],[Risk Treatment Safeguard Impact to Mission]:[Risk Treatment Safeguard Impact to Obligations]])*tblRiskRegister3234[[#This Row],[Risk Treatment
Safeguard Expectancy Score]],"")</f>
        <v/>
      </c>
      <c r="AG20" s="138" t="str">
        <f>IF(tblRiskRegister3234[[#This Row],[Risk Score]]&gt;AcceptableRisk,IF(tblRiskRegister3234[[#This Row],[Risk Treatment Safeguard Risk Score]]&lt;AcceptableRisk, IF(tblRiskRegister3234[[#This Row],[Risk Treatment Safeguard Risk Score]]&lt;=tblRiskRegister3234[[#This Row],[Risk Score]],"Yes","No"),"No"),"Yes")</f>
        <v>No</v>
      </c>
      <c r="AH20" s="18"/>
      <c r="AI20" s="18"/>
      <c r="AJ20" s="19"/>
      <c r="AL20" s="20">
        <f>SUMIF(tblRiskRegister3234[[#All],[Implementation Year]],"="&amp;tblCostImpacts3335[[#This Row],[Year]],tblRiskRegister3234[[#All],[Risk Treatment Safeguard Cost]])</f>
        <v>0</v>
      </c>
      <c r="AM20" s="6">
        <v>2030</v>
      </c>
      <c r="AN20" s="6" t="str">
        <f>IF(tblCostImpacts3335[[#This Row],[Impact to Financial Objectives]]&lt;='2. Enterprise Parameters'!$F$13,"Yes","No")</f>
        <v>Yes</v>
      </c>
    </row>
    <row r="21" spans="2:40" ht="25.5" x14ac:dyDescent="0.2">
      <c r="B21" s="15" t="s">
        <v>132</v>
      </c>
      <c r="C21" s="15"/>
      <c r="D21" s="13">
        <v>3.7</v>
      </c>
      <c r="E21" s="14" t="s">
        <v>587</v>
      </c>
      <c r="F21" s="17"/>
      <c r="G21" s="17" t="s">
        <v>785</v>
      </c>
      <c r="H21" s="17" t="s">
        <v>927</v>
      </c>
      <c r="I21" s="147"/>
      <c r="J21" s="15"/>
      <c r="K21" s="15"/>
      <c r="L21" s="16"/>
      <c r="M21" s="26">
        <f>IFERROR(VLOOKUP(tblRiskRegister3234[[#This Row],[Asset Class]],tblVCDBIndex[],4,FALSE),"")</f>
        <v>2</v>
      </c>
      <c r="N21" s="26" t="str">
        <f>IFERROR(VLOOKUP(10*tblRiskRegister3234[[#This Row],[Safeguard Maturity Score]]+tblRiskRegister3234[[#This Row],[VCDB Index]],tblHITIndexWeightTable[],4,FALSE),"")</f>
        <v/>
      </c>
      <c r="O21" s="26" t="str">
        <f>VLOOKUP(tblRiskRegister3234[[#This Row],[Asset Class]],tblInherentImpacts30[],2,FALSE)</f>
        <v/>
      </c>
      <c r="P21" s="26">
        <f>VLOOKUP(tblRiskRegister3234[[#This Row],[Asset Class]],tblInherentImpacts30[],3,FALSE)</f>
        <v>0</v>
      </c>
      <c r="Q21" s="26">
        <f>VLOOKUP(tblRiskRegister3234[[#This Row],[Asset Class]],tblInherentImpacts30[],4,FALSE)</f>
        <v>0</v>
      </c>
      <c r="R21" s="26">
        <f>VLOOKUP(tblRiskRegister3234[[#This Row],[Asset Class]],tblInherentImpacts30[],5,FALSE)</f>
        <v>0</v>
      </c>
      <c r="S21" s="26" t="str">
        <f>IFERROR(MAX(tblRiskRegister3234[[#This Row],[Impact to Mission]:[Impact to Obligations]])*tblRiskRegister3234[[#This Row],[Expectancy Score]],"")</f>
        <v/>
      </c>
      <c r="T21" s="26" t="str">
        <f>tblRiskRegister3234[[#This Row],[Risk Score]]</f>
        <v/>
      </c>
      <c r="U21" s="100"/>
      <c r="V21" s="100">
        <v>3.7</v>
      </c>
      <c r="W21" s="15" t="s">
        <v>587</v>
      </c>
      <c r="X21" s="15" t="s">
        <v>683</v>
      </c>
      <c r="Y21" s="15"/>
      <c r="Z21" s="16"/>
      <c r="AA21" s="27" t="str">
        <f>IFERROR(VLOOKUP(10*tblRiskRegister3234[[#This Row],[Risk Treatment Safeguard Maturity Score]]+tblRiskRegister3234[[#This Row],[VCDB Index]],tblHITIndexWeightTable[],4,FALSE),"")</f>
        <v/>
      </c>
      <c r="AB21" s="138" t="str">
        <f>VLOOKUP(tblRiskRegister3234[[#This Row],[Asset Class]],tblInherentImpacts30[],2,FALSE)</f>
        <v/>
      </c>
      <c r="AC21" s="138">
        <f>VLOOKUP(tblRiskRegister3234[[#This Row],[Asset Class]],tblInherentImpacts30[],3,FALSE)</f>
        <v>0</v>
      </c>
      <c r="AD21" s="138">
        <f>VLOOKUP(tblRiskRegister3234[[#This Row],[Asset Class]],tblInherentImpacts30[],4,FALSE)</f>
        <v>0</v>
      </c>
      <c r="AE21" s="138">
        <f>VLOOKUP(tblRiskRegister3234[[#This Row],[Asset Class]],tblInherentImpacts30[],5,FALSE)</f>
        <v>0</v>
      </c>
      <c r="AF21" s="138" t="str">
        <f>IFERROR(MAX(tblRiskRegister3234[[#This Row],[Risk Treatment Safeguard Impact to Mission]:[Risk Treatment Safeguard Impact to Obligations]])*tblRiskRegister3234[[#This Row],[Risk Treatment
Safeguard Expectancy Score]],"")</f>
        <v/>
      </c>
      <c r="AG21" s="138" t="str">
        <f>IF(tblRiskRegister3234[[#This Row],[Risk Score]]&gt;AcceptableRisk,IF(tblRiskRegister3234[[#This Row],[Risk Treatment Safeguard Risk Score]]&lt;AcceptableRisk, IF(tblRiskRegister3234[[#This Row],[Risk Treatment Safeguard Risk Score]]&lt;=tblRiskRegister3234[[#This Row],[Risk Score]],"Yes","No"),"No"),"Yes")</f>
        <v>No</v>
      </c>
      <c r="AH21" s="18"/>
      <c r="AI21" s="18"/>
      <c r="AJ21" s="19"/>
    </row>
    <row r="22" spans="2:40" ht="25.5" x14ac:dyDescent="0.2">
      <c r="B22" s="44" t="s">
        <v>132</v>
      </c>
      <c r="C22" s="44"/>
      <c r="D22" s="13">
        <v>5.0999999999999996</v>
      </c>
      <c r="E22" s="14" t="s">
        <v>23</v>
      </c>
      <c r="F22" s="17" t="s">
        <v>785</v>
      </c>
      <c r="G22" s="17" t="s">
        <v>785</v>
      </c>
      <c r="H22" s="17" t="s">
        <v>928</v>
      </c>
      <c r="I22" s="147"/>
      <c r="J22" s="15"/>
      <c r="K22" s="15"/>
      <c r="L22" s="16"/>
      <c r="M22" s="26">
        <f>IFERROR(VLOOKUP(tblRiskRegister3234[[#This Row],[Asset Class]],tblVCDBIndex[],4,FALSE),"")</f>
        <v>2</v>
      </c>
      <c r="N22" s="29" t="str">
        <f>IFERROR(VLOOKUP(10*tblRiskRegister3234[[#This Row],[Safeguard Maturity Score]]+tblRiskRegister3234[[#This Row],[VCDB Index]],tblHITIndexWeightTable[],4,FALSE),"")</f>
        <v/>
      </c>
      <c r="O22" s="29" t="str">
        <f>VLOOKUP(tblRiskRegister3234[[#This Row],[Asset Class]],tblInherentImpacts30[],2,FALSE)</f>
        <v/>
      </c>
      <c r="P22" s="29">
        <f>VLOOKUP(tblRiskRegister3234[[#This Row],[Asset Class]],tblInherentImpacts30[],3,FALSE)</f>
        <v>0</v>
      </c>
      <c r="Q22" s="29">
        <f>VLOOKUP(tblRiskRegister3234[[#This Row],[Asset Class]],tblInherentImpacts30[],4,FALSE)</f>
        <v>0</v>
      </c>
      <c r="R22" s="29">
        <f>VLOOKUP(tblRiskRegister3234[[#This Row],[Asset Class]],tblInherentImpacts30[],5,FALSE)</f>
        <v>0</v>
      </c>
      <c r="S22" s="29" t="str">
        <f>IFERROR(MAX(tblRiskRegister3234[[#This Row],[Impact to Mission]:[Impact to Obligations]])*tblRiskRegister3234[[#This Row],[Expectancy Score]],"")</f>
        <v/>
      </c>
      <c r="T22" s="29" t="str">
        <f>tblRiskRegister3234[[#This Row],[Risk Score]]</f>
        <v/>
      </c>
      <c r="U22" s="100"/>
      <c r="V22" s="112">
        <v>5.0999999999999996</v>
      </c>
      <c r="W22" s="44" t="s">
        <v>23</v>
      </c>
      <c r="X22" s="44" t="s">
        <v>691</v>
      </c>
      <c r="Y22" s="30"/>
      <c r="Z22" s="16"/>
      <c r="AA22" s="27" t="str">
        <f>IFERROR(VLOOKUP(10*tblRiskRegister3234[[#This Row],[Risk Treatment Safeguard Maturity Score]]+tblRiskRegister3234[[#This Row],[VCDB Index]],tblHITIndexWeightTable[],4,FALSE),"")</f>
        <v/>
      </c>
      <c r="AB22" s="138" t="str">
        <f>VLOOKUP(tblRiskRegister3234[[#This Row],[Asset Class]],tblInherentImpacts30[],2,FALSE)</f>
        <v/>
      </c>
      <c r="AC22" s="138">
        <f>VLOOKUP(tblRiskRegister3234[[#This Row],[Asset Class]],tblInherentImpacts30[],3,FALSE)</f>
        <v>0</v>
      </c>
      <c r="AD22" s="138">
        <f>VLOOKUP(tblRiskRegister3234[[#This Row],[Asset Class]],tblInherentImpacts30[],4,FALSE)</f>
        <v>0</v>
      </c>
      <c r="AE22" s="138">
        <f>VLOOKUP(tblRiskRegister3234[[#This Row],[Asset Class]],tblInherentImpacts30[],5,FALSE)</f>
        <v>0</v>
      </c>
      <c r="AF22" s="138" t="str">
        <f>IFERROR(MAX(tblRiskRegister3234[[#This Row],[Risk Treatment Safeguard Impact to Mission]:[Risk Treatment Safeguard Impact to Obligations]])*tblRiskRegister3234[[#This Row],[Risk Treatment
Safeguard Expectancy Score]],"")</f>
        <v/>
      </c>
      <c r="AG22" s="138" t="str">
        <f>IF(tblRiskRegister3234[[#This Row],[Risk Score]]&gt;AcceptableRisk,IF(tblRiskRegister3234[[#This Row],[Risk Treatment Safeguard Risk Score]]&lt;AcceptableRisk, IF(tblRiskRegister3234[[#This Row],[Risk Treatment Safeguard Risk Score]]&lt;=tblRiskRegister3234[[#This Row],[Risk Score]],"Yes","No"),"No"),"Yes")</f>
        <v>No</v>
      </c>
      <c r="AH22" s="18"/>
      <c r="AI22" s="18"/>
      <c r="AJ22" s="19"/>
    </row>
    <row r="23" spans="2:40" ht="51" x14ac:dyDescent="0.2">
      <c r="B23" s="44" t="s">
        <v>132</v>
      </c>
      <c r="C23" s="44"/>
      <c r="D23" s="13">
        <v>5.2</v>
      </c>
      <c r="E23" s="14" t="s">
        <v>594</v>
      </c>
      <c r="F23" s="17"/>
      <c r="G23" s="17" t="s">
        <v>785</v>
      </c>
      <c r="H23" s="17" t="s">
        <v>928</v>
      </c>
      <c r="I23" s="147"/>
      <c r="J23" s="15"/>
      <c r="K23" s="15"/>
      <c r="L23" s="16"/>
      <c r="M23" s="26">
        <f>IFERROR(VLOOKUP(tblRiskRegister3234[[#This Row],[Asset Class]],tblVCDBIndex[],4,FALSE),"")</f>
        <v>2</v>
      </c>
      <c r="N23" s="29" t="str">
        <f>IFERROR(VLOOKUP(10*tblRiskRegister3234[[#This Row],[Safeguard Maturity Score]]+tblRiskRegister3234[[#This Row],[VCDB Index]],tblHITIndexWeightTable[],4,FALSE),"")</f>
        <v/>
      </c>
      <c r="O23" s="29" t="str">
        <f>VLOOKUP(tblRiskRegister3234[[#This Row],[Asset Class]],tblInherentImpacts30[],2,FALSE)</f>
        <v/>
      </c>
      <c r="P23" s="29">
        <f>VLOOKUP(tblRiskRegister3234[[#This Row],[Asset Class]],tblInherentImpacts30[],3,FALSE)</f>
        <v>0</v>
      </c>
      <c r="Q23" s="29">
        <f>VLOOKUP(tblRiskRegister3234[[#This Row],[Asset Class]],tblInherentImpacts30[],4,FALSE)</f>
        <v>0</v>
      </c>
      <c r="R23" s="29">
        <f>VLOOKUP(tblRiskRegister3234[[#This Row],[Asset Class]],tblInherentImpacts30[],5,FALSE)</f>
        <v>0</v>
      </c>
      <c r="S23" s="29" t="str">
        <f>IFERROR(MAX(tblRiskRegister3234[[#This Row],[Impact to Mission]:[Impact to Obligations]])*tblRiskRegister3234[[#This Row],[Expectancy Score]],"")</f>
        <v/>
      </c>
      <c r="T23" s="29" t="str">
        <f>tblRiskRegister3234[[#This Row],[Risk Score]]</f>
        <v/>
      </c>
      <c r="U23" s="100"/>
      <c r="V23" s="112">
        <v>5.2</v>
      </c>
      <c r="W23" s="44" t="s">
        <v>594</v>
      </c>
      <c r="X23" s="44" t="s">
        <v>692</v>
      </c>
      <c r="Y23" s="30"/>
      <c r="Z23" s="16"/>
      <c r="AA23" s="27" t="str">
        <f>IFERROR(VLOOKUP(10*tblRiskRegister3234[[#This Row],[Risk Treatment Safeguard Maturity Score]]+tblRiskRegister3234[[#This Row],[VCDB Index]],tblHITIndexWeightTable[],4,FALSE),"")</f>
        <v/>
      </c>
      <c r="AB23" s="138" t="str">
        <f>VLOOKUP(tblRiskRegister3234[[#This Row],[Asset Class]],tblInherentImpacts30[],2,FALSE)</f>
        <v/>
      </c>
      <c r="AC23" s="138">
        <f>VLOOKUP(tblRiskRegister3234[[#This Row],[Asset Class]],tblInherentImpacts30[],3,FALSE)</f>
        <v>0</v>
      </c>
      <c r="AD23" s="138">
        <f>VLOOKUP(tblRiskRegister3234[[#This Row],[Asset Class]],tblInherentImpacts30[],4,FALSE)</f>
        <v>0</v>
      </c>
      <c r="AE23" s="138">
        <f>VLOOKUP(tblRiskRegister3234[[#This Row],[Asset Class]],tblInherentImpacts30[],5,FALSE)</f>
        <v>0</v>
      </c>
      <c r="AF23" s="138" t="str">
        <f>IFERROR(MAX(tblRiskRegister3234[[#This Row],[Risk Treatment Safeguard Impact to Mission]:[Risk Treatment Safeguard Impact to Obligations]])*tblRiskRegister3234[[#This Row],[Risk Treatment
Safeguard Expectancy Score]],"")</f>
        <v/>
      </c>
      <c r="AG23" s="138" t="str">
        <f>IF(tblRiskRegister3234[[#This Row],[Risk Score]]&gt;AcceptableRisk,IF(tblRiskRegister3234[[#This Row],[Risk Treatment Safeguard Risk Score]]&lt;AcceptableRisk, IF(tblRiskRegister3234[[#This Row],[Risk Treatment Safeguard Risk Score]]&lt;=tblRiskRegister3234[[#This Row],[Risk Score]],"Yes","No"),"No"),"Yes")</f>
        <v>No</v>
      </c>
      <c r="AH23" s="18"/>
      <c r="AI23" s="18"/>
      <c r="AJ23" s="19"/>
    </row>
    <row r="24" spans="2:40" ht="38.25" x14ac:dyDescent="0.2">
      <c r="B24" s="44" t="s">
        <v>132</v>
      </c>
      <c r="C24" s="44"/>
      <c r="D24" s="13">
        <v>5.3</v>
      </c>
      <c r="E24" s="14" t="s">
        <v>595</v>
      </c>
      <c r="F24" s="17"/>
      <c r="G24" s="17" t="s">
        <v>785</v>
      </c>
      <c r="H24" s="17" t="s">
        <v>928</v>
      </c>
      <c r="I24" s="147"/>
      <c r="J24" s="15"/>
      <c r="K24" s="15"/>
      <c r="L24" s="16"/>
      <c r="M24" s="26">
        <f>IFERROR(VLOOKUP(tblRiskRegister3234[[#This Row],[Asset Class]],tblVCDBIndex[],4,FALSE),"")</f>
        <v>2</v>
      </c>
      <c r="N24" s="29" t="str">
        <f>IFERROR(VLOOKUP(10*tblRiskRegister3234[[#This Row],[Safeguard Maturity Score]]+tblRiskRegister3234[[#This Row],[VCDB Index]],tblHITIndexWeightTable[],4,FALSE),"")</f>
        <v/>
      </c>
      <c r="O24" s="29" t="str">
        <f>VLOOKUP(tblRiskRegister3234[[#This Row],[Asset Class]],tblInherentImpacts30[],2,FALSE)</f>
        <v/>
      </c>
      <c r="P24" s="29">
        <f>VLOOKUP(tblRiskRegister3234[[#This Row],[Asset Class]],tblInherentImpacts30[],3,FALSE)</f>
        <v>0</v>
      </c>
      <c r="Q24" s="29">
        <f>VLOOKUP(tblRiskRegister3234[[#This Row],[Asset Class]],tblInherentImpacts30[],4,FALSE)</f>
        <v>0</v>
      </c>
      <c r="R24" s="29">
        <f>VLOOKUP(tblRiskRegister3234[[#This Row],[Asset Class]],tblInherentImpacts30[],5,FALSE)</f>
        <v>0</v>
      </c>
      <c r="S24" s="29" t="str">
        <f>IFERROR(MAX(tblRiskRegister3234[[#This Row],[Impact to Mission]:[Impact to Obligations]])*tblRiskRegister3234[[#This Row],[Expectancy Score]],"")</f>
        <v/>
      </c>
      <c r="T24" s="29" t="str">
        <f>tblRiskRegister3234[[#This Row],[Risk Score]]</f>
        <v/>
      </c>
      <c r="U24" s="100"/>
      <c r="V24" s="112">
        <v>5.3</v>
      </c>
      <c r="W24" s="44" t="s">
        <v>595</v>
      </c>
      <c r="X24" s="44" t="s">
        <v>693</v>
      </c>
      <c r="Y24" s="30"/>
      <c r="Z24" s="16"/>
      <c r="AA24" s="27" t="str">
        <f>IFERROR(VLOOKUP(10*tblRiskRegister3234[[#This Row],[Risk Treatment Safeguard Maturity Score]]+tblRiskRegister3234[[#This Row],[VCDB Index]],tblHITIndexWeightTable[],4,FALSE),"")</f>
        <v/>
      </c>
      <c r="AB24" s="138" t="str">
        <f>VLOOKUP(tblRiskRegister3234[[#This Row],[Asset Class]],tblInherentImpacts30[],2,FALSE)</f>
        <v/>
      </c>
      <c r="AC24" s="138">
        <f>VLOOKUP(tblRiskRegister3234[[#This Row],[Asset Class]],tblInherentImpacts30[],3,FALSE)</f>
        <v>0</v>
      </c>
      <c r="AD24" s="138">
        <f>VLOOKUP(tblRiskRegister3234[[#This Row],[Asset Class]],tblInherentImpacts30[],4,FALSE)</f>
        <v>0</v>
      </c>
      <c r="AE24" s="138">
        <f>VLOOKUP(tblRiskRegister3234[[#This Row],[Asset Class]],tblInherentImpacts30[],5,FALSE)</f>
        <v>0</v>
      </c>
      <c r="AF24" s="138" t="str">
        <f>IFERROR(MAX(tblRiskRegister3234[[#This Row],[Risk Treatment Safeguard Impact to Mission]:[Risk Treatment Safeguard Impact to Obligations]])*tblRiskRegister3234[[#This Row],[Risk Treatment
Safeguard Expectancy Score]],"")</f>
        <v/>
      </c>
      <c r="AG24" s="138" t="str">
        <f>IF(tblRiskRegister3234[[#This Row],[Risk Score]]&gt;AcceptableRisk,IF(tblRiskRegister3234[[#This Row],[Risk Treatment Safeguard Risk Score]]&lt;AcceptableRisk, IF(tblRiskRegister3234[[#This Row],[Risk Treatment Safeguard Risk Score]]&lt;=tblRiskRegister3234[[#This Row],[Risk Score]],"Yes","No"),"No"),"Yes")</f>
        <v>No</v>
      </c>
      <c r="AH24" s="18"/>
      <c r="AI24" s="18"/>
      <c r="AJ24" s="19"/>
    </row>
    <row r="25" spans="2:40" ht="25.5" x14ac:dyDescent="0.2">
      <c r="B25" s="44" t="s">
        <v>132</v>
      </c>
      <c r="C25" s="44"/>
      <c r="D25" s="13">
        <v>5.4</v>
      </c>
      <c r="E25" s="14" t="s">
        <v>596</v>
      </c>
      <c r="F25" s="17"/>
      <c r="G25" s="17" t="s">
        <v>785</v>
      </c>
      <c r="H25" s="17" t="s">
        <v>928</v>
      </c>
      <c r="I25" s="147"/>
      <c r="J25" s="15"/>
      <c r="K25" s="15"/>
      <c r="L25" s="16"/>
      <c r="M25" s="26">
        <f>IFERROR(VLOOKUP(tblRiskRegister3234[[#This Row],[Asset Class]],tblVCDBIndex[],4,FALSE),"")</f>
        <v>2</v>
      </c>
      <c r="N25" s="29" t="str">
        <f>IFERROR(VLOOKUP(10*tblRiskRegister3234[[#This Row],[Safeguard Maturity Score]]+tblRiskRegister3234[[#This Row],[VCDB Index]],tblHITIndexWeightTable[],4,FALSE),"")</f>
        <v/>
      </c>
      <c r="O25" s="29" t="str">
        <f>VLOOKUP(tblRiskRegister3234[[#This Row],[Asset Class]],tblInherentImpacts30[],2,FALSE)</f>
        <v/>
      </c>
      <c r="P25" s="29">
        <f>VLOOKUP(tblRiskRegister3234[[#This Row],[Asset Class]],tblInherentImpacts30[],3,FALSE)</f>
        <v>0</v>
      </c>
      <c r="Q25" s="29">
        <f>VLOOKUP(tblRiskRegister3234[[#This Row],[Asset Class]],tblInherentImpacts30[],4,FALSE)</f>
        <v>0</v>
      </c>
      <c r="R25" s="29">
        <f>VLOOKUP(tblRiskRegister3234[[#This Row],[Asset Class]],tblInherentImpacts30[],5,FALSE)</f>
        <v>0</v>
      </c>
      <c r="S25" s="29" t="str">
        <f>IFERROR(MAX(tblRiskRegister3234[[#This Row],[Impact to Mission]:[Impact to Obligations]])*tblRiskRegister3234[[#This Row],[Expectancy Score]],"")</f>
        <v/>
      </c>
      <c r="T25" s="29" t="str">
        <f>tblRiskRegister3234[[#This Row],[Risk Score]]</f>
        <v/>
      </c>
      <c r="U25" s="100"/>
      <c r="V25" s="112">
        <v>5.4</v>
      </c>
      <c r="W25" s="44" t="s">
        <v>596</v>
      </c>
      <c r="X25" s="44" t="s">
        <v>694</v>
      </c>
      <c r="Y25" s="30"/>
      <c r="Z25" s="16"/>
      <c r="AA25" s="27" t="str">
        <f>IFERROR(VLOOKUP(10*tblRiskRegister3234[[#This Row],[Risk Treatment Safeguard Maturity Score]]+tblRiskRegister3234[[#This Row],[VCDB Index]],tblHITIndexWeightTable[],4,FALSE),"")</f>
        <v/>
      </c>
      <c r="AB25" s="138" t="str">
        <f>VLOOKUP(tblRiskRegister3234[[#This Row],[Asset Class]],tblInherentImpacts30[],2,FALSE)</f>
        <v/>
      </c>
      <c r="AC25" s="138">
        <f>VLOOKUP(tblRiskRegister3234[[#This Row],[Asset Class]],tblInherentImpacts30[],3,FALSE)</f>
        <v>0</v>
      </c>
      <c r="AD25" s="138">
        <f>VLOOKUP(tblRiskRegister3234[[#This Row],[Asset Class]],tblInherentImpacts30[],4,FALSE)</f>
        <v>0</v>
      </c>
      <c r="AE25" s="138">
        <f>VLOOKUP(tblRiskRegister3234[[#This Row],[Asset Class]],tblInherentImpacts30[],5,FALSE)</f>
        <v>0</v>
      </c>
      <c r="AF25" s="138" t="str">
        <f>IFERROR(MAX(tblRiskRegister3234[[#This Row],[Risk Treatment Safeguard Impact to Mission]:[Risk Treatment Safeguard Impact to Obligations]])*tblRiskRegister3234[[#This Row],[Risk Treatment
Safeguard Expectancy Score]],"")</f>
        <v/>
      </c>
      <c r="AG25" s="138" t="str">
        <f>IF(tblRiskRegister3234[[#This Row],[Risk Score]]&gt;AcceptableRisk,IF(tblRiskRegister3234[[#This Row],[Risk Treatment Safeguard Risk Score]]&lt;AcceptableRisk, IF(tblRiskRegister3234[[#This Row],[Risk Treatment Safeguard Risk Score]]&lt;=tblRiskRegister3234[[#This Row],[Risk Score]],"Yes","No"),"No"),"Yes")</f>
        <v>No</v>
      </c>
      <c r="AH25" s="18"/>
      <c r="AI25" s="18"/>
      <c r="AJ25" s="19"/>
    </row>
    <row r="26" spans="2:40" ht="38.25" x14ac:dyDescent="0.2">
      <c r="B26" s="44" t="s">
        <v>132</v>
      </c>
      <c r="C26" s="44"/>
      <c r="D26" s="13">
        <v>5.5</v>
      </c>
      <c r="E26" s="14" t="s">
        <v>597</v>
      </c>
      <c r="F26" s="17"/>
      <c r="G26" s="17" t="s">
        <v>785</v>
      </c>
      <c r="H26" s="17" t="s">
        <v>929</v>
      </c>
      <c r="I26" s="147"/>
      <c r="J26" s="15"/>
      <c r="K26" s="15"/>
      <c r="L26" s="16"/>
      <c r="M26" s="26">
        <f>IFERROR(VLOOKUP(tblRiskRegister3234[[#This Row],[Asset Class]],tblVCDBIndex[],4,FALSE),"")</f>
        <v>2</v>
      </c>
      <c r="N26" s="29" t="str">
        <f>IFERROR(VLOOKUP(10*tblRiskRegister3234[[#This Row],[Safeguard Maturity Score]]+tblRiskRegister3234[[#This Row],[VCDB Index]],tblHITIndexWeightTable[],4,FALSE),"")</f>
        <v/>
      </c>
      <c r="O26" s="29" t="str">
        <f>VLOOKUP(tblRiskRegister3234[[#This Row],[Asset Class]],tblInherentImpacts30[],2,FALSE)</f>
        <v/>
      </c>
      <c r="P26" s="29">
        <f>VLOOKUP(tblRiskRegister3234[[#This Row],[Asset Class]],tblInherentImpacts30[],3,FALSE)</f>
        <v>0</v>
      </c>
      <c r="Q26" s="29">
        <f>VLOOKUP(tblRiskRegister3234[[#This Row],[Asset Class]],tblInherentImpacts30[],4,FALSE)</f>
        <v>0</v>
      </c>
      <c r="R26" s="29">
        <f>VLOOKUP(tblRiskRegister3234[[#This Row],[Asset Class]],tblInherentImpacts30[],5,FALSE)</f>
        <v>0</v>
      </c>
      <c r="S26" s="29" t="str">
        <f>IFERROR(MAX(tblRiskRegister3234[[#This Row],[Impact to Mission]:[Impact to Obligations]])*tblRiskRegister3234[[#This Row],[Expectancy Score]],"")</f>
        <v/>
      </c>
      <c r="T26" s="29" t="str">
        <f>tblRiskRegister3234[[#This Row],[Risk Score]]</f>
        <v/>
      </c>
      <c r="U26" s="100"/>
      <c r="V26" s="112">
        <v>5.5</v>
      </c>
      <c r="W26" s="44" t="s">
        <v>597</v>
      </c>
      <c r="X26" s="44" t="s">
        <v>695</v>
      </c>
      <c r="Y26" s="30"/>
      <c r="Z26" s="16"/>
      <c r="AA26" s="27" t="str">
        <f>IFERROR(VLOOKUP(10*tblRiskRegister3234[[#This Row],[Risk Treatment Safeguard Maturity Score]]+tblRiskRegister3234[[#This Row],[VCDB Index]],tblHITIndexWeightTable[],4,FALSE),"")</f>
        <v/>
      </c>
      <c r="AB26" s="138" t="str">
        <f>VLOOKUP(tblRiskRegister3234[[#This Row],[Asset Class]],tblInherentImpacts30[],2,FALSE)</f>
        <v/>
      </c>
      <c r="AC26" s="138">
        <f>VLOOKUP(tblRiskRegister3234[[#This Row],[Asset Class]],tblInherentImpacts30[],3,FALSE)</f>
        <v>0</v>
      </c>
      <c r="AD26" s="138">
        <f>VLOOKUP(tblRiskRegister3234[[#This Row],[Asset Class]],tblInherentImpacts30[],4,FALSE)</f>
        <v>0</v>
      </c>
      <c r="AE26" s="138">
        <f>VLOOKUP(tblRiskRegister3234[[#This Row],[Asset Class]],tblInherentImpacts30[],5,FALSE)</f>
        <v>0</v>
      </c>
      <c r="AF26" s="138" t="str">
        <f>IFERROR(MAX(tblRiskRegister3234[[#This Row],[Risk Treatment Safeguard Impact to Mission]:[Risk Treatment Safeguard Impact to Obligations]])*tblRiskRegister3234[[#This Row],[Risk Treatment
Safeguard Expectancy Score]],"")</f>
        <v/>
      </c>
      <c r="AG26" s="138" t="str">
        <f>IF(tblRiskRegister3234[[#This Row],[Risk Score]]&gt;AcceptableRisk,IF(tblRiskRegister3234[[#This Row],[Risk Treatment Safeguard Risk Score]]&lt;AcceptableRisk, IF(tblRiskRegister3234[[#This Row],[Risk Treatment Safeguard Risk Score]]&lt;=tblRiskRegister3234[[#This Row],[Risk Score]],"Yes","No"),"No"),"Yes")</f>
        <v>No</v>
      </c>
      <c r="AH26" s="18"/>
      <c r="AI26" s="18"/>
      <c r="AJ26" s="19"/>
    </row>
    <row r="27" spans="2:40" ht="38.25" x14ac:dyDescent="0.2">
      <c r="B27" s="44" t="s">
        <v>132</v>
      </c>
      <c r="C27" s="44"/>
      <c r="D27" s="13">
        <v>7.1</v>
      </c>
      <c r="E27" s="14" t="s">
        <v>24</v>
      </c>
      <c r="F27" s="17" t="s">
        <v>785</v>
      </c>
      <c r="G27" s="17" t="s">
        <v>785</v>
      </c>
      <c r="H27" s="17" t="s">
        <v>928</v>
      </c>
      <c r="I27" s="147"/>
      <c r="J27" s="15"/>
      <c r="K27" s="15"/>
      <c r="L27" s="16"/>
      <c r="M27" s="26">
        <f>IFERROR(VLOOKUP(tblRiskRegister3234[[#This Row],[Asset Class]],tblVCDBIndex[],4,FALSE),"")</f>
        <v>2</v>
      </c>
      <c r="N27" s="29" t="str">
        <f>IFERROR(VLOOKUP(10*tblRiskRegister3234[[#This Row],[Safeguard Maturity Score]]+tblRiskRegister3234[[#This Row],[VCDB Index]],tblHITIndexWeightTable[],4,FALSE),"")</f>
        <v/>
      </c>
      <c r="O27" s="29" t="str">
        <f>VLOOKUP(tblRiskRegister3234[[#This Row],[Asset Class]],tblInherentImpacts30[],2,FALSE)</f>
        <v/>
      </c>
      <c r="P27" s="29">
        <f>VLOOKUP(tblRiskRegister3234[[#This Row],[Asset Class]],tblInherentImpacts30[],3,FALSE)</f>
        <v>0</v>
      </c>
      <c r="Q27" s="29">
        <f>VLOOKUP(tblRiskRegister3234[[#This Row],[Asset Class]],tblInherentImpacts30[],4,FALSE)</f>
        <v>0</v>
      </c>
      <c r="R27" s="29">
        <f>VLOOKUP(tblRiskRegister3234[[#This Row],[Asset Class]],tblInherentImpacts30[],5,FALSE)</f>
        <v>0</v>
      </c>
      <c r="S27" s="29" t="str">
        <f>IFERROR(MAX(tblRiskRegister3234[[#This Row],[Impact to Mission]:[Impact to Obligations]])*tblRiskRegister3234[[#This Row],[Expectancy Score]],"")</f>
        <v/>
      </c>
      <c r="T27" s="29" t="str">
        <f>tblRiskRegister3234[[#This Row],[Risk Score]]</f>
        <v/>
      </c>
      <c r="U27" s="100"/>
      <c r="V27" s="112">
        <v>7.1</v>
      </c>
      <c r="W27" s="44" t="s">
        <v>24</v>
      </c>
      <c r="X27" s="44" t="s">
        <v>162</v>
      </c>
      <c r="Y27" s="30"/>
      <c r="Z27" s="16"/>
      <c r="AA27" s="27" t="str">
        <f>IFERROR(VLOOKUP(10*tblRiskRegister3234[[#This Row],[Risk Treatment Safeguard Maturity Score]]+tblRiskRegister3234[[#This Row],[VCDB Index]],tblHITIndexWeightTable[],4,FALSE),"")</f>
        <v/>
      </c>
      <c r="AB27" s="138" t="str">
        <f>VLOOKUP(tblRiskRegister3234[[#This Row],[Asset Class]],tblInherentImpacts30[],2,FALSE)</f>
        <v/>
      </c>
      <c r="AC27" s="138">
        <f>VLOOKUP(tblRiskRegister3234[[#This Row],[Asset Class]],tblInherentImpacts30[],3,FALSE)</f>
        <v>0</v>
      </c>
      <c r="AD27" s="138">
        <f>VLOOKUP(tblRiskRegister3234[[#This Row],[Asset Class]],tblInherentImpacts30[],4,FALSE)</f>
        <v>0</v>
      </c>
      <c r="AE27" s="138">
        <f>VLOOKUP(tblRiskRegister3234[[#This Row],[Asset Class]],tblInherentImpacts30[],5,FALSE)</f>
        <v>0</v>
      </c>
      <c r="AF27" s="138" t="str">
        <f>IFERROR(MAX(tblRiskRegister3234[[#This Row],[Risk Treatment Safeguard Impact to Mission]:[Risk Treatment Safeguard Impact to Obligations]])*tblRiskRegister3234[[#This Row],[Risk Treatment
Safeguard Expectancy Score]],"")</f>
        <v/>
      </c>
      <c r="AG27" s="138" t="str">
        <f>IF(tblRiskRegister3234[[#This Row],[Risk Score]]&gt;AcceptableRisk,IF(tblRiskRegister3234[[#This Row],[Risk Treatment Safeguard Risk Score]]&lt;AcceptableRisk, IF(tblRiskRegister3234[[#This Row],[Risk Treatment Safeguard Risk Score]]&lt;=tblRiskRegister3234[[#This Row],[Risk Score]],"Yes","No"),"No"),"Yes")</f>
        <v>No</v>
      </c>
      <c r="AH27" s="18"/>
      <c r="AI27" s="18"/>
      <c r="AJ27" s="19"/>
    </row>
    <row r="28" spans="2:40" ht="38.25" x14ac:dyDescent="0.2">
      <c r="B28" s="44" t="s">
        <v>132</v>
      </c>
      <c r="C28" s="44"/>
      <c r="D28" s="13">
        <v>7.2</v>
      </c>
      <c r="E28" s="14" t="s">
        <v>604</v>
      </c>
      <c r="F28" s="17"/>
      <c r="G28" s="17" t="s">
        <v>785</v>
      </c>
      <c r="H28" s="17" t="s">
        <v>928</v>
      </c>
      <c r="I28" s="147"/>
      <c r="J28" s="15"/>
      <c r="K28" s="15"/>
      <c r="L28" s="16"/>
      <c r="M28" s="26">
        <f>IFERROR(VLOOKUP(tblRiskRegister3234[[#This Row],[Asset Class]],tblVCDBIndex[],4,FALSE),"")</f>
        <v>2</v>
      </c>
      <c r="N28" s="29" t="str">
        <f>IFERROR(VLOOKUP(10*tblRiskRegister3234[[#This Row],[Safeguard Maturity Score]]+tblRiskRegister3234[[#This Row],[VCDB Index]],tblHITIndexWeightTable[],4,FALSE),"")</f>
        <v/>
      </c>
      <c r="O28" s="29" t="str">
        <f>VLOOKUP(tblRiskRegister3234[[#This Row],[Asset Class]],tblInherentImpacts30[],2,FALSE)</f>
        <v/>
      </c>
      <c r="P28" s="29">
        <f>VLOOKUP(tblRiskRegister3234[[#This Row],[Asset Class]],tblInherentImpacts30[],3,FALSE)</f>
        <v>0</v>
      </c>
      <c r="Q28" s="29">
        <f>VLOOKUP(tblRiskRegister3234[[#This Row],[Asset Class]],tblInherentImpacts30[],4,FALSE)</f>
        <v>0</v>
      </c>
      <c r="R28" s="29">
        <f>VLOOKUP(tblRiskRegister3234[[#This Row],[Asset Class]],tblInherentImpacts30[],5,FALSE)</f>
        <v>0</v>
      </c>
      <c r="S28" s="29" t="str">
        <f>IFERROR(MAX(tblRiskRegister3234[[#This Row],[Impact to Mission]:[Impact to Obligations]])*tblRiskRegister3234[[#This Row],[Expectancy Score]],"")</f>
        <v/>
      </c>
      <c r="T28" s="29" t="str">
        <f>tblRiskRegister3234[[#This Row],[Risk Score]]</f>
        <v/>
      </c>
      <c r="U28" s="100"/>
      <c r="V28" s="112">
        <v>7.2</v>
      </c>
      <c r="W28" s="44" t="s">
        <v>604</v>
      </c>
      <c r="X28" s="44" t="s">
        <v>702</v>
      </c>
      <c r="Y28" s="30"/>
      <c r="Z28" s="16"/>
      <c r="AA28" s="27" t="str">
        <f>IFERROR(VLOOKUP(10*tblRiskRegister3234[[#This Row],[Risk Treatment Safeguard Maturity Score]]+tblRiskRegister3234[[#This Row],[VCDB Index]],tblHITIndexWeightTable[],4,FALSE),"")</f>
        <v/>
      </c>
      <c r="AB28" s="138" t="str">
        <f>VLOOKUP(tblRiskRegister3234[[#This Row],[Asset Class]],tblInherentImpacts30[],2,FALSE)</f>
        <v/>
      </c>
      <c r="AC28" s="138">
        <f>VLOOKUP(tblRiskRegister3234[[#This Row],[Asset Class]],tblInherentImpacts30[],3,FALSE)</f>
        <v>0</v>
      </c>
      <c r="AD28" s="138">
        <f>VLOOKUP(tblRiskRegister3234[[#This Row],[Asset Class]],tblInherentImpacts30[],4,FALSE)</f>
        <v>0</v>
      </c>
      <c r="AE28" s="138">
        <f>VLOOKUP(tblRiskRegister3234[[#This Row],[Asset Class]],tblInherentImpacts30[],5,FALSE)</f>
        <v>0</v>
      </c>
      <c r="AF28" s="138" t="str">
        <f>IFERROR(MAX(tblRiskRegister3234[[#This Row],[Risk Treatment Safeguard Impact to Mission]:[Risk Treatment Safeguard Impact to Obligations]])*tblRiskRegister3234[[#This Row],[Risk Treatment
Safeguard Expectancy Score]],"")</f>
        <v/>
      </c>
      <c r="AG28" s="138" t="str">
        <f>IF(tblRiskRegister3234[[#This Row],[Risk Score]]&gt;AcceptableRisk,IF(tblRiskRegister3234[[#This Row],[Risk Treatment Safeguard Risk Score]]&lt;AcceptableRisk, IF(tblRiskRegister3234[[#This Row],[Risk Treatment Safeguard Risk Score]]&lt;=tblRiskRegister3234[[#This Row],[Risk Score]],"Yes","No"),"No"),"Yes")</f>
        <v>No</v>
      </c>
      <c r="AH28" s="18"/>
      <c r="AI28" s="18"/>
      <c r="AJ28" s="19"/>
    </row>
    <row r="29" spans="2:40" ht="38.25" x14ac:dyDescent="0.2">
      <c r="B29" s="44" t="s">
        <v>132</v>
      </c>
      <c r="C29" s="44"/>
      <c r="D29" s="13">
        <v>7.3</v>
      </c>
      <c r="E29" s="14" t="s">
        <v>605</v>
      </c>
      <c r="F29" s="17"/>
      <c r="G29" s="17" t="s">
        <v>785</v>
      </c>
      <c r="H29" s="17" t="s">
        <v>928</v>
      </c>
      <c r="I29" s="147"/>
      <c r="J29" s="15"/>
      <c r="K29" s="15"/>
      <c r="L29" s="16"/>
      <c r="M29" s="26">
        <f>IFERROR(VLOOKUP(tblRiskRegister3234[[#This Row],[Asset Class]],tblVCDBIndex[],4,FALSE),"")</f>
        <v>2</v>
      </c>
      <c r="N29" s="29" t="str">
        <f>IFERROR(VLOOKUP(10*tblRiskRegister3234[[#This Row],[Safeguard Maturity Score]]+tblRiskRegister3234[[#This Row],[VCDB Index]],tblHITIndexWeightTable[],4,FALSE),"")</f>
        <v/>
      </c>
      <c r="O29" s="29" t="str">
        <f>VLOOKUP(tblRiskRegister3234[[#This Row],[Asset Class]],tblInherentImpacts30[],2,FALSE)</f>
        <v/>
      </c>
      <c r="P29" s="29">
        <f>VLOOKUP(tblRiskRegister3234[[#This Row],[Asset Class]],tblInherentImpacts30[],3,FALSE)</f>
        <v>0</v>
      </c>
      <c r="Q29" s="29">
        <f>VLOOKUP(tblRiskRegister3234[[#This Row],[Asset Class]],tblInherentImpacts30[],4,FALSE)</f>
        <v>0</v>
      </c>
      <c r="R29" s="29">
        <f>VLOOKUP(tblRiskRegister3234[[#This Row],[Asset Class]],tblInherentImpacts30[],5,FALSE)</f>
        <v>0</v>
      </c>
      <c r="S29" s="29" t="str">
        <f>IFERROR(MAX(tblRiskRegister3234[[#This Row],[Impact to Mission]:[Impact to Obligations]])*tblRiskRegister3234[[#This Row],[Expectancy Score]],"")</f>
        <v/>
      </c>
      <c r="T29" s="29" t="str">
        <f>tblRiskRegister3234[[#This Row],[Risk Score]]</f>
        <v/>
      </c>
      <c r="U29" s="100"/>
      <c r="V29" s="112">
        <v>7.3</v>
      </c>
      <c r="W29" s="44" t="s">
        <v>605</v>
      </c>
      <c r="X29" s="44" t="s">
        <v>703</v>
      </c>
      <c r="Y29" s="30"/>
      <c r="Z29" s="16"/>
      <c r="AA29" s="27" t="str">
        <f>IFERROR(VLOOKUP(10*tblRiskRegister3234[[#This Row],[Risk Treatment Safeguard Maturity Score]]+tblRiskRegister3234[[#This Row],[VCDB Index]],tblHITIndexWeightTable[],4,FALSE),"")</f>
        <v/>
      </c>
      <c r="AB29" s="138" t="str">
        <f>VLOOKUP(tblRiskRegister3234[[#This Row],[Asset Class]],tblInherentImpacts30[],2,FALSE)</f>
        <v/>
      </c>
      <c r="AC29" s="138">
        <f>VLOOKUP(tblRiskRegister3234[[#This Row],[Asset Class]],tblInherentImpacts30[],3,FALSE)</f>
        <v>0</v>
      </c>
      <c r="AD29" s="138">
        <f>VLOOKUP(tblRiskRegister3234[[#This Row],[Asset Class]],tblInherentImpacts30[],4,FALSE)</f>
        <v>0</v>
      </c>
      <c r="AE29" s="138">
        <f>VLOOKUP(tblRiskRegister3234[[#This Row],[Asset Class]],tblInherentImpacts30[],5,FALSE)</f>
        <v>0</v>
      </c>
      <c r="AF29" s="138" t="str">
        <f>IFERROR(MAX(tblRiskRegister3234[[#This Row],[Risk Treatment Safeguard Impact to Mission]:[Risk Treatment Safeguard Impact to Obligations]])*tblRiskRegister3234[[#This Row],[Risk Treatment
Safeguard Expectancy Score]],"")</f>
        <v/>
      </c>
      <c r="AG29" s="138" t="str">
        <f>IF(tblRiskRegister3234[[#This Row],[Risk Score]]&gt;AcceptableRisk,IF(tblRiskRegister3234[[#This Row],[Risk Treatment Safeguard Risk Score]]&lt;AcceptableRisk, IF(tblRiskRegister3234[[#This Row],[Risk Treatment Safeguard Risk Score]]&lt;=tblRiskRegister3234[[#This Row],[Risk Score]],"Yes","No"),"No"),"Yes")</f>
        <v>No</v>
      </c>
      <c r="AH29" s="18"/>
      <c r="AI29" s="18"/>
      <c r="AJ29" s="19"/>
    </row>
    <row r="30" spans="2:40" ht="25.5" x14ac:dyDescent="0.2">
      <c r="B30" s="44" t="s">
        <v>130</v>
      </c>
      <c r="C30" s="44"/>
      <c r="D30" s="13">
        <v>10.1</v>
      </c>
      <c r="E30" s="14" t="s">
        <v>70</v>
      </c>
      <c r="F30" s="17" t="s">
        <v>785</v>
      </c>
      <c r="G30" s="17" t="s">
        <v>785</v>
      </c>
      <c r="H30" s="17" t="s">
        <v>928</v>
      </c>
      <c r="I30" s="147"/>
      <c r="J30" s="15"/>
      <c r="K30" s="15"/>
      <c r="L30" s="16"/>
      <c r="M30" s="26">
        <f>IFERROR(VLOOKUP(tblRiskRegister3234[[#This Row],[Asset Class]],tblVCDBIndex[],4,FALSE),"")</f>
        <v>3</v>
      </c>
      <c r="N30" s="29" t="str">
        <f>IFERROR(VLOOKUP(10*tblRiskRegister3234[[#This Row],[Safeguard Maturity Score]]+tblRiskRegister3234[[#This Row],[VCDB Index]],tblHITIndexWeightTable[],4,FALSE),"")</f>
        <v/>
      </c>
      <c r="O30" s="29" t="str">
        <f>VLOOKUP(tblRiskRegister3234[[#This Row],[Asset Class]],tblInherentImpacts30[],2,FALSE)</f>
        <v/>
      </c>
      <c r="P30" s="29">
        <f>VLOOKUP(tblRiskRegister3234[[#This Row],[Asset Class]],tblInherentImpacts30[],3,FALSE)</f>
        <v>0</v>
      </c>
      <c r="Q30" s="29">
        <f>VLOOKUP(tblRiskRegister3234[[#This Row],[Asset Class]],tblInherentImpacts30[],4,FALSE)</f>
        <v>0</v>
      </c>
      <c r="R30" s="29">
        <f>VLOOKUP(tblRiskRegister3234[[#This Row],[Asset Class]],tblInherentImpacts30[],5,FALSE)</f>
        <v>0</v>
      </c>
      <c r="S30" s="29" t="str">
        <f>IFERROR(MAX(tblRiskRegister3234[[#This Row],[Impact to Mission]:[Impact to Obligations]])*tblRiskRegister3234[[#This Row],[Expectancy Score]],"")</f>
        <v/>
      </c>
      <c r="T30" s="29" t="str">
        <f>tblRiskRegister3234[[#This Row],[Risk Score]]</f>
        <v/>
      </c>
      <c r="U30" s="100"/>
      <c r="V30" s="112">
        <v>10.1</v>
      </c>
      <c r="W30" s="44" t="s">
        <v>70</v>
      </c>
      <c r="X30" s="44" t="s">
        <v>403</v>
      </c>
      <c r="Y30" s="30"/>
      <c r="Z30" s="16"/>
      <c r="AA30" s="27" t="str">
        <f>IFERROR(VLOOKUP(10*tblRiskRegister3234[[#This Row],[Risk Treatment Safeguard Maturity Score]]+tblRiskRegister3234[[#This Row],[VCDB Index]],tblHITIndexWeightTable[],4,FALSE),"")</f>
        <v/>
      </c>
      <c r="AB30" s="138" t="str">
        <f>VLOOKUP(tblRiskRegister3234[[#This Row],[Asset Class]],tblInherentImpacts30[],2,FALSE)</f>
        <v/>
      </c>
      <c r="AC30" s="138">
        <f>VLOOKUP(tblRiskRegister3234[[#This Row],[Asset Class]],tblInherentImpacts30[],3,FALSE)</f>
        <v>0</v>
      </c>
      <c r="AD30" s="138">
        <f>VLOOKUP(tblRiskRegister3234[[#This Row],[Asset Class]],tblInherentImpacts30[],4,FALSE)</f>
        <v>0</v>
      </c>
      <c r="AE30" s="138">
        <f>VLOOKUP(tblRiskRegister3234[[#This Row],[Asset Class]],tblInherentImpacts30[],5,FALSE)</f>
        <v>0</v>
      </c>
      <c r="AF30" s="138" t="str">
        <f>IFERROR(MAX(tblRiskRegister3234[[#This Row],[Risk Treatment Safeguard Impact to Mission]:[Risk Treatment Safeguard Impact to Obligations]])*tblRiskRegister3234[[#This Row],[Risk Treatment
Safeguard Expectancy Score]],"")</f>
        <v/>
      </c>
      <c r="AG30" s="138" t="str">
        <f>IF(tblRiskRegister3234[[#This Row],[Risk Score]]&gt;AcceptableRisk,IF(tblRiskRegister3234[[#This Row],[Risk Treatment Safeguard Risk Score]]&lt;AcceptableRisk, IF(tblRiskRegister3234[[#This Row],[Risk Treatment Safeguard Risk Score]]&lt;=tblRiskRegister3234[[#This Row],[Risk Score]],"Yes","No"),"No"),"Yes")</f>
        <v>No</v>
      </c>
      <c r="AH30" s="18"/>
      <c r="AI30" s="18"/>
      <c r="AJ30" s="19"/>
    </row>
    <row r="31" spans="2:40" ht="38.25" x14ac:dyDescent="0.2">
      <c r="B31" s="44" t="s">
        <v>130</v>
      </c>
      <c r="C31" s="44"/>
      <c r="D31" s="13">
        <v>10.199999999999999</v>
      </c>
      <c r="E31" s="14" t="s">
        <v>27</v>
      </c>
      <c r="F31" s="17" t="s">
        <v>785</v>
      </c>
      <c r="G31" s="17" t="s">
        <v>785</v>
      </c>
      <c r="H31" s="17" t="s">
        <v>928</v>
      </c>
      <c r="I31" s="147"/>
      <c r="J31" s="15"/>
      <c r="K31" s="15"/>
      <c r="L31" s="16"/>
      <c r="M31" s="26">
        <f>IFERROR(VLOOKUP(tblRiskRegister3234[[#This Row],[Asset Class]],tblVCDBIndex[],4,FALSE),"")</f>
        <v>3</v>
      </c>
      <c r="N31" s="29" t="str">
        <f>IFERROR(VLOOKUP(10*tblRiskRegister3234[[#This Row],[Safeguard Maturity Score]]+tblRiskRegister3234[[#This Row],[VCDB Index]],tblHITIndexWeightTable[],4,FALSE),"")</f>
        <v/>
      </c>
      <c r="O31" s="29" t="str">
        <f>VLOOKUP(tblRiskRegister3234[[#This Row],[Asset Class]],tblInherentImpacts30[],2,FALSE)</f>
        <v/>
      </c>
      <c r="P31" s="29">
        <f>VLOOKUP(tblRiskRegister3234[[#This Row],[Asset Class]],tblInherentImpacts30[],3,FALSE)</f>
        <v>0</v>
      </c>
      <c r="Q31" s="29">
        <f>VLOOKUP(tblRiskRegister3234[[#This Row],[Asset Class]],tblInherentImpacts30[],4,FALSE)</f>
        <v>0</v>
      </c>
      <c r="R31" s="29">
        <f>VLOOKUP(tblRiskRegister3234[[#This Row],[Asset Class]],tblInherentImpacts30[],5,FALSE)</f>
        <v>0</v>
      </c>
      <c r="S31" s="29" t="str">
        <f>IFERROR(MAX(tblRiskRegister3234[[#This Row],[Impact to Mission]:[Impact to Obligations]])*tblRiskRegister3234[[#This Row],[Expectancy Score]],"")</f>
        <v/>
      </c>
      <c r="T31" s="29" t="str">
        <f>tblRiskRegister3234[[#This Row],[Risk Score]]</f>
        <v/>
      </c>
      <c r="U31" s="100"/>
      <c r="V31" s="112">
        <v>10.199999999999999</v>
      </c>
      <c r="W31" s="44" t="s">
        <v>27</v>
      </c>
      <c r="X31" s="44" t="s">
        <v>719</v>
      </c>
      <c r="Y31" s="30"/>
      <c r="Z31" s="16"/>
      <c r="AA31" s="27" t="str">
        <f>IFERROR(VLOOKUP(10*tblRiskRegister3234[[#This Row],[Risk Treatment Safeguard Maturity Score]]+tblRiskRegister3234[[#This Row],[VCDB Index]],tblHITIndexWeightTable[],4,FALSE),"")</f>
        <v/>
      </c>
      <c r="AB31" s="138" t="str">
        <f>VLOOKUP(tblRiskRegister3234[[#This Row],[Asset Class]],tblInherentImpacts30[],2,FALSE)</f>
        <v/>
      </c>
      <c r="AC31" s="138">
        <f>VLOOKUP(tblRiskRegister3234[[#This Row],[Asset Class]],tblInherentImpacts30[],3,FALSE)</f>
        <v>0</v>
      </c>
      <c r="AD31" s="138">
        <f>VLOOKUP(tblRiskRegister3234[[#This Row],[Asset Class]],tblInherentImpacts30[],4,FALSE)</f>
        <v>0</v>
      </c>
      <c r="AE31" s="138">
        <f>VLOOKUP(tblRiskRegister3234[[#This Row],[Asset Class]],tblInherentImpacts30[],5,FALSE)</f>
        <v>0</v>
      </c>
      <c r="AF31" s="138" t="str">
        <f>IFERROR(MAX(tblRiskRegister3234[[#This Row],[Risk Treatment Safeguard Impact to Mission]:[Risk Treatment Safeguard Impact to Obligations]])*tblRiskRegister3234[[#This Row],[Risk Treatment
Safeguard Expectancy Score]],"")</f>
        <v/>
      </c>
      <c r="AG31" s="138" t="str">
        <f>IF(tblRiskRegister3234[[#This Row],[Risk Score]]&gt;AcceptableRisk,IF(tblRiskRegister3234[[#This Row],[Risk Treatment Safeguard Risk Score]]&lt;AcceptableRisk, IF(tblRiskRegister3234[[#This Row],[Risk Treatment Safeguard Risk Score]]&lt;=tblRiskRegister3234[[#This Row],[Risk Score]],"Yes","No"),"No"),"Yes")</f>
        <v>No</v>
      </c>
      <c r="AH31" s="18"/>
      <c r="AI31" s="18"/>
      <c r="AJ31" s="19"/>
    </row>
    <row r="32" spans="2:40" x14ac:dyDescent="0.2">
      <c r="B32" s="44" t="s">
        <v>130</v>
      </c>
      <c r="C32" s="44"/>
      <c r="D32" s="13">
        <v>10.3</v>
      </c>
      <c r="E32" s="14" t="s">
        <v>617</v>
      </c>
      <c r="F32" s="17"/>
      <c r="G32" s="17" t="s">
        <v>785</v>
      </c>
      <c r="H32" s="17" t="s">
        <v>928</v>
      </c>
      <c r="I32" s="147"/>
      <c r="J32" s="15"/>
      <c r="K32" s="15"/>
      <c r="L32" s="16"/>
      <c r="M32" s="26">
        <f>IFERROR(VLOOKUP(tblRiskRegister3234[[#This Row],[Asset Class]],tblVCDBIndex[],4,FALSE),"")</f>
        <v>3</v>
      </c>
      <c r="N32" s="29" t="str">
        <f>IFERROR(VLOOKUP(10*tblRiskRegister3234[[#This Row],[Safeguard Maturity Score]]+tblRiskRegister3234[[#This Row],[VCDB Index]],tblHITIndexWeightTable[],4,FALSE),"")</f>
        <v/>
      </c>
      <c r="O32" s="29" t="str">
        <f>VLOOKUP(tblRiskRegister3234[[#This Row],[Asset Class]],tblInherentImpacts30[],2,FALSE)</f>
        <v/>
      </c>
      <c r="P32" s="29">
        <f>VLOOKUP(tblRiskRegister3234[[#This Row],[Asset Class]],tblInherentImpacts30[],3,FALSE)</f>
        <v>0</v>
      </c>
      <c r="Q32" s="29">
        <f>VLOOKUP(tblRiskRegister3234[[#This Row],[Asset Class]],tblInherentImpacts30[],4,FALSE)</f>
        <v>0</v>
      </c>
      <c r="R32" s="29">
        <f>VLOOKUP(tblRiskRegister3234[[#This Row],[Asset Class]],tblInherentImpacts30[],5,FALSE)</f>
        <v>0</v>
      </c>
      <c r="S32" s="29" t="str">
        <f>IFERROR(MAX(tblRiskRegister3234[[#This Row],[Impact to Mission]:[Impact to Obligations]])*tblRiskRegister3234[[#This Row],[Expectancy Score]],"")</f>
        <v/>
      </c>
      <c r="T32" s="29" t="str">
        <f>tblRiskRegister3234[[#This Row],[Risk Score]]</f>
        <v/>
      </c>
      <c r="U32" s="100"/>
      <c r="V32" s="112">
        <v>10.3</v>
      </c>
      <c r="W32" s="44" t="s">
        <v>617</v>
      </c>
      <c r="X32" s="44"/>
      <c r="Y32" s="30"/>
      <c r="Z32" s="16"/>
      <c r="AA32" s="27" t="str">
        <f>IFERROR(VLOOKUP(10*tblRiskRegister3234[[#This Row],[Risk Treatment Safeguard Maturity Score]]+tblRiskRegister3234[[#This Row],[VCDB Index]],tblHITIndexWeightTable[],4,FALSE),"")</f>
        <v/>
      </c>
      <c r="AB32" s="138" t="str">
        <f>VLOOKUP(tblRiskRegister3234[[#This Row],[Asset Class]],tblInherentImpacts30[],2,FALSE)</f>
        <v/>
      </c>
      <c r="AC32" s="138">
        <f>VLOOKUP(tblRiskRegister3234[[#This Row],[Asset Class]],tblInherentImpacts30[],3,FALSE)</f>
        <v>0</v>
      </c>
      <c r="AD32" s="138">
        <f>VLOOKUP(tblRiskRegister3234[[#This Row],[Asset Class]],tblInherentImpacts30[],4,FALSE)</f>
        <v>0</v>
      </c>
      <c r="AE32" s="138">
        <f>VLOOKUP(tblRiskRegister3234[[#This Row],[Asset Class]],tblInherentImpacts30[],5,FALSE)</f>
        <v>0</v>
      </c>
      <c r="AF32" s="138" t="str">
        <f>IFERROR(MAX(tblRiskRegister3234[[#This Row],[Risk Treatment Safeguard Impact to Mission]:[Risk Treatment Safeguard Impact to Obligations]])*tblRiskRegister3234[[#This Row],[Risk Treatment
Safeguard Expectancy Score]],"")</f>
        <v/>
      </c>
      <c r="AG32" s="138" t="str">
        <f>IF(tblRiskRegister3234[[#This Row],[Risk Score]]&gt;AcceptableRisk,IF(tblRiskRegister3234[[#This Row],[Risk Treatment Safeguard Risk Score]]&lt;AcceptableRisk, IF(tblRiskRegister3234[[#This Row],[Risk Treatment Safeguard Risk Score]]&lt;=tblRiskRegister3234[[#This Row],[Risk Score]],"Yes","No"),"No"),"Yes")</f>
        <v>No</v>
      </c>
      <c r="AH32" s="18"/>
      <c r="AI32" s="18"/>
      <c r="AJ32" s="19"/>
    </row>
    <row r="33" spans="2:36" ht="38.25" x14ac:dyDescent="0.2">
      <c r="B33" s="44" t="s">
        <v>130</v>
      </c>
      <c r="C33" s="44"/>
      <c r="D33" s="13">
        <v>10.4</v>
      </c>
      <c r="E33" s="14" t="s">
        <v>71</v>
      </c>
      <c r="F33" s="17" t="s">
        <v>785</v>
      </c>
      <c r="G33" s="17" t="s">
        <v>785</v>
      </c>
      <c r="H33" s="17" t="s">
        <v>928</v>
      </c>
      <c r="I33" s="147"/>
      <c r="J33" s="15"/>
      <c r="K33" s="15"/>
      <c r="L33" s="16"/>
      <c r="M33" s="26">
        <f>IFERROR(VLOOKUP(tblRiskRegister3234[[#This Row],[Asset Class]],tblVCDBIndex[],4,FALSE),"")</f>
        <v>3</v>
      </c>
      <c r="N33" s="29" t="str">
        <f>IFERROR(VLOOKUP(10*tblRiskRegister3234[[#This Row],[Safeguard Maturity Score]]+tblRiskRegister3234[[#This Row],[VCDB Index]],tblHITIndexWeightTable[],4,FALSE),"")</f>
        <v/>
      </c>
      <c r="O33" s="29" t="str">
        <f>VLOOKUP(tblRiskRegister3234[[#This Row],[Asset Class]],tblInherentImpacts30[],2,FALSE)</f>
        <v/>
      </c>
      <c r="P33" s="29">
        <f>VLOOKUP(tblRiskRegister3234[[#This Row],[Asset Class]],tblInherentImpacts30[],3,FALSE)</f>
        <v>0</v>
      </c>
      <c r="Q33" s="29">
        <f>VLOOKUP(tblRiskRegister3234[[#This Row],[Asset Class]],tblInherentImpacts30[],4,FALSE)</f>
        <v>0</v>
      </c>
      <c r="R33" s="29">
        <f>VLOOKUP(tblRiskRegister3234[[#This Row],[Asset Class]],tblInherentImpacts30[],5,FALSE)</f>
        <v>0</v>
      </c>
      <c r="S33" s="29" t="str">
        <f>IFERROR(MAX(tblRiskRegister3234[[#This Row],[Impact to Mission]:[Impact to Obligations]])*tblRiskRegister3234[[#This Row],[Expectancy Score]],"")</f>
        <v/>
      </c>
      <c r="T33" s="29" t="str">
        <f>tblRiskRegister3234[[#This Row],[Risk Score]]</f>
        <v/>
      </c>
      <c r="U33" s="100"/>
      <c r="V33" s="112">
        <v>10.4</v>
      </c>
      <c r="W33" s="44" t="s">
        <v>71</v>
      </c>
      <c r="X33" s="44" t="s">
        <v>166</v>
      </c>
      <c r="Y33" s="30"/>
      <c r="Z33" s="16"/>
      <c r="AA33" s="27" t="str">
        <f>IFERROR(VLOOKUP(10*tblRiskRegister3234[[#This Row],[Risk Treatment Safeguard Maturity Score]]+tblRiskRegister3234[[#This Row],[VCDB Index]],tblHITIndexWeightTable[],4,FALSE),"")</f>
        <v/>
      </c>
      <c r="AB33" s="138" t="str">
        <f>VLOOKUP(tblRiskRegister3234[[#This Row],[Asset Class]],tblInherentImpacts30[],2,FALSE)</f>
        <v/>
      </c>
      <c r="AC33" s="138">
        <f>VLOOKUP(tblRiskRegister3234[[#This Row],[Asset Class]],tblInherentImpacts30[],3,FALSE)</f>
        <v>0</v>
      </c>
      <c r="AD33" s="138">
        <f>VLOOKUP(tblRiskRegister3234[[#This Row],[Asset Class]],tblInherentImpacts30[],4,FALSE)</f>
        <v>0</v>
      </c>
      <c r="AE33" s="138">
        <f>VLOOKUP(tblRiskRegister3234[[#This Row],[Asset Class]],tblInherentImpacts30[],5,FALSE)</f>
        <v>0</v>
      </c>
      <c r="AF33" s="138" t="str">
        <f>IFERROR(MAX(tblRiskRegister3234[[#This Row],[Risk Treatment Safeguard Impact to Mission]:[Risk Treatment Safeguard Impact to Obligations]])*tblRiskRegister3234[[#This Row],[Risk Treatment
Safeguard Expectancy Score]],"")</f>
        <v/>
      </c>
      <c r="AG33" s="138" t="str">
        <f>IF(tblRiskRegister3234[[#This Row],[Risk Score]]&gt;AcceptableRisk,IF(tblRiskRegister3234[[#This Row],[Risk Treatment Safeguard Risk Score]]&lt;AcceptableRisk, IF(tblRiskRegister3234[[#This Row],[Risk Treatment Safeguard Risk Score]]&lt;=tblRiskRegister3234[[#This Row],[Risk Score]],"Yes","No"),"No"),"Yes")</f>
        <v>No</v>
      </c>
      <c r="AH33" s="18"/>
      <c r="AI33" s="18"/>
      <c r="AJ33" s="19"/>
    </row>
    <row r="34" spans="2:36" ht="25.5" x14ac:dyDescent="0.2">
      <c r="B34" s="15" t="s">
        <v>130</v>
      </c>
      <c r="C34" s="15"/>
      <c r="D34" s="13">
        <v>10.5</v>
      </c>
      <c r="E34" s="14" t="s">
        <v>72</v>
      </c>
      <c r="F34" s="17" t="s">
        <v>785</v>
      </c>
      <c r="G34" s="17" t="s">
        <v>785</v>
      </c>
      <c r="H34" s="17" t="s">
        <v>928</v>
      </c>
      <c r="I34" s="147"/>
      <c r="J34" s="15"/>
      <c r="K34" s="15"/>
      <c r="L34" s="16"/>
      <c r="M34" s="26">
        <f>IFERROR(VLOOKUP(tblRiskRegister3234[[#This Row],[Asset Class]],tblVCDBIndex[],4,FALSE),"")</f>
        <v>3</v>
      </c>
      <c r="N34" s="26" t="str">
        <f>IFERROR(VLOOKUP(10*tblRiskRegister3234[[#This Row],[Safeguard Maturity Score]]+tblRiskRegister3234[[#This Row],[VCDB Index]],tblHITIndexWeightTable[],4,FALSE),"")</f>
        <v/>
      </c>
      <c r="O34" s="26" t="str">
        <f>VLOOKUP(tblRiskRegister3234[[#This Row],[Asset Class]],tblInherentImpacts30[],2,FALSE)</f>
        <v/>
      </c>
      <c r="P34" s="26">
        <f>VLOOKUP(tblRiskRegister3234[[#This Row],[Asset Class]],tblInherentImpacts30[],3,FALSE)</f>
        <v>0</v>
      </c>
      <c r="Q34" s="26">
        <f>VLOOKUP(tblRiskRegister3234[[#This Row],[Asset Class]],tblInherentImpacts30[],4,FALSE)</f>
        <v>0</v>
      </c>
      <c r="R34" s="26">
        <f>VLOOKUP(tblRiskRegister3234[[#This Row],[Asset Class]],tblInherentImpacts30[],5,FALSE)</f>
        <v>0</v>
      </c>
      <c r="S34" s="26" t="str">
        <f>IFERROR(MAX(tblRiskRegister3234[[#This Row],[Impact to Mission]:[Impact to Obligations]])*tblRiskRegister3234[[#This Row],[Expectancy Score]],"")</f>
        <v/>
      </c>
      <c r="T34" s="26" t="str">
        <f>tblRiskRegister3234[[#This Row],[Risk Score]]</f>
        <v/>
      </c>
      <c r="U34" s="100"/>
      <c r="V34" s="100">
        <v>10.5</v>
      </c>
      <c r="W34" s="15" t="s">
        <v>72</v>
      </c>
      <c r="X34" s="15" t="s">
        <v>720</v>
      </c>
      <c r="Y34" s="15"/>
      <c r="Z34" s="16"/>
      <c r="AA34" s="27" t="str">
        <f>IFERROR(VLOOKUP(10*tblRiskRegister3234[[#This Row],[Risk Treatment Safeguard Maturity Score]]+tblRiskRegister3234[[#This Row],[VCDB Index]],tblHITIndexWeightTable[],4,FALSE),"")</f>
        <v/>
      </c>
      <c r="AB34" s="138" t="str">
        <f>VLOOKUP(tblRiskRegister3234[[#This Row],[Asset Class]],tblInherentImpacts30[],2,FALSE)</f>
        <v/>
      </c>
      <c r="AC34" s="138">
        <f>VLOOKUP(tblRiskRegister3234[[#This Row],[Asset Class]],tblInherentImpacts30[],3,FALSE)</f>
        <v>0</v>
      </c>
      <c r="AD34" s="138">
        <f>VLOOKUP(tblRiskRegister3234[[#This Row],[Asset Class]],tblInherentImpacts30[],4,FALSE)</f>
        <v>0</v>
      </c>
      <c r="AE34" s="138">
        <f>VLOOKUP(tblRiskRegister3234[[#This Row],[Asset Class]],tblInherentImpacts30[],5,FALSE)</f>
        <v>0</v>
      </c>
      <c r="AF34" s="138" t="str">
        <f>IFERROR(MAX(tblRiskRegister3234[[#This Row],[Risk Treatment Safeguard Impact to Mission]:[Risk Treatment Safeguard Impact to Obligations]])*tblRiskRegister3234[[#This Row],[Risk Treatment
Safeguard Expectancy Score]],"")</f>
        <v/>
      </c>
      <c r="AG34" s="138" t="str">
        <f>IF(tblRiskRegister3234[[#This Row],[Risk Score]]&gt;AcceptableRisk,IF(tblRiskRegister3234[[#This Row],[Risk Treatment Safeguard Risk Score]]&lt;AcceptableRisk, IF(tblRiskRegister3234[[#This Row],[Risk Treatment Safeguard Risk Score]]&lt;=tblRiskRegister3234[[#This Row],[Risk Score]],"Yes","No"),"No"),"Yes")</f>
        <v>No</v>
      </c>
      <c r="AH34" s="18"/>
      <c r="AI34" s="18"/>
      <c r="AJ34" s="19"/>
    </row>
    <row r="35" spans="2:36" ht="38.25" x14ac:dyDescent="0.2">
      <c r="B35" s="15" t="s">
        <v>130</v>
      </c>
      <c r="C35" s="15"/>
      <c r="D35" s="13">
        <v>13.1</v>
      </c>
      <c r="E35" s="14" t="s">
        <v>75</v>
      </c>
      <c r="F35" s="17" t="s">
        <v>785</v>
      </c>
      <c r="G35" s="17" t="s">
        <v>785</v>
      </c>
      <c r="H35" s="17" t="s">
        <v>926</v>
      </c>
      <c r="I35" s="147"/>
      <c r="J35" s="15"/>
      <c r="K35" s="15"/>
      <c r="L35" s="16"/>
      <c r="M35" s="26">
        <f>IFERROR(VLOOKUP(tblRiskRegister3234[[#This Row],[Asset Class]],tblVCDBIndex[],4,FALSE),"")</f>
        <v>3</v>
      </c>
      <c r="N35" s="26" t="str">
        <f>IFERROR(VLOOKUP(10*tblRiskRegister3234[[#This Row],[Safeguard Maturity Score]]+tblRiskRegister3234[[#This Row],[VCDB Index]],tblHITIndexWeightTable[],4,FALSE),"")</f>
        <v/>
      </c>
      <c r="O35" s="26" t="str">
        <f>VLOOKUP(tblRiskRegister3234[[#This Row],[Asset Class]],tblInherentImpacts30[],2,FALSE)</f>
        <v/>
      </c>
      <c r="P35" s="26">
        <f>VLOOKUP(tblRiskRegister3234[[#This Row],[Asset Class]],tblInherentImpacts30[],3,FALSE)</f>
        <v>0</v>
      </c>
      <c r="Q35" s="26">
        <f>VLOOKUP(tblRiskRegister3234[[#This Row],[Asset Class]],tblInherentImpacts30[],4,FALSE)</f>
        <v>0</v>
      </c>
      <c r="R35" s="26">
        <f>VLOOKUP(tblRiskRegister3234[[#This Row],[Asset Class]],tblInherentImpacts30[],5,FALSE)</f>
        <v>0</v>
      </c>
      <c r="S35" s="26" t="str">
        <f>IFERROR(MAX(tblRiskRegister3234[[#This Row],[Impact to Mission]:[Impact to Obligations]])*tblRiskRegister3234[[#This Row],[Expectancy Score]],"")</f>
        <v/>
      </c>
      <c r="T35" s="26" t="str">
        <f>tblRiskRegister3234[[#This Row],[Risk Score]]</f>
        <v/>
      </c>
      <c r="U35" s="100"/>
      <c r="V35" s="100">
        <v>13.1</v>
      </c>
      <c r="W35" s="15" t="s">
        <v>75</v>
      </c>
      <c r="X35" s="15" t="s">
        <v>733</v>
      </c>
      <c r="Y35" s="15"/>
      <c r="Z35" s="16"/>
      <c r="AA35" s="27" t="str">
        <f>IFERROR(VLOOKUP(10*tblRiskRegister3234[[#This Row],[Risk Treatment Safeguard Maturity Score]]+tblRiskRegister3234[[#This Row],[VCDB Index]],tblHITIndexWeightTable[],4,FALSE),"")</f>
        <v/>
      </c>
      <c r="AB35" s="138" t="str">
        <f>VLOOKUP(tblRiskRegister3234[[#This Row],[Asset Class]],tblInherentImpacts30[],2,FALSE)</f>
        <v/>
      </c>
      <c r="AC35" s="138">
        <f>VLOOKUP(tblRiskRegister3234[[#This Row],[Asset Class]],tblInherentImpacts30[],3,FALSE)</f>
        <v>0</v>
      </c>
      <c r="AD35" s="138">
        <f>VLOOKUP(tblRiskRegister3234[[#This Row],[Asset Class]],tblInherentImpacts30[],4,FALSE)</f>
        <v>0</v>
      </c>
      <c r="AE35" s="138">
        <f>VLOOKUP(tblRiskRegister3234[[#This Row],[Asset Class]],tblInherentImpacts30[],5,FALSE)</f>
        <v>0</v>
      </c>
      <c r="AF35" s="138" t="str">
        <f>IFERROR(MAX(tblRiskRegister3234[[#This Row],[Risk Treatment Safeguard Impact to Mission]:[Risk Treatment Safeguard Impact to Obligations]])*tblRiskRegister3234[[#This Row],[Risk Treatment
Safeguard Expectancy Score]],"")</f>
        <v/>
      </c>
      <c r="AG35" s="138" t="str">
        <f>IF(tblRiskRegister3234[[#This Row],[Risk Score]]&gt;AcceptableRisk,IF(tblRiskRegister3234[[#This Row],[Risk Treatment Safeguard Risk Score]]&lt;AcceptableRisk, IF(tblRiskRegister3234[[#This Row],[Risk Treatment Safeguard Risk Score]]&lt;=tblRiskRegister3234[[#This Row],[Risk Score]],"Yes","No"),"No"),"Yes")</f>
        <v>No</v>
      </c>
      <c r="AH35" s="18"/>
      <c r="AI35" s="18"/>
      <c r="AJ35" s="19"/>
    </row>
    <row r="36" spans="2:36" ht="51" x14ac:dyDescent="0.2">
      <c r="B36" s="15" t="s">
        <v>130</v>
      </c>
      <c r="C36" s="15"/>
      <c r="D36" s="13">
        <v>13.2</v>
      </c>
      <c r="E36" s="14" t="s">
        <v>29</v>
      </c>
      <c r="F36" s="17" t="s">
        <v>785</v>
      </c>
      <c r="G36" s="17" t="s">
        <v>785</v>
      </c>
      <c r="H36" s="17" t="s">
        <v>928</v>
      </c>
      <c r="I36" s="147"/>
      <c r="J36" s="15"/>
      <c r="K36" s="15"/>
      <c r="L36" s="16"/>
      <c r="M36" s="26">
        <f>IFERROR(VLOOKUP(tblRiskRegister3234[[#This Row],[Asset Class]],tblVCDBIndex[],4,FALSE),"")</f>
        <v>3</v>
      </c>
      <c r="N36" s="26" t="str">
        <f>IFERROR(VLOOKUP(10*tblRiskRegister3234[[#This Row],[Safeguard Maturity Score]]+tblRiskRegister3234[[#This Row],[VCDB Index]],tblHITIndexWeightTable[],4,FALSE),"")</f>
        <v/>
      </c>
      <c r="O36" s="26" t="str">
        <f>VLOOKUP(tblRiskRegister3234[[#This Row],[Asset Class]],tblInherentImpacts30[],2,FALSE)</f>
        <v/>
      </c>
      <c r="P36" s="26">
        <f>VLOOKUP(tblRiskRegister3234[[#This Row],[Asset Class]],tblInherentImpacts30[],3,FALSE)</f>
        <v>0</v>
      </c>
      <c r="Q36" s="26">
        <f>VLOOKUP(tblRiskRegister3234[[#This Row],[Asset Class]],tblInherentImpacts30[],4,FALSE)</f>
        <v>0</v>
      </c>
      <c r="R36" s="26">
        <f>VLOOKUP(tblRiskRegister3234[[#This Row],[Asset Class]],tblInherentImpacts30[],5,FALSE)</f>
        <v>0</v>
      </c>
      <c r="S36" s="26" t="str">
        <f>IFERROR(MAX(tblRiskRegister3234[[#This Row],[Impact to Mission]:[Impact to Obligations]])*tblRiskRegister3234[[#This Row],[Expectancy Score]],"")</f>
        <v/>
      </c>
      <c r="T36" s="26" t="str">
        <f>tblRiskRegister3234[[#This Row],[Risk Score]]</f>
        <v/>
      </c>
      <c r="U36" s="100"/>
      <c r="V36" s="100">
        <v>13.2</v>
      </c>
      <c r="W36" s="15" t="s">
        <v>29</v>
      </c>
      <c r="X36" s="15" t="s">
        <v>734</v>
      </c>
      <c r="Y36" s="15"/>
      <c r="Z36" s="16"/>
      <c r="AA36" s="27" t="str">
        <f>IFERROR(VLOOKUP(10*tblRiskRegister3234[[#This Row],[Risk Treatment Safeguard Maturity Score]]+tblRiskRegister3234[[#This Row],[VCDB Index]],tblHITIndexWeightTable[],4,FALSE),"")</f>
        <v/>
      </c>
      <c r="AB36" s="138" t="str">
        <f>VLOOKUP(tblRiskRegister3234[[#This Row],[Asset Class]],tblInherentImpacts30[],2,FALSE)</f>
        <v/>
      </c>
      <c r="AC36" s="138">
        <f>VLOOKUP(tblRiskRegister3234[[#This Row],[Asset Class]],tblInherentImpacts30[],3,FALSE)</f>
        <v>0</v>
      </c>
      <c r="AD36" s="138">
        <f>VLOOKUP(tblRiskRegister3234[[#This Row],[Asset Class]],tblInherentImpacts30[],4,FALSE)</f>
        <v>0</v>
      </c>
      <c r="AE36" s="138">
        <f>VLOOKUP(tblRiskRegister3234[[#This Row],[Asset Class]],tblInherentImpacts30[],5,FALSE)</f>
        <v>0</v>
      </c>
      <c r="AF36" s="138" t="str">
        <f>IFERROR(MAX(tblRiskRegister3234[[#This Row],[Risk Treatment Safeguard Impact to Mission]:[Risk Treatment Safeguard Impact to Obligations]])*tblRiskRegister3234[[#This Row],[Risk Treatment
Safeguard Expectancy Score]],"")</f>
        <v/>
      </c>
      <c r="AG36" s="138" t="str">
        <f>IF(tblRiskRegister3234[[#This Row],[Risk Score]]&gt;AcceptableRisk,IF(tblRiskRegister3234[[#This Row],[Risk Treatment Safeguard Risk Score]]&lt;AcceptableRisk, IF(tblRiskRegister3234[[#This Row],[Risk Treatment Safeguard Risk Score]]&lt;=tblRiskRegister3234[[#This Row],[Risk Score]],"Yes","No"),"No"),"Yes")</f>
        <v>No</v>
      </c>
      <c r="AH36" s="18"/>
      <c r="AI36" s="18"/>
      <c r="AJ36" s="19"/>
    </row>
    <row r="37" spans="2:36" ht="25.5" x14ac:dyDescent="0.2">
      <c r="B37" s="44" t="s">
        <v>130</v>
      </c>
      <c r="C37" s="44"/>
      <c r="D37" s="13">
        <v>13.4</v>
      </c>
      <c r="E37" s="14" t="s">
        <v>630</v>
      </c>
      <c r="F37" s="17"/>
      <c r="G37" s="17" t="s">
        <v>785</v>
      </c>
      <c r="H37" s="17" t="s">
        <v>928</v>
      </c>
      <c r="I37" s="147"/>
      <c r="J37" s="15"/>
      <c r="K37" s="15"/>
      <c r="L37" s="16"/>
      <c r="M37" s="26">
        <f>IFERROR(VLOOKUP(tblRiskRegister3234[[#This Row],[Asset Class]],tblVCDBIndex[],4,FALSE),"")</f>
        <v>3</v>
      </c>
      <c r="N37" s="29" t="str">
        <f>IFERROR(VLOOKUP(10*tblRiskRegister3234[[#This Row],[Safeguard Maturity Score]]+tblRiskRegister3234[[#This Row],[VCDB Index]],tblHITIndexWeightTable[],4,FALSE),"")</f>
        <v/>
      </c>
      <c r="O37" s="29" t="str">
        <f>VLOOKUP(tblRiskRegister3234[[#This Row],[Asset Class]],tblInherentImpacts30[],2,FALSE)</f>
        <v/>
      </c>
      <c r="P37" s="29">
        <f>VLOOKUP(tblRiskRegister3234[[#This Row],[Asset Class]],tblInherentImpacts30[],3,FALSE)</f>
        <v>0</v>
      </c>
      <c r="Q37" s="29">
        <f>VLOOKUP(tblRiskRegister3234[[#This Row],[Asset Class]],tblInherentImpacts30[],4,FALSE)</f>
        <v>0</v>
      </c>
      <c r="R37" s="29">
        <f>VLOOKUP(tblRiskRegister3234[[#This Row],[Asset Class]],tblInherentImpacts30[],5,FALSE)</f>
        <v>0</v>
      </c>
      <c r="S37" s="29" t="str">
        <f>IFERROR(MAX(tblRiskRegister3234[[#This Row],[Impact to Mission]:[Impact to Obligations]])*tblRiskRegister3234[[#This Row],[Expectancy Score]],"")</f>
        <v/>
      </c>
      <c r="T37" s="29" t="str">
        <f>tblRiskRegister3234[[#This Row],[Risk Score]]</f>
        <v/>
      </c>
      <c r="U37" s="100"/>
      <c r="V37" s="112">
        <v>13.4</v>
      </c>
      <c r="W37" s="44" t="s">
        <v>630</v>
      </c>
      <c r="X37" s="44" t="s">
        <v>735</v>
      </c>
      <c r="Y37" s="30"/>
      <c r="Z37" s="16"/>
      <c r="AA37" s="27" t="str">
        <f>IFERROR(VLOOKUP(10*tblRiskRegister3234[[#This Row],[Risk Treatment Safeguard Maturity Score]]+tblRiskRegister3234[[#This Row],[VCDB Index]],tblHITIndexWeightTable[],4,FALSE),"")</f>
        <v/>
      </c>
      <c r="AB37" s="138" t="str">
        <f>VLOOKUP(tblRiskRegister3234[[#This Row],[Asset Class]],tblInherentImpacts30[],2,FALSE)</f>
        <v/>
      </c>
      <c r="AC37" s="138">
        <f>VLOOKUP(tblRiskRegister3234[[#This Row],[Asset Class]],tblInherentImpacts30[],3,FALSE)</f>
        <v>0</v>
      </c>
      <c r="AD37" s="138">
        <f>VLOOKUP(tblRiskRegister3234[[#This Row],[Asset Class]],tblInherentImpacts30[],4,FALSE)</f>
        <v>0</v>
      </c>
      <c r="AE37" s="138">
        <f>VLOOKUP(tblRiskRegister3234[[#This Row],[Asset Class]],tblInherentImpacts30[],5,FALSE)</f>
        <v>0</v>
      </c>
      <c r="AF37" s="138" t="str">
        <f>IFERROR(MAX(tblRiskRegister3234[[#This Row],[Risk Treatment Safeguard Impact to Mission]:[Risk Treatment Safeguard Impact to Obligations]])*tblRiskRegister3234[[#This Row],[Risk Treatment
Safeguard Expectancy Score]],"")</f>
        <v/>
      </c>
      <c r="AG37" s="138" t="str">
        <f>IF(tblRiskRegister3234[[#This Row],[Risk Score]]&gt;AcceptableRisk,IF(tblRiskRegister3234[[#This Row],[Risk Treatment Safeguard Risk Score]]&lt;AcceptableRisk, IF(tblRiskRegister3234[[#This Row],[Risk Treatment Safeguard Risk Score]]&lt;=tblRiskRegister3234[[#This Row],[Risk Score]],"Yes","No"),"No"),"Yes")</f>
        <v>No</v>
      </c>
      <c r="AH37" s="18"/>
      <c r="AI37" s="18"/>
      <c r="AJ37" s="19"/>
    </row>
    <row r="38" spans="2:36" ht="25.5" x14ac:dyDescent="0.2">
      <c r="B38" s="44" t="s">
        <v>130</v>
      </c>
      <c r="C38" s="44"/>
      <c r="D38" s="13">
        <v>13.6</v>
      </c>
      <c r="E38" s="14" t="s">
        <v>76</v>
      </c>
      <c r="F38" s="17" t="s">
        <v>785</v>
      </c>
      <c r="G38" s="17" t="s">
        <v>785</v>
      </c>
      <c r="H38" s="17" t="s">
        <v>928</v>
      </c>
      <c r="I38" s="147"/>
      <c r="J38" s="15"/>
      <c r="K38" s="15"/>
      <c r="L38" s="16"/>
      <c r="M38" s="26">
        <f>IFERROR(VLOOKUP(tblRiskRegister3234[[#This Row],[Asset Class]],tblVCDBIndex[],4,FALSE),"")</f>
        <v>3</v>
      </c>
      <c r="N38" s="29" t="str">
        <f>IFERROR(VLOOKUP(10*tblRiskRegister3234[[#This Row],[Safeguard Maturity Score]]+tblRiskRegister3234[[#This Row],[VCDB Index]],tblHITIndexWeightTable[],4,FALSE),"")</f>
        <v/>
      </c>
      <c r="O38" s="29" t="str">
        <f>VLOOKUP(tblRiskRegister3234[[#This Row],[Asset Class]],tblInherentImpacts30[],2,FALSE)</f>
        <v/>
      </c>
      <c r="P38" s="29">
        <f>VLOOKUP(tblRiskRegister3234[[#This Row],[Asset Class]],tblInherentImpacts30[],3,FALSE)</f>
        <v>0</v>
      </c>
      <c r="Q38" s="29">
        <f>VLOOKUP(tblRiskRegister3234[[#This Row],[Asset Class]],tblInherentImpacts30[],4,FALSE)</f>
        <v>0</v>
      </c>
      <c r="R38" s="29">
        <f>VLOOKUP(tblRiskRegister3234[[#This Row],[Asset Class]],tblInherentImpacts30[],5,FALSE)</f>
        <v>0</v>
      </c>
      <c r="S38" s="29" t="str">
        <f>IFERROR(MAX(tblRiskRegister3234[[#This Row],[Impact to Mission]:[Impact to Obligations]])*tblRiskRegister3234[[#This Row],[Expectancy Score]],"")</f>
        <v/>
      </c>
      <c r="T38" s="29" t="str">
        <f>tblRiskRegister3234[[#This Row],[Risk Score]]</f>
        <v/>
      </c>
      <c r="U38" s="100"/>
      <c r="V38" s="112">
        <v>13.6</v>
      </c>
      <c r="W38" s="44" t="s">
        <v>76</v>
      </c>
      <c r="X38" s="44" t="s">
        <v>736</v>
      </c>
      <c r="Y38" s="30"/>
      <c r="Z38" s="16"/>
      <c r="AA38" s="27" t="str">
        <f>IFERROR(VLOOKUP(10*tblRiskRegister3234[[#This Row],[Risk Treatment Safeguard Maturity Score]]+tblRiskRegister3234[[#This Row],[VCDB Index]],tblHITIndexWeightTable[],4,FALSE),"")</f>
        <v/>
      </c>
      <c r="AB38" s="138" t="str">
        <f>VLOOKUP(tblRiskRegister3234[[#This Row],[Asset Class]],tblInherentImpacts30[],2,FALSE)</f>
        <v/>
      </c>
      <c r="AC38" s="138">
        <f>VLOOKUP(tblRiskRegister3234[[#This Row],[Asset Class]],tblInherentImpacts30[],3,FALSE)</f>
        <v>0</v>
      </c>
      <c r="AD38" s="138">
        <f>VLOOKUP(tblRiskRegister3234[[#This Row],[Asset Class]],tblInherentImpacts30[],4,FALSE)</f>
        <v>0</v>
      </c>
      <c r="AE38" s="138">
        <f>VLOOKUP(tblRiskRegister3234[[#This Row],[Asset Class]],tblInherentImpacts30[],5,FALSE)</f>
        <v>0</v>
      </c>
      <c r="AF38" s="138" t="str">
        <f>IFERROR(MAX(tblRiskRegister3234[[#This Row],[Risk Treatment Safeguard Impact to Mission]:[Risk Treatment Safeguard Impact to Obligations]])*tblRiskRegister3234[[#This Row],[Risk Treatment
Safeguard Expectancy Score]],"")</f>
        <v/>
      </c>
      <c r="AG38" s="138" t="str">
        <f>IF(tblRiskRegister3234[[#This Row],[Risk Score]]&gt;AcceptableRisk,IF(tblRiskRegister3234[[#This Row],[Risk Treatment Safeguard Risk Score]]&lt;AcceptableRisk, IF(tblRiskRegister3234[[#This Row],[Risk Treatment Safeguard Risk Score]]&lt;=tblRiskRegister3234[[#This Row],[Risk Score]],"Yes","No"),"No"),"Yes")</f>
        <v>No</v>
      </c>
      <c r="AH38" s="18"/>
      <c r="AI38" s="18"/>
      <c r="AJ38" s="19"/>
    </row>
    <row r="39" spans="2:36" ht="38.25" x14ac:dyDescent="0.2">
      <c r="B39" s="44" t="s">
        <v>130</v>
      </c>
      <c r="C39" s="44"/>
      <c r="D39" s="13">
        <v>13.7</v>
      </c>
      <c r="E39" s="14" t="s">
        <v>631</v>
      </c>
      <c r="F39" s="17"/>
      <c r="G39" s="17" t="s">
        <v>785</v>
      </c>
      <c r="H39" s="17" t="s">
        <v>928</v>
      </c>
      <c r="I39" s="147"/>
      <c r="J39" s="15"/>
      <c r="K39" s="15"/>
      <c r="L39" s="16"/>
      <c r="M39" s="26">
        <f>IFERROR(VLOOKUP(tblRiskRegister3234[[#This Row],[Asset Class]],tblVCDBIndex[],4,FALSE),"")</f>
        <v>3</v>
      </c>
      <c r="N39" s="29" t="str">
        <f>IFERROR(VLOOKUP(10*tblRiskRegister3234[[#This Row],[Safeguard Maturity Score]]+tblRiskRegister3234[[#This Row],[VCDB Index]],tblHITIndexWeightTable[],4,FALSE),"")</f>
        <v/>
      </c>
      <c r="O39" s="29" t="str">
        <f>VLOOKUP(tblRiskRegister3234[[#This Row],[Asset Class]],tblInherentImpacts30[],2,FALSE)</f>
        <v/>
      </c>
      <c r="P39" s="29">
        <f>VLOOKUP(tblRiskRegister3234[[#This Row],[Asset Class]],tblInherentImpacts30[],3,FALSE)</f>
        <v>0</v>
      </c>
      <c r="Q39" s="29">
        <f>VLOOKUP(tblRiskRegister3234[[#This Row],[Asset Class]],tblInherentImpacts30[],4,FALSE)</f>
        <v>0</v>
      </c>
      <c r="R39" s="29">
        <f>VLOOKUP(tblRiskRegister3234[[#This Row],[Asset Class]],tblInherentImpacts30[],5,FALSE)</f>
        <v>0</v>
      </c>
      <c r="S39" s="29" t="str">
        <f>IFERROR(MAX(tblRiskRegister3234[[#This Row],[Impact to Mission]:[Impact to Obligations]])*tblRiskRegister3234[[#This Row],[Expectancy Score]],"")</f>
        <v/>
      </c>
      <c r="T39" s="29" t="str">
        <f>tblRiskRegister3234[[#This Row],[Risk Score]]</f>
        <v/>
      </c>
      <c r="U39" s="100"/>
      <c r="V39" s="112">
        <v>13.7</v>
      </c>
      <c r="W39" s="44" t="s">
        <v>631</v>
      </c>
      <c r="X39" s="44" t="s">
        <v>737</v>
      </c>
      <c r="Y39" s="30"/>
      <c r="Z39" s="16"/>
      <c r="AA39" s="27" t="str">
        <f>IFERROR(VLOOKUP(10*tblRiskRegister3234[[#This Row],[Risk Treatment Safeguard Maturity Score]]+tblRiskRegister3234[[#This Row],[VCDB Index]],tblHITIndexWeightTable[],4,FALSE),"")</f>
        <v/>
      </c>
      <c r="AB39" s="138" t="str">
        <f>VLOOKUP(tblRiskRegister3234[[#This Row],[Asset Class]],tblInherentImpacts30[],2,FALSE)</f>
        <v/>
      </c>
      <c r="AC39" s="138">
        <f>VLOOKUP(tblRiskRegister3234[[#This Row],[Asset Class]],tblInherentImpacts30[],3,FALSE)</f>
        <v>0</v>
      </c>
      <c r="AD39" s="138">
        <f>VLOOKUP(tblRiskRegister3234[[#This Row],[Asset Class]],tblInherentImpacts30[],4,FALSE)</f>
        <v>0</v>
      </c>
      <c r="AE39" s="138">
        <f>VLOOKUP(tblRiskRegister3234[[#This Row],[Asset Class]],tblInherentImpacts30[],5,FALSE)</f>
        <v>0</v>
      </c>
      <c r="AF39" s="138" t="str">
        <f>IFERROR(MAX(tblRiskRegister3234[[#This Row],[Risk Treatment Safeguard Impact to Mission]:[Risk Treatment Safeguard Impact to Obligations]])*tblRiskRegister3234[[#This Row],[Risk Treatment
Safeguard Expectancy Score]],"")</f>
        <v/>
      </c>
      <c r="AG39" s="138" t="str">
        <f>IF(tblRiskRegister3234[[#This Row],[Risk Score]]&gt;AcceptableRisk,IF(tblRiskRegister3234[[#This Row],[Risk Treatment Safeguard Risk Score]]&lt;AcceptableRisk, IF(tblRiskRegister3234[[#This Row],[Risk Treatment Safeguard Risk Score]]&lt;=tblRiskRegister3234[[#This Row],[Risk Score]],"Yes","No"),"No"),"Yes")</f>
        <v>No</v>
      </c>
      <c r="AH39" s="18"/>
      <c r="AI39" s="18"/>
      <c r="AJ39" s="19"/>
    </row>
    <row r="40" spans="2:36" ht="25.5" x14ac:dyDescent="0.2">
      <c r="B40" s="44" t="s">
        <v>130</v>
      </c>
      <c r="C40" s="44"/>
      <c r="D40" s="13">
        <v>14.4</v>
      </c>
      <c r="E40" s="14" t="s">
        <v>635</v>
      </c>
      <c r="F40" s="17"/>
      <c r="G40" s="17" t="s">
        <v>785</v>
      </c>
      <c r="H40" s="17" t="s">
        <v>928</v>
      </c>
      <c r="I40" s="147"/>
      <c r="J40" s="15"/>
      <c r="K40" s="15"/>
      <c r="L40" s="16"/>
      <c r="M40" s="26">
        <f>IFERROR(VLOOKUP(tblRiskRegister3234[[#This Row],[Asset Class]],tblVCDBIndex[],4,FALSE),"")</f>
        <v>3</v>
      </c>
      <c r="N40" s="29" t="str">
        <f>IFERROR(VLOOKUP(10*tblRiskRegister3234[[#This Row],[Safeguard Maturity Score]]+tblRiskRegister3234[[#This Row],[VCDB Index]],tblHITIndexWeightTable[],4,FALSE),"")</f>
        <v/>
      </c>
      <c r="O40" s="29" t="str">
        <f>VLOOKUP(tblRiskRegister3234[[#This Row],[Asset Class]],tblInherentImpacts30[],2,FALSE)</f>
        <v/>
      </c>
      <c r="P40" s="29">
        <f>VLOOKUP(tblRiskRegister3234[[#This Row],[Asset Class]],tblInherentImpacts30[],3,FALSE)</f>
        <v>0</v>
      </c>
      <c r="Q40" s="29">
        <f>VLOOKUP(tblRiskRegister3234[[#This Row],[Asset Class]],tblInherentImpacts30[],4,FALSE)</f>
        <v>0</v>
      </c>
      <c r="R40" s="29">
        <f>VLOOKUP(tblRiskRegister3234[[#This Row],[Asset Class]],tblInherentImpacts30[],5,FALSE)</f>
        <v>0</v>
      </c>
      <c r="S40" s="29" t="str">
        <f>IFERROR(MAX(tblRiskRegister3234[[#This Row],[Impact to Mission]:[Impact to Obligations]])*tblRiskRegister3234[[#This Row],[Expectancy Score]],"")</f>
        <v/>
      </c>
      <c r="T40" s="29" t="str">
        <f>tblRiskRegister3234[[#This Row],[Risk Score]]</f>
        <v/>
      </c>
      <c r="U40" s="100"/>
      <c r="V40" s="112">
        <v>14.4</v>
      </c>
      <c r="W40" s="44" t="s">
        <v>635</v>
      </c>
      <c r="X40" s="44" t="s">
        <v>741</v>
      </c>
      <c r="Y40" s="30"/>
      <c r="Z40" s="16"/>
      <c r="AA40" s="27" t="str">
        <f>IFERROR(VLOOKUP(10*tblRiskRegister3234[[#This Row],[Risk Treatment Safeguard Maturity Score]]+tblRiskRegister3234[[#This Row],[VCDB Index]],tblHITIndexWeightTable[],4,FALSE),"")</f>
        <v/>
      </c>
      <c r="AB40" s="138" t="str">
        <f>VLOOKUP(tblRiskRegister3234[[#This Row],[Asset Class]],tblInherentImpacts30[],2,FALSE)</f>
        <v/>
      </c>
      <c r="AC40" s="138">
        <f>VLOOKUP(tblRiskRegister3234[[#This Row],[Asset Class]],tblInherentImpacts30[],3,FALSE)</f>
        <v>0</v>
      </c>
      <c r="AD40" s="138">
        <f>VLOOKUP(tblRiskRegister3234[[#This Row],[Asset Class]],tblInherentImpacts30[],4,FALSE)</f>
        <v>0</v>
      </c>
      <c r="AE40" s="138">
        <f>VLOOKUP(tblRiskRegister3234[[#This Row],[Asset Class]],tblInherentImpacts30[],5,FALSE)</f>
        <v>0</v>
      </c>
      <c r="AF40" s="138" t="str">
        <f>IFERROR(MAX(tblRiskRegister3234[[#This Row],[Risk Treatment Safeguard Impact to Mission]:[Risk Treatment Safeguard Impact to Obligations]])*tblRiskRegister3234[[#This Row],[Risk Treatment
Safeguard Expectancy Score]],"")</f>
        <v/>
      </c>
      <c r="AG40" s="138" t="str">
        <f>IF(tblRiskRegister3234[[#This Row],[Risk Score]]&gt;AcceptableRisk,IF(tblRiskRegister3234[[#This Row],[Risk Treatment Safeguard Risk Score]]&lt;AcceptableRisk, IF(tblRiskRegister3234[[#This Row],[Risk Treatment Safeguard Risk Score]]&lt;=tblRiskRegister3234[[#This Row],[Risk Score]],"Yes","No"),"No"),"Yes")</f>
        <v>No</v>
      </c>
      <c r="AH40" s="18"/>
      <c r="AI40" s="18"/>
      <c r="AJ40" s="19"/>
    </row>
    <row r="41" spans="2:36" ht="63.75" x14ac:dyDescent="0.2">
      <c r="B41" s="44" t="s">
        <v>130</v>
      </c>
      <c r="C41" s="44"/>
      <c r="D41" s="13">
        <v>14.6</v>
      </c>
      <c r="E41" s="14" t="s">
        <v>77</v>
      </c>
      <c r="F41" s="17" t="s">
        <v>785</v>
      </c>
      <c r="G41" s="17" t="s">
        <v>785</v>
      </c>
      <c r="H41" s="17" t="s">
        <v>928</v>
      </c>
      <c r="I41" s="147"/>
      <c r="J41" s="15"/>
      <c r="K41" s="15"/>
      <c r="L41" s="16"/>
      <c r="M41" s="26">
        <f>IFERROR(VLOOKUP(tblRiskRegister3234[[#This Row],[Asset Class]],tblVCDBIndex[],4,FALSE),"")</f>
        <v>3</v>
      </c>
      <c r="N41" s="29" t="str">
        <f>IFERROR(VLOOKUP(10*tblRiskRegister3234[[#This Row],[Safeguard Maturity Score]]+tblRiskRegister3234[[#This Row],[VCDB Index]],tblHITIndexWeightTable[],4,FALSE),"")</f>
        <v/>
      </c>
      <c r="O41" s="29" t="str">
        <f>VLOOKUP(tblRiskRegister3234[[#This Row],[Asset Class]],tblInherentImpacts30[],2,FALSE)</f>
        <v/>
      </c>
      <c r="P41" s="29">
        <f>VLOOKUP(tblRiskRegister3234[[#This Row],[Asset Class]],tblInherentImpacts30[],3,FALSE)</f>
        <v>0</v>
      </c>
      <c r="Q41" s="29">
        <f>VLOOKUP(tblRiskRegister3234[[#This Row],[Asset Class]],tblInherentImpacts30[],4,FALSE)</f>
        <v>0</v>
      </c>
      <c r="R41" s="29">
        <f>VLOOKUP(tblRiskRegister3234[[#This Row],[Asset Class]],tblInherentImpacts30[],5,FALSE)</f>
        <v>0</v>
      </c>
      <c r="S41" s="29" t="str">
        <f>IFERROR(MAX(tblRiskRegister3234[[#This Row],[Impact to Mission]:[Impact to Obligations]])*tblRiskRegister3234[[#This Row],[Expectancy Score]],"")</f>
        <v/>
      </c>
      <c r="T41" s="29" t="str">
        <f>tblRiskRegister3234[[#This Row],[Risk Score]]</f>
        <v/>
      </c>
      <c r="U41" s="100"/>
      <c r="V41" s="112">
        <v>14.6</v>
      </c>
      <c r="W41" s="44" t="s">
        <v>77</v>
      </c>
      <c r="X41" s="44" t="s">
        <v>170</v>
      </c>
      <c r="Y41" s="30"/>
      <c r="Z41" s="16"/>
      <c r="AA41" s="27" t="str">
        <f>IFERROR(VLOOKUP(10*tblRiskRegister3234[[#This Row],[Risk Treatment Safeguard Maturity Score]]+tblRiskRegister3234[[#This Row],[VCDB Index]],tblHITIndexWeightTable[],4,FALSE),"")</f>
        <v/>
      </c>
      <c r="AB41" s="138" t="str">
        <f>VLOOKUP(tblRiskRegister3234[[#This Row],[Asset Class]],tblInherentImpacts30[],2,FALSE)</f>
        <v/>
      </c>
      <c r="AC41" s="138">
        <f>VLOOKUP(tblRiskRegister3234[[#This Row],[Asset Class]],tblInherentImpacts30[],3,FALSE)</f>
        <v>0</v>
      </c>
      <c r="AD41" s="138">
        <f>VLOOKUP(tblRiskRegister3234[[#This Row],[Asset Class]],tblInherentImpacts30[],4,FALSE)</f>
        <v>0</v>
      </c>
      <c r="AE41" s="138">
        <f>VLOOKUP(tblRiskRegister3234[[#This Row],[Asset Class]],tblInherentImpacts30[],5,FALSE)</f>
        <v>0</v>
      </c>
      <c r="AF41" s="138" t="str">
        <f>IFERROR(MAX(tblRiskRegister3234[[#This Row],[Risk Treatment Safeguard Impact to Mission]:[Risk Treatment Safeguard Impact to Obligations]])*tblRiskRegister3234[[#This Row],[Risk Treatment
Safeguard Expectancy Score]],"")</f>
        <v/>
      </c>
      <c r="AG41" s="138" t="str">
        <f>IF(tblRiskRegister3234[[#This Row],[Risk Score]]&gt;AcceptableRisk,IF(tblRiskRegister3234[[#This Row],[Risk Treatment Safeguard Risk Score]]&lt;AcceptableRisk, IF(tblRiskRegister3234[[#This Row],[Risk Treatment Safeguard Risk Score]]&lt;=tblRiskRegister3234[[#This Row],[Risk Score]],"Yes","No"),"No"),"Yes")</f>
        <v>No</v>
      </c>
      <c r="AH41" s="18"/>
      <c r="AI41" s="18"/>
      <c r="AJ41" s="19"/>
    </row>
    <row r="42" spans="2:36" ht="25.5" x14ac:dyDescent="0.2">
      <c r="B42" s="15" t="s">
        <v>131</v>
      </c>
      <c r="C42" s="15"/>
      <c r="D42" s="13">
        <v>1.1000000000000001</v>
      </c>
      <c r="E42" s="14" t="s">
        <v>249</v>
      </c>
      <c r="F42" s="17"/>
      <c r="G42" s="17" t="s">
        <v>785</v>
      </c>
      <c r="H42" s="17" t="s">
        <v>926</v>
      </c>
      <c r="I42" s="147"/>
      <c r="J42" s="15"/>
      <c r="K42" s="15"/>
      <c r="L42" s="16"/>
      <c r="M42" s="26">
        <f>IFERROR(VLOOKUP(tblRiskRegister3234[[#This Row],[Asset Class]],tblVCDBIndex[],4,FALSE),"")</f>
        <v>1</v>
      </c>
      <c r="N42" s="26" t="str">
        <f>IFERROR(VLOOKUP(10*tblRiskRegister3234[[#This Row],[Safeguard Maturity Score]]+tblRiskRegister3234[[#This Row],[VCDB Index]],tblHITIndexWeightTable[],4,FALSE),"")</f>
        <v/>
      </c>
      <c r="O42" s="26" t="str">
        <f>VLOOKUP(tblRiskRegister3234[[#This Row],[Asset Class]],tblInherentImpacts30[],2,FALSE)</f>
        <v/>
      </c>
      <c r="P42" s="26">
        <f>VLOOKUP(tblRiskRegister3234[[#This Row],[Asset Class]],tblInherentImpacts30[],3,FALSE)</f>
        <v>0</v>
      </c>
      <c r="Q42" s="26">
        <f>VLOOKUP(tblRiskRegister3234[[#This Row],[Asset Class]],tblInherentImpacts30[],4,FALSE)</f>
        <v>0</v>
      </c>
      <c r="R42" s="26">
        <f>VLOOKUP(tblRiskRegister3234[[#This Row],[Asset Class]],tblInherentImpacts30[],5,FALSE)</f>
        <v>0</v>
      </c>
      <c r="S42" s="26" t="str">
        <f>IFERROR(MAX(tblRiskRegister3234[[#This Row],[Impact to Mission]:[Impact to Obligations]])*tblRiskRegister3234[[#This Row],[Expectancy Score]],"")</f>
        <v/>
      </c>
      <c r="T42" s="26" t="str">
        <f>tblRiskRegister3234[[#This Row],[Risk Score]]</f>
        <v/>
      </c>
      <c r="U42" s="100"/>
      <c r="V42" s="100">
        <v>1.1000000000000001</v>
      </c>
      <c r="W42" s="15" t="s">
        <v>249</v>
      </c>
      <c r="X42" s="15" t="s">
        <v>672</v>
      </c>
      <c r="Y42" s="15"/>
      <c r="Z42" s="16"/>
      <c r="AA42" s="27" t="str">
        <f>IFERROR(VLOOKUP(10*tblRiskRegister3234[[#This Row],[Risk Treatment Safeguard Maturity Score]]+tblRiskRegister3234[[#This Row],[VCDB Index]],tblHITIndexWeightTable[],4,FALSE),"")</f>
        <v/>
      </c>
      <c r="AB42" s="138" t="str">
        <f>VLOOKUP(tblRiskRegister3234[[#This Row],[Asset Class]],tblInherentImpacts30[],2,FALSE)</f>
        <v/>
      </c>
      <c r="AC42" s="138">
        <f>VLOOKUP(tblRiskRegister3234[[#This Row],[Asset Class]],tblInherentImpacts30[],3,FALSE)</f>
        <v>0</v>
      </c>
      <c r="AD42" s="138">
        <f>VLOOKUP(tblRiskRegister3234[[#This Row],[Asset Class]],tblInherentImpacts30[],4,FALSE)</f>
        <v>0</v>
      </c>
      <c r="AE42" s="138">
        <f>VLOOKUP(tblRiskRegister3234[[#This Row],[Asset Class]],tblInherentImpacts30[],5,FALSE)</f>
        <v>0</v>
      </c>
      <c r="AF42" s="138" t="str">
        <f>IFERROR(MAX(tblRiskRegister3234[[#This Row],[Risk Treatment Safeguard Impact to Mission]:[Risk Treatment Safeguard Impact to Obligations]])*tblRiskRegister3234[[#This Row],[Risk Treatment
Safeguard Expectancy Score]],"")</f>
        <v/>
      </c>
      <c r="AG42" s="138" t="str">
        <f>IF(tblRiskRegister3234[[#This Row],[Risk Score]]&gt;AcceptableRisk,IF(tblRiskRegister3234[[#This Row],[Risk Treatment Safeguard Risk Score]]&lt;AcceptableRisk, IF(tblRiskRegister3234[[#This Row],[Risk Treatment Safeguard Risk Score]]&lt;=tblRiskRegister3234[[#This Row],[Risk Score]],"Yes","No"),"No"),"Yes")</f>
        <v>No</v>
      </c>
      <c r="AH42" s="18"/>
      <c r="AI42" s="18"/>
      <c r="AJ42" s="19"/>
    </row>
    <row r="43" spans="2:36" ht="38.25" x14ac:dyDescent="0.2">
      <c r="B43" s="44" t="s">
        <v>131</v>
      </c>
      <c r="C43" s="44"/>
      <c r="D43" s="13">
        <v>1.3</v>
      </c>
      <c r="E43" s="14" t="s">
        <v>578</v>
      </c>
      <c r="F43" s="17"/>
      <c r="G43" s="17" t="s">
        <v>785</v>
      </c>
      <c r="H43" s="17" t="s">
        <v>926</v>
      </c>
      <c r="I43" s="147"/>
      <c r="J43" s="15"/>
      <c r="K43" s="15"/>
      <c r="L43" s="16"/>
      <c r="M43" s="26">
        <f>IFERROR(VLOOKUP(tblRiskRegister3234[[#This Row],[Asset Class]],tblVCDBIndex[],4,FALSE),"")</f>
        <v>1</v>
      </c>
      <c r="N43" s="29" t="str">
        <f>IFERROR(VLOOKUP(10*tblRiskRegister3234[[#This Row],[Safeguard Maturity Score]]+tblRiskRegister3234[[#This Row],[VCDB Index]],tblHITIndexWeightTable[],4,FALSE),"")</f>
        <v/>
      </c>
      <c r="O43" s="29" t="str">
        <f>VLOOKUP(tblRiskRegister3234[[#This Row],[Asset Class]],tblInherentImpacts30[],2,FALSE)</f>
        <v/>
      </c>
      <c r="P43" s="29">
        <f>VLOOKUP(tblRiskRegister3234[[#This Row],[Asset Class]],tblInherentImpacts30[],3,FALSE)</f>
        <v>0</v>
      </c>
      <c r="Q43" s="29">
        <f>VLOOKUP(tblRiskRegister3234[[#This Row],[Asset Class]],tblInherentImpacts30[],4,FALSE)</f>
        <v>0</v>
      </c>
      <c r="R43" s="29">
        <f>VLOOKUP(tblRiskRegister3234[[#This Row],[Asset Class]],tblInherentImpacts30[],5,FALSE)</f>
        <v>0</v>
      </c>
      <c r="S43" s="29" t="str">
        <f>IFERROR(MAX(tblRiskRegister3234[[#This Row],[Impact to Mission]:[Impact to Obligations]])*tblRiskRegister3234[[#This Row],[Expectancy Score]],"")</f>
        <v/>
      </c>
      <c r="T43" s="29" t="str">
        <f>tblRiskRegister3234[[#This Row],[Risk Score]]</f>
        <v/>
      </c>
      <c r="U43" s="100"/>
      <c r="V43" s="112">
        <v>1.3</v>
      </c>
      <c r="W43" s="44" t="s">
        <v>578</v>
      </c>
      <c r="X43" s="44" t="s">
        <v>673</v>
      </c>
      <c r="Y43" s="30"/>
      <c r="Z43" s="16"/>
      <c r="AA43" s="27" t="str">
        <f>IFERROR(VLOOKUP(10*tblRiskRegister3234[[#This Row],[Risk Treatment Safeguard Maturity Score]]+tblRiskRegister3234[[#This Row],[VCDB Index]],tblHITIndexWeightTable[],4,FALSE),"")</f>
        <v/>
      </c>
      <c r="AB43" s="138" t="str">
        <f>VLOOKUP(tblRiskRegister3234[[#This Row],[Asset Class]],tblInherentImpacts30[],2,FALSE)</f>
        <v/>
      </c>
      <c r="AC43" s="138">
        <f>VLOOKUP(tblRiskRegister3234[[#This Row],[Asset Class]],tblInherentImpacts30[],3,FALSE)</f>
        <v>0</v>
      </c>
      <c r="AD43" s="138">
        <f>VLOOKUP(tblRiskRegister3234[[#This Row],[Asset Class]],tblInherentImpacts30[],4,FALSE)</f>
        <v>0</v>
      </c>
      <c r="AE43" s="138">
        <f>VLOOKUP(tblRiskRegister3234[[#This Row],[Asset Class]],tblInherentImpacts30[],5,FALSE)</f>
        <v>0</v>
      </c>
      <c r="AF43" s="138" t="str">
        <f>IFERROR(MAX(tblRiskRegister3234[[#This Row],[Risk Treatment Safeguard Impact to Mission]:[Risk Treatment Safeguard Impact to Obligations]])*tblRiskRegister3234[[#This Row],[Risk Treatment
Safeguard Expectancy Score]],"")</f>
        <v/>
      </c>
      <c r="AG43" s="138" t="str">
        <f>IF(tblRiskRegister3234[[#This Row],[Risk Score]]&gt;AcceptableRisk,IF(tblRiskRegister3234[[#This Row],[Risk Treatment Safeguard Risk Score]]&lt;AcceptableRisk, IF(tblRiskRegister3234[[#This Row],[Risk Treatment Safeguard Risk Score]]&lt;=tblRiskRegister3234[[#This Row],[Risk Score]],"Yes","No"),"No"),"Yes")</f>
        <v>No</v>
      </c>
      <c r="AH43" s="18"/>
      <c r="AI43" s="18"/>
      <c r="AJ43" s="19"/>
    </row>
    <row r="44" spans="2:36" ht="38.25" x14ac:dyDescent="0.2">
      <c r="B44" s="44" t="s">
        <v>131</v>
      </c>
      <c r="C44" s="44"/>
      <c r="D44" s="13">
        <v>1.4</v>
      </c>
      <c r="E44" s="14" t="s">
        <v>13</v>
      </c>
      <c r="F44" s="17" t="s">
        <v>785</v>
      </c>
      <c r="G44" s="17" t="s">
        <v>785</v>
      </c>
      <c r="H44" s="17" t="s">
        <v>926</v>
      </c>
      <c r="I44" s="147"/>
      <c r="J44" s="15"/>
      <c r="K44" s="15"/>
      <c r="L44" s="16"/>
      <c r="M44" s="26">
        <f>IFERROR(VLOOKUP(tblRiskRegister3234[[#This Row],[Asset Class]],tblVCDBIndex[],4,FALSE),"")</f>
        <v>1</v>
      </c>
      <c r="N44" s="29" t="str">
        <f>IFERROR(VLOOKUP(10*tblRiskRegister3234[[#This Row],[Safeguard Maturity Score]]+tblRiskRegister3234[[#This Row],[VCDB Index]],tblHITIndexWeightTable[],4,FALSE),"")</f>
        <v/>
      </c>
      <c r="O44" s="29" t="str">
        <f>VLOOKUP(tblRiskRegister3234[[#This Row],[Asset Class]],tblInherentImpacts30[],2,FALSE)</f>
        <v/>
      </c>
      <c r="P44" s="29">
        <f>VLOOKUP(tblRiskRegister3234[[#This Row],[Asset Class]],tblInherentImpacts30[],3,FALSE)</f>
        <v>0</v>
      </c>
      <c r="Q44" s="29">
        <f>VLOOKUP(tblRiskRegister3234[[#This Row],[Asset Class]],tblInherentImpacts30[],4,FALSE)</f>
        <v>0</v>
      </c>
      <c r="R44" s="29">
        <f>VLOOKUP(tblRiskRegister3234[[#This Row],[Asset Class]],tblInherentImpacts30[],5,FALSE)</f>
        <v>0</v>
      </c>
      <c r="S44" s="29" t="str">
        <f>IFERROR(MAX(tblRiskRegister3234[[#This Row],[Impact to Mission]:[Impact to Obligations]])*tblRiskRegister3234[[#This Row],[Expectancy Score]],"")</f>
        <v/>
      </c>
      <c r="T44" s="29" t="str">
        <f>tblRiskRegister3234[[#This Row],[Risk Score]]</f>
        <v/>
      </c>
      <c r="U44" s="100"/>
      <c r="V44" s="112">
        <v>1.4</v>
      </c>
      <c r="W44" s="44" t="s">
        <v>13</v>
      </c>
      <c r="X44" s="44" t="s">
        <v>154</v>
      </c>
      <c r="Y44" s="30"/>
      <c r="Z44" s="16"/>
      <c r="AA44" s="27" t="str">
        <f>IFERROR(VLOOKUP(10*tblRiskRegister3234[[#This Row],[Risk Treatment Safeguard Maturity Score]]+tblRiskRegister3234[[#This Row],[VCDB Index]],tblHITIndexWeightTable[],4,FALSE),"")</f>
        <v/>
      </c>
      <c r="AB44" s="138" t="str">
        <f>VLOOKUP(tblRiskRegister3234[[#This Row],[Asset Class]],tblInherentImpacts30[],2,FALSE)</f>
        <v/>
      </c>
      <c r="AC44" s="138">
        <f>VLOOKUP(tblRiskRegister3234[[#This Row],[Asset Class]],tblInherentImpacts30[],3,FALSE)</f>
        <v>0</v>
      </c>
      <c r="AD44" s="138">
        <f>VLOOKUP(tblRiskRegister3234[[#This Row],[Asset Class]],tblInherentImpacts30[],4,FALSE)</f>
        <v>0</v>
      </c>
      <c r="AE44" s="138">
        <f>VLOOKUP(tblRiskRegister3234[[#This Row],[Asset Class]],tblInherentImpacts30[],5,FALSE)</f>
        <v>0</v>
      </c>
      <c r="AF44" s="138" t="str">
        <f>IFERROR(MAX(tblRiskRegister3234[[#This Row],[Risk Treatment Safeguard Impact to Mission]:[Risk Treatment Safeguard Impact to Obligations]])*tblRiskRegister3234[[#This Row],[Risk Treatment
Safeguard Expectancy Score]],"")</f>
        <v/>
      </c>
      <c r="AG44" s="138" t="str">
        <f>IF(tblRiskRegister3234[[#This Row],[Risk Score]]&gt;AcceptableRisk,IF(tblRiskRegister3234[[#This Row],[Risk Treatment Safeguard Risk Score]]&lt;AcceptableRisk, IF(tblRiskRegister3234[[#This Row],[Risk Treatment Safeguard Risk Score]]&lt;=tblRiskRegister3234[[#This Row],[Risk Score]],"Yes","No"),"No"),"Yes")</f>
        <v>No</v>
      </c>
      <c r="AH44" s="18"/>
      <c r="AI44" s="18"/>
      <c r="AJ44" s="19"/>
    </row>
    <row r="45" spans="2:36" ht="38.25" x14ac:dyDescent="0.2">
      <c r="B45" s="44" t="s">
        <v>131</v>
      </c>
      <c r="C45" s="44"/>
      <c r="D45" s="13">
        <v>1.5</v>
      </c>
      <c r="E45" s="14" t="s">
        <v>579</v>
      </c>
      <c r="F45" s="17"/>
      <c r="G45" s="17" t="s">
        <v>785</v>
      </c>
      <c r="H45" s="17" t="s">
        <v>926</v>
      </c>
      <c r="I45" s="147"/>
      <c r="J45" s="15"/>
      <c r="K45" s="15"/>
      <c r="L45" s="16"/>
      <c r="M45" s="26">
        <f>IFERROR(VLOOKUP(tblRiskRegister3234[[#This Row],[Asset Class]],tblVCDBIndex[],4,FALSE),"")</f>
        <v>1</v>
      </c>
      <c r="N45" s="29" t="str">
        <f>IFERROR(VLOOKUP(10*tblRiskRegister3234[[#This Row],[Safeguard Maturity Score]]+tblRiskRegister3234[[#This Row],[VCDB Index]],tblHITIndexWeightTable[],4,FALSE),"")</f>
        <v/>
      </c>
      <c r="O45" s="29" t="str">
        <f>VLOOKUP(tblRiskRegister3234[[#This Row],[Asset Class]],tblInherentImpacts30[],2,FALSE)</f>
        <v/>
      </c>
      <c r="P45" s="29">
        <f>VLOOKUP(tblRiskRegister3234[[#This Row],[Asset Class]],tblInherentImpacts30[],3,FALSE)</f>
        <v>0</v>
      </c>
      <c r="Q45" s="29">
        <f>VLOOKUP(tblRiskRegister3234[[#This Row],[Asset Class]],tblInherentImpacts30[],4,FALSE)</f>
        <v>0</v>
      </c>
      <c r="R45" s="29">
        <f>VLOOKUP(tblRiskRegister3234[[#This Row],[Asset Class]],tblInherentImpacts30[],5,FALSE)</f>
        <v>0</v>
      </c>
      <c r="S45" s="29" t="str">
        <f>IFERROR(MAX(tblRiskRegister3234[[#This Row],[Impact to Mission]:[Impact to Obligations]])*tblRiskRegister3234[[#This Row],[Expectancy Score]],"")</f>
        <v/>
      </c>
      <c r="T45" s="29" t="str">
        <f>tblRiskRegister3234[[#This Row],[Risk Score]]</f>
        <v/>
      </c>
      <c r="U45" s="100"/>
      <c r="V45" s="112">
        <v>1.5</v>
      </c>
      <c r="W45" s="44" t="s">
        <v>579</v>
      </c>
      <c r="X45" s="44" t="s">
        <v>674</v>
      </c>
      <c r="Y45" s="30"/>
      <c r="Z45" s="16"/>
      <c r="AA45" s="27" t="str">
        <f>IFERROR(VLOOKUP(10*tblRiskRegister3234[[#This Row],[Risk Treatment Safeguard Maturity Score]]+tblRiskRegister3234[[#This Row],[VCDB Index]],tblHITIndexWeightTable[],4,FALSE),"")</f>
        <v/>
      </c>
      <c r="AB45" s="138" t="str">
        <f>VLOOKUP(tblRiskRegister3234[[#This Row],[Asset Class]],tblInherentImpacts30[],2,FALSE)</f>
        <v/>
      </c>
      <c r="AC45" s="138">
        <f>VLOOKUP(tblRiskRegister3234[[#This Row],[Asset Class]],tblInherentImpacts30[],3,FALSE)</f>
        <v>0</v>
      </c>
      <c r="AD45" s="138">
        <f>VLOOKUP(tblRiskRegister3234[[#This Row],[Asset Class]],tblInherentImpacts30[],4,FALSE)</f>
        <v>0</v>
      </c>
      <c r="AE45" s="138">
        <f>VLOOKUP(tblRiskRegister3234[[#This Row],[Asset Class]],tblInherentImpacts30[],5,FALSE)</f>
        <v>0</v>
      </c>
      <c r="AF45" s="138" t="str">
        <f>IFERROR(MAX(tblRiskRegister3234[[#This Row],[Risk Treatment Safeguard Impact to Mission]:[Risk Treatment Safeguard Impact to Obligations]])*tblRiskRegister3234[[#This Row],[Risk Treatment
Safeguard Expectancy Score]],"")</f>
        <v/>
      </c>
      <c r="AG45" s="138" t="str">
        <f>IF(tblRiskRegister3234[[#This Row],[Risk Score]]&gt;AcceptableRisk,IF(tblRiskRegister3234[[#This Row],[Risk Treatment Safeguard Risk Score]]&lt;AcceptableRisk, IF(tblRiskRegister3234[[#This Row],[Risk Treatment Safeguard Risk Score]]&lt;=tblRiskRegister3234[[#This Row],[Risk Score]],"Yes","No"),"No"),"Yes")</f>
        <v>No</v>
      </c>
      <c r="AH45" s="18"/>
      <c r="AI45" s="18"/>
      <c r="AJ45" s="19"/>
    </row>
    <row r="46" spans="2:36" ht="25.5" x14ac:dyDescent="0.2">
      <c r="B46" s="15" t="s">
        <v>131</v>
      </c>
      <c r="C46" s="15"/>
      <c r="D46" s="13">
        <v>1.6</v>
      </c>
      <c r="E46" s="14" t="s">
        <v>14</v>
      </c>
      <c r="F46" s="17" t="s">
        <v>785</v>
      </c>
      <c r="G46" s="17" t="s">
        <v>785</v>
      </c>
      <c r="H46" s="17" t="s">
        <v>927</v>
      </c>
      <c r="I46" s="147"/>
      <c r="J46" s="15"/>
      <c r="K46" s="15"/>
      <c r="L46" s="16"/>
      <c r="M46" s="26">
        <f>IFERROR(VLOOKUP(tblRiskRegister3234[[#This Row],[Asset Class]],tblVCDBIndex[],4,FALSE),"")</f>
        <v>1</v>
      </c>
      <c r="N46" s="26" t="str">
        <f>IFERROR(VLOOKUP(10*tblRiskRegister3234[[#This Row],[Safeguard Maturity Score]]+tblRiskRegister3234[[#This Row],[VCDB Index]],tblHITIndexWeightTable[],4,FALSE),"")</f>
        <v/>
      </c>
      <c r="O46" s="26" t="str">
        <f>VLOOKUP(tblRiskRegister3234[[#This Row],[Asset Class]],tblInherentImpacts30[],2,FALSE)</f>
        <v/>
      </c>
      <c r="P46" s="26">
        <f>VLOOKUP(tblRiskRegister3234[[#This Row],[Asset Class]],tblInherentImpacts30[],3,FALSE)</f>
        <v>0</v>
      </c>
      <c r="Q46" s="26">
        <f>VLOOKUP(tblRiskRegister3234[[#This Row],[Asset Class]],tblInherentImpacts30[],4,FALSE)</f>
        <v>0</v>
      </c>
      <c r="R46" s="26">
        <f>VLOOKUP(tblRiskRegister3234[[#This Row],[Asset Class]],tblInherentImpacts30[],5,FALSE)</f>
        <v>0</v>
      </c>
      <c r="S46" s="26" t="str">
        <f>IFERROR(MAX(tblRiskRegister3234[[#This Row],[Impact to Mission]:[Impact to Obligations]])*tblRiskRegister3234[[#This Row],[Expectancy Score]],"")</f>
        <v/>
      </c>
      <c r="T46" s="26" t="str">
        <f>tblRiskRegister3234[[#This Row],[Risk Score]]</f>
        <v/>
      </c>
      <c r="U46" s="100"/>
      <c r="V46" s="100">
        <v>1.6</v>
      </c>
      <c r="W46" s="15" t="s">
        <v>14</v>
      </c>
      <c r="X46" s="15" t="s">
        <v>402</v>
      </c>
      <c r="Y46" s="15"/>
      <c r="Z46" s="16"/>
      <c r="AA46" s="25" t="str">
        <f>IFERROR(VLOOKUP(10*tblRiskRegister3234[[#This Row],[Risk Treatment Safeguard Maturity Score]]+tblRiskRegister3234[[#This Row],[VCDB Index]],tblHITIndexWeightTable[],4,FALSE),"")</f>
        <v/>
      </c>
      <c r="AB46" s="138" t="str">
        <f>VLOOKUP(tblRiskRegister3234[[#This Row],[Asset Class]],tblInherentImpacts30[],2,FALSE)</f>
        <v/>
      </c>
      <c r="AC46" s="138">
        <f>VLOOKUP(tblRiskRegister3234[[#This Row],[Asset Class]],tblInherentImpacts30[],3,FALSE)</f>
        <v>0</v>
      </c>
      <c r="AD46" s="138">
        <f>VLOOKUP(tblRiskRegister3234[[#This Row],[Asset Class]],tblInherentImpacts30[],4,FALSE)</f>
        <v>0</v>
      </c>
      <c r="AE46" s="138">
        <f>VLOOKUP(tblRiskRegister3234[[#This Row],[Asset Class]],tblInherentImpacts30[],5,FALSE)</f>
        <v>0</v>
      </c>
      <c r="AF46" s="139" t="str">
        <f>IFERROR(MAX(tblRiskRegister3234[[#This Row],[Risk Treatment Safeguard Impact to Mission]:[Risk Treatment Safeguard Impact to Obligations]])*tblRiskRegister3234[[#This Row],[Risk Treatment
Safeguard Expectancy Score]],"")</f>
        <v/>
      </c>
      <c r="AG46" s="138" t="str">
        <f>IF(tblRiskRegister3234[[#This Row],[Risk Score]]&gt;AcceptableRisk,IF(tblRiskRegister3234[[#This Row],[Risk Treatment Safeguard Risk Score]]&lt;AcceptableRisk, IF(tblRiskRegister3234[[#This Row],[Risk Treatment Safeguard Risk Score]]&lt;=tblRiskRegister3234[[#This Row],[Risk Score]],"Yes","No"),"No"),"Yes")</f>
        <v>No</v>
      </c>
      <c r="AH46" s="18"/>
      <c r="AI46" s="18"/>
      <c r="AJ46" s="19"/>
    </row>
    <row r="47" spans="2:36" ht="51" x14ac:dyDescent="0.2">
      <c r="B47" s="15" t="s">
        <v>131</v>
      </c>
      <c r="C47" s="15"/>
      <c r="D47" s="13">
        <v>1.7</v>
      </c>
      <c r="E47" s="14" t="s">
        <v>580</v>
      </c>
      <c r="F47" s="17"/>
      <c r="G47" s="17" t="s">
        <v>785</v>
      </c>
      <c r="H47" s="17" t="s">
        <v>928</v>
      </c>
      <c r="I47" s="147"/>
      <c r="J47" s="15"/>
      <c r="K47" s="15"/>
      <c r="L47" s="16"/>
      <c r="M47" s="26">
        <f>IFERROR(VLOOKUP(tblRiskRegister3234[[#This Row],[Asset Class]],tblVCDBIndex[],4,FALSE),"")</f>
        <v>1</v>
      </c>
      <c r="N47" s="26" t="str">
        <f>IFERROR(VLOOKUP(10*tblRiskRegister3234[[#This Row],[Safeguard Maturity Score]]+tblRiskRegister3234[[#This Row],[VCDB Index]],tblHITIndexWeightTable[],4,FALSE),"")</f>
        <v/>
      </c>
      <c r="O47" s="26" t="str">
        <f>VLOOKUP(tblRiskRegister3234[[#This Row],[Asset Class]],tblInherentImpacts30[],2,FALSE)</f>
        <v/>
      </c>
      <c r="P47" s="26">
        <f>VLOOKUP(tblRiskRegister3234[[#This Row],[Asset Class]],tblInherentImpacts30[],3,FALSE)</f>
        <v>0</v>
      </c>
      <c r="Q47" s="26">
        <f>VLOOKUP(tblRiskRegister3234[[#This Row],[Asset Class]],tblInherentImpacts30[],4,FALSE)</f>
        <v>0</v>
      </c>
      <c r="R47" s="26">
        <f>VLOOKUP(tblRiskRegister3234[[#This Row],[Asset Class]],tblInherentImpacts30[],5,FALSE)</f>
        <v>0</v>
      </c>
      <c r="S47" s="26" t="str">
        <f>IFERROR(MAX(tblRiskRegister3234[[#This Row],[Impact to Mission]:[Impact to Obligations]])*tblRiskRegister3234[[#This Row],[Expectancy Score]],"")</f>
        <v/>
      </c>
      <c r="T47" s="26" t="str">
        <f>tblRiskRegister3234[[#This Row],[Risk Score]]</f>
        <v/>
      </c>
      <c r="U47" s="100"/>
      <c r="V47" s="100">
        <v>1.7</v>
      </c>
      <c r="W47" s="15" t="s">
        <v>580</v>
      </c>
      <c r="X47" s="15" t="s">
        <v>675</v>
      </c>
      <c r="Y47" s="15"/>
      <c r="Z47" s="16"/>
      <c r="AA47" s="27" t="str">
        <f>IFERROR(VLOOKUP(10*tblRiskRegister3234[[#This Row],[Risk Treatment Safeguard Maturity Score]]+tblRiskRegister3234[[#This Row],[VCDB Index]],tblHITIndexWeightTable[],4,FALSE),"")</f>
        <v/>
      </c>
      <c r="AB47" s="138" t="str">
        <f>VLOOKUP(tblRiskRegister3234[[#This Row],[Asset Class]],tblInherentImpacts30[],2,FALSE)</f>
        <v/>
      </c>
      <c r="AC47" s="138">
        <f>VLOOKUP(tblRiskRegister3234[[#This Row],[Asset Class]],tblInherentImpacts30[],3,FALSE)</f>
        <v>0</v>
      </c>
      <c r="AD47" s="138">
        <f>VLOOKUP(tblRiskRegister3234[[#This Row],[Asset Class]],tblInherentImpacts30[],4,FALSE)</f>
        <v>0</v>
      </c>
      <c r="AE47" s="138">
        <f>VLOOKUP(tblRiskRegister3234[[#This Row],[Asset Class]],tblInherentImpacts30[],5,FALSE)</f>
        <v>0</v>
      </c>
      <c r="AF47" s="138" t="str">
        <f>IFERROR(MAX(tblRiskRegister3234[[#This Row],[Risk Treatment Safeguard Impact to Mission]:[Risk Treatment Safeguard Impact to Obligations]])*tblRiskRegister3234[[#This Row],[Risk Treatment
Safeguard Expectancy Score]],"")</f>
        <v/>
      </c>
      <c r="AG47" s="138" t="str">
        <f>IF(tblRiskRegister3234[[#This Row],[Risk Score]]&gt;AcceptableRisk,IF(tblRiskRegister3234[[#This Row],[Risk Treatment Safeguard Risk Score]]&lt;AcceptableRisk, IF(tblRiskRegister3234[[#This Row],[Risk Treatment Safeguard Risk Score]]&lt;=tblRiskRegister3234[[#This Row],[Risk Score]],"Yes","No"),"No"),"Yes")</f>
        <v>No</v>
      </c>
      <c r="AH47" s="18"/>
      <c r="AI47" s="18"/>
      <c r="AJ47" s="19"/>
    </row>
    <row r="48" spans="2:36" ht="25.5" x14ac:dyDescent="0.2">
      <c r="B48" s="15" t="s">
        <v>131</v>
      </c>
      <c r="C48" s="15"/>
      <c r="D48" s="13">
        <v>8.1</v>
      </c>
      <c r="E48" s="14" t="s">
        <v>609</v>
      </c>
      <c r="F48" s="17"/>
      <c r="G48" s="17" t="s">
        <v>785</v>
      </c>
      <c r="H48" s="17" t="s">
        <v>928</v>
      </c>
      <c r="I48" s="147"/>
      <c r="J48" s="15"/>
      <c r="K48" s="15"/>
      <c r="L48" s="16"/>
      <c r="M48" s="26">
        <f>IFERROR(VLOOKUP(tblRiskRegister3234[[#This Row],[Asset Class]],tblVCDBIndex[],4,FALSE),"")</f>
        <v>1</v>
      </c>
      <c r="N48" s="26" t="str">
        <f>IFERROR(VLOOKUP(10*tblRiskRegister3234[[#This Row],[Safeguard Maturity Score]]+tblRiskRegister3234[[#This Row],[VCDB Index]],tblHITIndexWeightTable[],4,FALSE),"")</f>
        <v/>
      </c>
      <c r="O48" s="26" t="str">
        <f>VLOOKUP(tblRiskRegister3234[[#This Row],[Asset Class]],tblInherentImpacts30[],2,FALSE)</f>
        <v/>
      </c>
      <c r="P48" s="26">
        <f>VLOOKUP(tblRiskRegister3234[[#This Row],[Asset Class]],tblInherentImpacts30[],3,FALSE)</f>
        <v>0</v>
      </c>
      <c r="Q48" s="26">
        <f>VLOOKUP(tblRiskRegister3234[[#This Row],[Asset Class]],tblInherentImpacts30[],4,FALSE)</f>
        <v>0</v>
      </c>
      <c r="R48" s="26">
        <f>VLOOKUP(tblRiskRegister3234[[#This Row],[Asset Class]],tblInherentImpacts30[],5,FALSE)</f>
        <v>0</v>
      </c>
      <c r="S48" s="26" t="str">
        <f>IFERROR(MAX(tblRiskRegister3234[[#This Row],[Impact to Mission]:[Impact to Obligations]])*tblRiskRegister3234[[#This Row],[Expectancy Score]],"")</f>
        <v/>
      </c>
      <c r="T48" s="26" t="str">
        <f>tblRiskRegister3234[[#This Row],[Risk Score]]</f>
        <v/>
      </c>
      <c r="U48" s="100"/>
      <c r="V48" s="100">
        <v>8.1</v>
      </c>
      <c r="W48" s="15" t="s">
        <v>609</v>
      </c>
      <c r="X48" s="15" t="s">
        <v>710</v>
      </c>
      <c r="Y48" s="15"/>
      <c r="Z48" s="16"/>
      <c r="AA48" s="27" t="str">
        <f>IFERROR(VLOOKUP(10*tblRiskRegister3234[[#This Row],[Risk Treatment Safeguard Maturity Score]]+tblRiskRegister3234[[#This Row],[VCDB Index]],tblHITIndexWeightTable[],4,FALSE),"")</f>
        <v/>
      </c>
      <c r="AB48" s="138" t="str">
        <f>VLOOKUP(tblRiskRegister3234[[#This Row],[Asset Class]],tblInherentImpacts30[],2,FALSE)</f>
        <v/>
      </c>
      <c r="AC48" s="138">
        <f>VLOOKUP(tblRiskRegister3234[[#This Row],[Asset Class]],tblInherentImpacts30[],3,FALSE)</f>
        <v>0</v>
      </c>
      <c r="AD48" s="138">
        <f>VLOOKUP(tblRiskRegister3234[[#This Row],[Asset Class]],tblInherentImpacts30[],4,FALSE)</f>
        <v>0</v>
      </c>
      <c r="AE48" s="138">
        <f>VLOOKUP(tblRiskRegister3234[[#This Row],[Asset Class]],tblInherentImpacts30[],5,FALSE)</f>
        <v>0</v>
      </c>
      <c r="AF48" s="138" t="str">
        <f>IFERROR(MAX(tblRiskRegister3234[[#This Row],[Risk Treatment Safeguard Impact to Mission]:[Risk Treatment Safeguard Impact to Obligations]])*tblRiskRegister3234[[#This Row],[Risk Treatment
Safeguard Expectancy Score]],"")</f>
        <v/>
      </c>
      <c r="AG48" s="138" t="str">
        <f>IF(tblRiskRegister3234[[#This Row],[Risk Score]]&gt;AcceptableRisk,IF(tblRiskRegister3234[[#This Row],[Risk Treatment Safeguard Risk Score]]&lt;AcceptableRisk, IF(tblRiskRegister3234[[#This Row],[Risk Treatment Safeguard Risk Score]]&lt;=tblRiskRegister3234[[#This Row],[Risk Score]],"Yes","No"),"No"),"Yes")</f>
        <v>No</v>
      </c>
      <c r="AH48" s="18"/>
      <c r="AI48" s="18"/>
      <c r="AJ48" s="19"/>
    </row>
    <row r="49" spans="2:36" ht="25.5" x14ac:dyDescent="0.2">
      <c r="B49" s="15" t="s">
        <v>131</v>
      </c>
      <c r="C49" s="15"/>
      <c r="D49" s="13">
        <v>8.1999999999999993</v>
      </c>
      <c r="E49" s="14" t="s">
        <v>67</v>
      </c>
      <c r="F49" s="17" t="s">
        <v>785</v>
      </c>
      <c r="G49" s="17" t="s">
        <v>785</v>
      </c>
      <c r="H49" s="17" t="s">
        <v>928</v>
      </c>
      <c r="I49" s="147"/>
      <c r="J49" s="15"/>
      <c r="K49" s="15"/>
      <c r="L49" s="16"/>
      <c r="M49" s="26">
        <f>IFERROR(VLOOKUP(tblRiskRegister3234[[#This Row],[Asset Class]],tblVCDBIndex[],4,FALSE),"")</f>
        <v>1</v>
      </c>
      <c r="N49" s="26" t="str">
        <f>IFERROR(VLOOKUP(10*tblRiskRegister3234[[#This Row],[Safeguard Maturity Score]]+tblRiskRegister3234[[#This Row],[VCDB Index]],tblHITIndexWeightTable[],4,FALSE),"")</f>
        <v/>
      </c>
      <c r="O49" s="26" t="str">
        <f>VLOOKUP(tblRiskRegister3234[[#This Row],[Asset Class]],tblInherentImpacts30[],2,FALSE)</f>
        <v/>
      </c>
      <c r="P49" s="26">
        <f>VLOOKUP(tblRiskRegister3234[[#This Row],[Asset Class]],tblInherentImpacts30[],3,FALSE)</f>
        <v>0</v>
      </c>
      <c r="Q49" s="26">
        <f>VLOOKUP(tblRiskRegister3234[[#This Row],[Asset Class]],tblInherentImpacts30[],4,FALSE)</f>
        <v>0</v>
      </c>
      <c r="R49" s="26">
        <f>VLOOKUP(tblRiskRegister3234[[#This Row],[Asset Class]],tblInherentImpacts30[],5,FALSE)</f>
        <v>0</v>
      </c>
      <c r="S49" s="26" t="str">
        <f>IFERROR(MAX(tblRiskRegister3234[[#This Row],[Impact to Mission]:[Impact to Obligations]])*tblRiskRegister3234[[#This Row],[Expectancy Score]],"")</f>
        <v/>
      </c>
      <c r="T49" s="26" t="str">
        <f>tblRiskRegister3234[[#This Row],[Risk Score]]</f>
        <v/>
      </c>
      <c r="U49" s="100"/>
      <c r="V49" s="100">
        <v>8.1999999999999993</v>
      </c>
      <c r="W49" s="15" t="s">
        <v>67</v>
      </c>
      <c r="X49" s="15" t="s">
        <v>163</v>
      </c>
      <c r="Y49" s="15"/>
      <c r="Z49" s="16"/>
      <c r="AA49" s="27" t="str">
        <f>IFERROR(VLOOKUP(10*tblRiskRegister3234[[#This Row],[Risk Treatment Safeguard Maturity Score]]+tblRiskRegister3234[[#This Row],[VCDB Index]],tblHITIndexWeightTable[],4,FALSE),"")</f>
        <v/>
      </c>
      <c r="AB49" s="138" t="str">
        <f>VLOOKUP(tblRiskRegister3234[[#This Row],[Asset Class]],tblInherentImpacts30[],2,FALSE)</f>
        <v/>
      </c>
      <c r="AC49" s="138">
        <f>VLOOKUP(tblRiskRegister3234[[#This Row],[Asset Class]],tblInherentImpacts30[],3,FALSE)</f>
        <v>0</v>
      </c>
      <c r="AD49" s="138">
        <f>VLOOKUP(tblRiskRegister3234[[#This Row],[Asset Class]],tblInherentImpacts30[],4,FALSE)</f>
        <v>0</v>
      </c>
      <c r="AE49" s="138">
        <f>VLOOKUP(tblRiskRegister3234[[#This Row],[Asset Class]],tblInherentImpacts30[],5,FALSE)</f>
        <v>0</v>
      </c>
      <c r="AF49" s="138" t="str">
        <f>IFERROR(MAX(tblRiskRegister3234[[#This Row],[Risk Treatment Safeguard Impact to Mission]:[Risk Treatment Safeguard Impact to Obligations]])*tblRiskRegister3234[[#This Row],[Risk Treatment
Safeguard Expectancy Score]],"")</f>
        <v/>
      </c>
      <c r="AG49" s="138" t="str">
        <f>IF(tblRiskRegister3234[[#This Row],[Risk Score]]&gt;AcceptableRisk,IF(tblRiskRegister3234[[#This Row],[Risk Treatment Safeguard Risk Score]]&lt;AcceptableRisk, IF(tblRiskRegister3234[[#This Row],[Risk Treatment Safeguard Risk Score]]&lt;=tblRiskRegister3234[[#This Row],[Risk Score]],"Yes","No"),"No"),"Yes")</f>
        <v>No</v>
      </c>
      <c r="AH49" s="18"/>
      <c r="AI49" s="18"/>
      <c r="AJ49" s="19"/>
    </row>
    <row r="50" spans="2:36" ht="51" x14ac:dyDescent="0.2">
      <c r="B50" s="15" t="s">
        <v>131</v>
      </c>
      <c r="C50" s="15"/>
      <c r="D50" s="13">
        <v>8.3000000000000007</v>
      </c>
      <c r="E50" s="14" t="s">
        <v>610</v>
      </c>
      <c r="F50" s="17"/>
      <c r="G50" s="17" t="s">
        <v>785</v>
      </c>
      <c r="H50" s="17" t="s">
        <v>928</v>
      </c>
      <c r="I50" s="147"/>
      <c r="J50" s="15"/>
      <c r="K50" s="15"/>
      <c r="L50" s="16"/>
      <c r="M50" s="26">
        <f>IFERROR(VLOOKUP(tblRiskRegister3234[[#This Row],[Asset Class]],tblVCDBIndex[],4,FALSE),"")</f>
        <v>1</v>
      </c>
      <c r="N50" s="26" t="str">
        <f>IFERROR(VLOOKUP(10*tblRiskRegister3234[[#This Row],[Safeguard Maturity Score]]+tblRiskRegister3234[[#This Row],[VCDB Index]],tblHITIndexWeightTable[],4,FALSE),"")</f>
        <v/>
      </c>
      <c r="O50" s="26" t="str">
        <f>VLOOKUP(tblRiskRegister3234[[#This Row],[Asset Class]],tblInherentImpacts30[],2,FALSE)</f>
        <v/>
      </c>
      <c r="P50" s="26">
        <f>VLOOKUP(tblRiskRegister3234[[#This Row],[Asset Class]],tblInherentImpacts30[],3,FALSE)</f>
        <v>0</v>
      </c>
      <c r="Q50" s="26">
        <f>VLOOKUP(tblRiskRegister3234[[#This Row],[Asset Class]],tblInherentImpacts30[],4,FALSE)</f>
        <v>0</v>
      </c>
      <c r="R50" s="26">
        <f>VLOOKUP(tblRiskRegister3234[[#This Row],[Asset Class]],tblInherentImpacts30[],5,FALSE)</f>
        <v>0</v>
      </c>
      <c r="S50" s="26" t="str">
        <f>IFERROR(MAX(tblRiskRegister3234[[#This Row],[Impact to Mission]:[Impact to Obligations]])*tblRiskRegister3234[[#This Row],[Expectancy Score]],"")</f>
        <v/>
      </c>
      <c r="T50" s="26" t="str">
        <f>tblRiskRegister3234[[#This Row],[Risk Score]]</f>
        <v/>
      </c>
      <c r="U50" s="100"/>
      <c r="V50" s="100">
        <v>8.3000000000000007</v>
      </c>
      <c r="W50" s="15" t="s">
        <v>610</v>
      </c>
      <c r="X50" s="15" t="s">
        <v>711</v>
      </c>
      <c r="Y50" s="15"/>
      <c r="Z50" s="16"/>
      <c r="AA50" s="27" t="str">
        <f>IFERROR(VLOOKUP(10*tblRiskRegister3234[[#This Row],[Risk Treatment Safeguard Maturity Score]]+tblRiskRegister3234[[#This Row],[VCDB Index]],tblHITIndexWeightTable[],4,FALSE),"")</f>
        <v/>
      </c>
      <c r="AB50" s="138" t="str">
        <f>VLOOKUP(tblRiskRegister3234[[#This Row],[Asset Class]],tblInherentImpacts30[],2,FALSE)</f>
        <v/>
      </c>
      <c r="AC50" s="138">
        <f>VLOOKUP(tblRiskRegister3234[[#This Row],[Asset Class]],tblInherentImpacts30[],3,FALSE)</f>
        <v>0</v>
      </c>
      <c r="AD50" s="138">
        <f>VLOOKUP(tblRiskRegister3234[[#This Row],[Asset Class]],tblInherentImpacts30[],4,FALSE)</f>
        <v>0</v>
      </c>
      <c r="AE50" s="138">
        <f>VLOOKUP(tblRiskRegister3234[[#This Row],[Asset Class]],tblInherentImpacts30[],5,FALSE)</f>
        <v>0</v>
      </c>
      <c r="AF50" s="138" t="str">
        <f>IFERROR(MAX(tblRiskRegister3234[[#This Row],[Risk Treatment Safeguard Impact to Mission]:[Risk Treatment Safeguard Impact to Obligations]])*tblRiskRegister3234[[#This Row],[Risk Treatment
Safeguard Expectancy Score]],"")</f>
        <v/>
      </c>
      <c r="AG50" s="138" t="str">
        <f>IF(tblRiskRegister3234[[#This Row],[Risk Score]]&gt;AcceptableRisk,IF(tblRiskRegister3234[[#This Row],[Risk Treatment Safeguard Risk Score]]&lt;AcceptableRisk, IF(tblRiskRegister3234[[#This Row],[Risk Treatment Safeguard Risk Score]]&lt;=tblRiskRegister3234[[#This Row],[Risk Score]],"Yes","No"),"No"),"Yes")</f>
        <v>No</v>
      </c>
      <c r="AH50" s="18"/>
      <c r="AI50" s="18"/>
      <c r="AJ50" s="19"/>
    </row>
    <row r="51" spans="2:36" ht="25.5" x14ac:dyDescent="0.2">
      <c r="B51" s="15" t="s">
        <v>131</v>
      </c>
      <c r="C51" s="15"/>
      <c r="D51" s="13">
        <v>8.4</v>
      </c>
      <c r="E51" s="14" t="s">
        <v>26</v>
      </c>
      <c r="F51" s="17" t="s">
        <v>785</v>
      </c>
      <c r="G51" s="17" t="s">
        <v>785</v>
      </c>
      <c r="H51" s="17" t="s">
        <v>929</v>
      </c>
      <c r="I51" s="147"/>
      <c r="J51" s="15"/>
      <c r="K51" s="15"/>
      <c r="L51" s="16"/>
      <c r="M51" s="26">
        <f>IFERROR(VLOOKUP(tblRiskRegister3234[[#This Row],[Asset Class]],tblVCDBIndex[],4,FALSE),"")</f>
        <v>1</v>
      </c>
      <c r="N51" s="26" t="str">
        <f>IFERROR(VLOOKUP(10*tblRiskRegister3234[[#This Row],[Safeguard Maturity Score]]+tblRiskRegister3234[[#This Row],[VCDB Index]],tblHITIndexWeightTable[],4,FALSE),"")</f>
        <v/>
      </c>
      <c r="O51" s="26" t="str">
        <f>VLOOKUP(tblRiskRegister3234[[#This Row],[Asset Class]],tblInherentImpacts30[],2,FALSE)</f>
        <v/>
      </c>
      <c r="P51" s="26">
        <f>VLOOKUP(tblRiskRegister3234[[#This Row],[Asset Class]],tblInherentImpacts30[],3,FALSE)</f>
        <v>0</v>
      </c>
      <c r="Q51" s="26">
        <f>VLOOKUP(tblRiskRegister3234[[#This Row],[Asset Class]],tblInherentImpacts30[],4,FALSE)</f>
        <v>0</v>
      </c>
      <c r="R51" s="26">
        <f>VLOOKUP(tblRiskRegister3234[[#This Row],[Asset Class]],tblInherentImpacts30[],5,FALSE)</f>
        <v>0</v>
      </c>
      <c r="S51" s="26" t="str">
        <f>IFERROR(MAX(tblRiskRegister3234[[#This Row],[Impact to Mission]:[Impact to Obligations]])*tblRiskRegister3234[[#This Row],[Expectancy Score]],"")</f>
        <v/>
      </c>
      <c r="T51" s="26" t="str">
        <f>tblRiskRegister3234[[#This Row],[Risk Score]]</f>
        <v/>
      </c>
      <c r="U51" s="100"/>
      <c r="V51" s="100">
        <v>8.4</v>
      </c>
      <c r="W51" s="15" t="s">
        <v>26</v>
      </c>
      <c r="X51" s="15" t="s">
        <v>164</v>
      </c>
      <c r="Y51" s="15"/>
      <c r="Z51" s="16"/>
      <c r="AA51" s="27" t="str">
        <f>IFERROR(VLOOKUP(10*tblRiskRegister3234[[#This Row],[Risk Treatment Safeguard Maturity Score]]+tblRiskRegister3234[[#This Row],[VCDB Index]],tblHITIndexWeightTable[],4,FALSE),"")</f>
        <v/>
      </c>
      <c r="AB51" s="138" t="str">
        <f>VLOOKUP(tblRiskRegister3234[[#This Row],[Asset Class]],tblInherentImpacts30[],2,FALSE)</f>
        <v/>
      </c>
      <c r="AC51" s="138">
        <f>VLOOKUP(tblRiskRegister3234[[#This Row],[Asset Class]],tblInherentImpacts30[],3,FALSE)</f>
        <v>0</v>
      </c>
      <c r="AD51" s="138">
        <f>VLOOKUP(tblRiskRegister3234[[#This Row],[Asset Class]],tblInherentImpacts30[],4,FALSE)</f>
        <v>0</v>
      </c>
      <c r="AE51" s="138">
        <f>VLOOKUP(tblRiskRegister3234[[#This Row],[Asset Class]],tblInherentImpacts30[],5,FALSE)</f>
        <v>0</v>
      </c>
      <c r="AF51" s="138" t="str">
        <f>IFERROR(MAX(tblRiskRegister3234[[#This Row],[Risk Treatment Safeguard Impact to Mission]:[Risk Treatment Safeguard Impact to Obligations]])*tblRiskRegister3234[[#This Row],[Risk Treatment
Safeguard Expectancy Score]],"")</f>
        <v/>
      </c>
      <c r="AG51" s="138" t="str">
        <f>IF(tblRiskRegister3234[[#This Row],[Risk Score]]&gt;AcceptableRisk,IF(tblRiskRegister3234[[#This Row],[Risk Treatment Safeguard Risk Score]]&lt;AcceptableRisk, IF(tblRiskRegister3234[[#This Row],[Risk Treatment Safeguard Risk Score]]&lt;=tblRiskRegister3234[[#This Row],[Risk Score]],"Yes","No"),"No"),"Yes")</f>
        <v>No</v>
      </c>
      <c r="AH51" s="18"/>
      <c r="AI51" s="18"/>
      <c r="AJ51" s="19"/>
    </row>
    <row r="52" spans="2:36" ht="25.5" x14ac:dyDescent="0.2">
      <c r="B52" s="15" t="s">
        <v>131</v>
      </c>
      <c r="C52" s="15"/>
      <c r="D52" s="13">
        <v>8.5</v>
      </c>
      <c r="E52" s="14" t="s">
        <v>68</v>
      </c>
      <c r="F52" s="17" t="s">
        <v>785</v>
      </c>
      <c r="G52" s="17" t="s">
        <v>785</v>
      </c>
      <c r="H52" s="17" t="s">
        <v>928</v>
      </c>
      <c r="I52" s="147"/>
      <c r="J52" s="15"/>
      <c r="K52" s="15"/>
      <c r="L52" s="16"/>
      <c r="M52" s="26">
        <f>IFERROR(VLOOKUP(tblRiskRegister3234[[#This Row],[Asset Class]],tblVCDBIndex[],4,FALSE),"")</f>
        <v>1</v>
      </c>
      <c r="N52" s="26" t="str">
        <f>IFERROR(VLOOKUP(10*tblRiskRegister3234[[#This Row],[Safeguard Maturity Score]]+tblRiskRegister3234[[#This Row],[VCDB Index]],tblHITIndexWeightTable[],4,FALSE),"")</f>
        <v/>
      </c>
      <c r="O52" s="26" t="str">
        <f>VLOOKUP(tblRiskRegister3234[[#This Row],[Asset Class]],tblInherentImpacts30[],2,FALSE)</f>
        <v/>
      </c>
      <c r="P52" s="26">
        <f>VLOOKUP(tblRiskRegister3234[[#This Row],[Asset Class]],tblInherentImpacts30[],3,FALSE)</f>
        <v>0</v>
      </c>
      <c r="Q52" s="26">
        <f>VLOOKUP(tblRiskRegister3234[[#This Row],[Asset Class]],tblInherentImpacts30[],4,FALSE)</f>
        <v>0</v>
      </c>
      <c r="R52" s="26">
        <f>VLOOKUP(tblRiskRegister3234[[#This Row],[Asset Class]],tblInherentImpacts30[],5,FALSE)</f>
        <v>0</v>
      </c>
      <c r="S52" s="26" t="str">
        <f>IFERROR(MAX(tblRiskRegister3234[[#This Row],[Impact to Mission]:[Impact to Obligations]])*tblRiskRegister3234[[#This Row],[Expectancy Score]],"")</f>
        <v/>
      </c>
      <c r="T52" s="26" t="str">
        <f>tblRiskRegister3234[[#This Row],[Risk Score]]</f>
        <v/>
      </c>
      <c r="U52" s="100"/>
      <c r="V52" s="100">
        <v>8.5</v>
      </c>
      <c r="W52" s="15" t="s">
        <v>68</v>
      </c>
      <c r="X52" s="15" t="s">
        <v>165</v>
      </c>
      <c r="Y52" s="15"/>
      <c r="Z52" s="16"/>
      <c r="AA52" s="27" t="str">
        <f>IFERROR(VLOOKUP(10*tblRiskRegister3234[[#This Row],[Risk Treatment Safeguard Maturity Score]]+tblRiskRegister3234[[#This Row],[VCDB Index]],tblHITIndexWeightTable[],4,FALSE),"")</f>
        <v/>
      </c>
      <c r="AB52" s="138" t="str">
        <f>VLOOKUP(tblRiskRegister3234[[#This Row],[Asset Class]],tblInherentImpacts30[],2,FALSE)</f>
        <v/>
      </c>
      <c r="AC52" s="138">
        <f>VLOOKUP(tblRiskRegister3234[[#This Row],[Asset Class]],tblInherentImpacts30[],3,FALSE)</f>
        <v>0</v>
      </c>
      <c r="AD52" s="138">
        <f>VLOOKUP(tblRiskRegister3234[[#This Row],[Asset Class]],tblInherentImpacts30[],4,FALSE)</f>
        <v>0</v>
      </c>
      <c r="AE52" s="138">
        <f>VLOOKUP(tblRiskRegister3234[[#This Row],[Asset Class]],tblInherentImpacts30[],5,FALSE)</f>
        <v>0</v>
      </c>
      <c r="AF52" s="138" t="str">
        <f>IFERROR(MAX(tblRiskRegister3234[[#This Row],[Risk Treatment Safeguard Impact to Mission]:[Risk Treatment Safeguard Impact to Obligations]])*tblRiskRegister3234[[#This Row],[Risk Treatment
Safeguard Expectancy Score]],"")</f>
        <v/>
      </c>
      <c r="AG52" s="138" t="str">
        <f>IF(tblRiskRegister3234[[#This Row],[Risk Score]]&gt;AcceptableRisk,IF(tblRiskRegister3234[[#This Row],[Risk Treatment Safeguard Risk Score]]&lt;AcceptableRisk, IF(tblRiskRegister3234[[#This Row],[Risk Treatment Safeguard Risk Score]]&lt;=tblRiskRegister3234[[#This Row],[Risk Score]],"Yes","No"),"No"),"Yes")</f>
        <v>No</v>
      </c>
      <c r="AH52" s="18"/>
      <c r="AI52" s="18"/>
      <c r="AJ52" s="19"/>
    </row>
    <row r="53" spans="2:36" ht="25.5" x14ac:dyDescent="0.2">
      <c r="B53" s="44" t="s">
        <v>131</v>
      </c>
      <c r="C53" s="44"/>
      <c r="D53" s="13">
        <v>8.6</v>
      </c>
      <c r="E53" s="14" t="s">
        <v>611</v>
      </c>
      <c r="F53" s="17"/>
      <c r="G53" s="17" t="s">
        <v>785</v>
      </c>
      <c r="H53" s="17" t="s">
        <v>929</v>
      </c>
      <c r="I53" s="147"/>
      <c r="J53" s="15"/>
      <c r="K53" s="15"/>
      <c r="L53" s="16"/>
      <c r="M53" s="26">
        <f>IFERROR(VLOOKUP(tblRiskRegister3234[[#This Row],[Asset Class]],tblVCDBIndex[],4,FALSE),"")</f>
        <v>1</v>
      </c>
      <c r="N53" s="29" t="str">
        <f>IFERROR(VLOOKUP(10*tblRiskRegister3234[[#This Row],[Safeguard Maturity Score]]+tblRiskRegister3234[[#This Row],[VCDB Index]],tblHITIndexWeightTable[],4,FALSE),"")</f>
        <v/>
      </c>
      <c r="O53" s="29" t="str">
        <f>VLOOKUP(tblRiskRegister3234[[#This Row],[Asset Class]],tblInherentImpacts30[],2,FALSE)</f>
        <v/>
      </c>
      <c r="P53" s="29">
        <f>VLOOKUP(tblRiskRegister3234[[#This Row],[Asset Class]],tblInherentImpacts30[],3,FALSE)</f>
        <v>0</v>
      </c>
      <c r="Q53" s="29">
        <f>VLOOKUP(tblRiskRegister3234[[#This Row],[Asset Class]],tblInherentImpacts30[],4,FALSE)</f>
        <v>0</v>
      </c>
      <c r="R53" s="29">
        <f>VLOOKUP(tblRiskRegister3234[[#This Row],[Asset Class]],tblInherentImpacts30[],5,FALSE)</f>
        <v>0</v>
      </c>
      <c r="S53" s="29" t="str">
        <f>IFERROR(MAX(tblRiskRegister3234[[#This Row],[Impact to Mission]:[Impact to Obligations]])*tblRiskRegister3234[[#This Row],[Expectancy Score]],"")</f>
        <v/>
      </c>
      <c r="T53" s="29" t="str">
        <f>tblRiskRegister3234[[#This Row],[Risk Score]]</f>
        <v/>
      </c>
      <c r="U53" s="100"/>
      <c r="V53" s="112">
        <v>8.6</v>
      </c>
      <c r="W53" s="44" t="s">
        <v>611</v>
      </c>
      <c r="X53" s="44" t="s">
        <v>712</v>
      </c>
      <c r="Y53" s="30"/>
      <c r="Z53" s="16"/>
      <c r="AA53" s="27" t="str">
        <f>IFERROR(VLOOKUP(10*tblRiskRegister3234[[#This Row],[Risk Treatment Safeguard Maturity Score]]+tblRiskRegister3234[[#This Row],[VCDB Index]],tblHITIndexWeightTable[],4,FALSE),"")</f>
        <v/>
      </c>
      <c r="AB53" s="138" t="str">
        <f>VLOOKUP(tblRiskRegister3234[[#This Row],[Asset Class]],tblInherentImpacts30[],2,FALSE)</f>
        <v/>
      </c>
      <c r="AC53" s="138">
        <f>VLOOKUP(tblRiskRegister3234[[#This Row],[Asset Class]],tblInherentImpacts30[],3,FALSE)</f>
        <v>0</v>
      </c>
      <c r="AD53" s="138">
        <f>VLOOKUP(tblRiskRegister3234[[#This Row],[Asset Class]],tblInherentImpacts30[],4,FALSE)</f>
        <v>0</v>
      </c>
      <c r="AE53" s="138">
        <f>VLOOKUP(tblRiskRegister3234[[#This Row],[Asset Class]],tblInherentImpacts30[],5,FALSE)</f>
        <v>0</v>
      </c>
      <c r="AF53" s="138" t="str">
        <f>IFERROR(MAX(tblRiskRegister3234[[#This Row],[Risk Treatment Safeguard Impact to Mission]:[Risk Treatment Safeguard Impact to Obligations]])*tblRiskRegister3234[[#This Row],[Risk Treatment
Safeguard Expectancy Score]],"")</f>
        <v/>
      </c>
      <c r="AG53" s="138" t="str">
        <f>IF(tblRiskRegister3234[[#This Row],[Risk Score]]&gt;AcceptableRisk,IF(tblRiskRegister3234[[#This Row],[Risk Treatment Safeguard Risk Score]]&lt;AcceptableRisk, IF(tblRiskRegister3234[[#This Row],[Risk Treatment Safeguard Risk Score]]&lt;=tblRiskRegister3234[[#This Row],[Risk Score]],"Yes","No"),"No"),"Yes")</f>
        <v>No</v>
      </c>
      <c r="AH53" s="18"/>
      <c r="AI53" s="18"/>
      <c r="AJ53" s="19"/>
    </row>
    <row r="54" spans="2:36" ht="25.5" x14ac:dyDescent="0.2">
      <c r="B54" s="44" t="s">
        <v>131</v>
      </c>
      <c r="C54" s="44"/>
      <c r="D54" s="13">
        <v>8.8000000000000007</v>
      </c>
      <c r="E54" s="14" t="s">
        <v>613</v>
      </c>
      <c r="F54" s="17"/>
      <c r="G54" s="17" t="s">
        <v>785</v>
      </c>
      <c r="H54" s="17" t="s">
        <v>929</v>
      </c>
      <c r="I54" s="147"/>
      <c r="J54" s="15"/>
      <c r="K54" s="15"/>
      <c r="L54" s="16"/>
      <c r="M54" s="26">
        <f>IFERROR(VLOOKUP(tblRiskRegister3234[[#This Row],[Asset Class]],tblVCDBIndex[],4,FALSE),"")</f>
        <v>1</v>
      </c>
      <c r="N54" s="29" t="str">
        <f>IFERROR(VLOOKUP(10*tblRiskRegister3234[[#This Row],[Safeguard Maturity Score]]+tblRiskRegister3234[[#This Row],[VCDB Index]],tblHITIndexWeightTable[],4,FALSE),"")</f>
        <v/>
      </c>
      <c r="O54" s="29" t="str">
        <f>VLOOKUP(tblRiskRegister3234[[#This Row],[Asset Class]],tblInherentImpacts30[],2,FALSE)</f>
        <v/>
      </c>
      <c r="P54" s="29">
        <f>VLOOKUP(tblRiskRegister3234[[#This Row],[Asset Class]],tblInherentImpacts30[],3,FALSE)</f>
        <v>0</v>
      </c>
      <c r="Q54" s="29">
        <f>VLOOKUP(tblRiskRegister3234[[#This Row],[Asset Class]],tblInherentImpacts30[],4,FALSE)</f>
        <v>0</v>
      </c>
      <c r="R54" s="29">
        <f>VLOOKUP(tblRiskRegister3234[[#This Row],[Asset Class]],tblInherentImpacts30[],5,FALSE)</f>
        <v>0</v>
      </c>
      <c r="S54" s="29" t="str">
        <f>IFERROR(MAX(tblRiskRegister3234[[#This Row],[Impact to Mission]:[Impact to Obligations]])*tblRiskRegister3234[[#This Row],[Expectancy Score]],"")</f>
        <v/>
      </c>
      <c r="T54" s="29" t="str">
        <f>tblRiskRegister3234[[#This Row],[Risk Score]]</f>
        <v/>
      </c>
      <c r="U54" s="100"/>
      <c r="V54" s="112">
        <v>8.8000000000000007</v>
      </c>
      <c r="W54" s="44" t="s">
        <v>613</v>
      </c>
      <c r="X54" s="44" t="s">
        <v>714</v>
      </c>
      <c r="Y54" s="30"/>
      <c r="Z54" s="16"/>
      <c r="AA54" s="27" t="str">
        <f>IFERROR(VLOOKUP(10*tblRiskRegister3234[[#This Row],[Risk Treatment Safeguard Maturity Score]]+tblRiskRegister3234[[#This Row],[VCDB Index]],tblHITIndexWeightTable[],4,FALSE),"")</f>
        <v/>
      </c>
      <c r="AB54" s="138" t="str">
        <f>VLOOKUP(tblRiskRegister3234[[#This Row],[Asset Class]],tblInherentImpacts30[],2,FALSE)</f>
        <v/>
      </c>
      <c r="AC54" s="138">
        <f>VLOOKUP(tblRiskRegister3234[[#This Row],[Asset Class]],tblInherentImpacts30[],3,FALSE)</f>
        <v>0</v>
      </c>
      <c r="AD54" s="138">
        <f>VLOOKUP(tblRiskRegister3234[[#This Row],[Asset Class]],tblInherentImpacts30[],4,FALSE)</f>
        <v>0</v>
      </c>
      <c r="AE54" s="138">
        <f>VLOOKUP(tblRiskRegister3234[[#This Row],[Asset Class]],tblInherentImpacts30[],5,FALSE)</f>
        <v>0</v>
      </c>
      <c r="AF54" s="138" t="str">
        <f>IFERROR(MAX(tblRiskRegister3234[[#This Row],[Risk Treatment Safeguard Impact to Mission]:[Risk Treatment Safeguard Impact to Obligations]])*tblRiskRegister3234[[#This Row],[Risk Treatment
Safeguard Expectancy Score]],"")</f>
        <v/>
      </c>
      <c r="AG54" s="138" t="str">
        <f>IF(tblRiskRegister3234[[#This Row],[Risk Score]]&gt;AcceptableRisk,IF(tblRiskRegister3234[[#This Row],[Risk Treatment Safeguard Risk Score]]&lt;AcceptableRisk, IF(tblRiskRegister3234[[#This Row],[Risk Treatment Safeguard Risk Score]]&lt;=tblRiskRegister3234[[#This Row],[Risk Score]],"Yes","No"),"No"),"Yes")</f>
        <v>No</v>
      </c>
      <c r="AH54" s="18"/>
      <c r="AI54" s="18"/>
      <c r="AJ54" s="19"/>
    </row>
    <row r="55" spans="2:36" ht="25.5" x14ac:dyDescent="0.2">
      <c r="B55" s="44" t="s">
        <v>131</v>
      </c>
      <c r="C55" s="44"/>
      <c r="D55" s="13">
        <v>9.1</v>
      </c>
      <c r="E55" s="14" t="s">
        <v>614</v>
      </c>
      <c r="F55" s="17"/>
      <c r="G55" s="17" t="s">
        <v>785</v>
      </c>
      <c r="H55" s="17" t="s">
        <v>926</v>
      </c>
      <c r="I55" s="147"/>
      <c r="J55" s="15"/>
      <c r="K55" s="15"/>
      <c r="L55" s="16"/>
      <c r="M55" s="26">
        <f>IFERROR(VLOOKUP(tblRiskRegister3234[[#This Row],[Asset Class]],tblVCDBIndex[],4,FALSE),"")</f>
        <v>1</v>
      </c>
      <c r="N55" s="29" t="str">
        <f>IFERROR(VLOOKUP(10*tblRiskRegister3234[[#This Row],[Safeguard Maturity Score]]+tblRiskRegister3234[[#This Row],[VCDB Index]],tblHITIndexWeightTable[],4,FALSE),"")</f>
        <v/>
      </c>
      <c r="O55" s="29" t="str">
        <f>VLOOKUP(tblRiskRegister3234[[#This Row],[Asset Class]],tblInherentImpacts30[],2,FALSE)</f>
        <v/>
      </c>
      <c r="P55" s="29">
        <f>VLOOKUP(tblRiskRegister3234[[#This Row],[Asset Class]],tblInherentImpacts30[],3,FALSE)</f>
        <v>0</v>
      </c>
      <c r="Q55" s="29">
        <f>VLOOKUP(tblRiskRegister3234[[#This Row],[Asset Class]],tblInherentImpacts30[],4,FALSE)</f>
        <v>0</v>
      </c>
      <c r="R55" s="29">
        <f>VLOOKUP(tblRiskRegister3234[[#This Row],[Asset Class]],tblInherentImpacts30[],5,FALSE)</f>
        <v>0</v>
      </c>
      <c r="S55" s="29" t="str">
        <f>IFERROR(MAX(tblRiskRegister3234[[#This Row],[Impact to Mission]:[Impact to Obligations]])*tblRiskRegister3234[[#This Row],[Expectancy Score]],"")</f>
        <v/>
      </c>
      <c r="T55" s="29" t="str">
        <f>tblRiskRegister3234[[#This Row],[Risk Score]]</f>
        <v/>
      </c>
      <c r="U55" s="100"/>
      <c r="V55" s="112">
        <v>9.1</v>
      </c>
      <c r="W55" s="44" t="s">
        <v>614</v>
      </c>
      <c r="X55" s="44" t="s">
        <v>715</v>
      </c>
      <c r="Y55" s="30"/>
      <c r="Z55" s="16"/>
      <c r="AA55" s="27" t="str">
        <f>IFERROR(VLOOKUP(10*tblRiskRegister3234[[#This Row],[Risk Treatment Safeguard Maturity Score]]+tblRiskRegister3234[[#This Row],[VCDB Index]],tblHITIndexWeightTable[],4,FALSE),"")</f>
        <v/>
      </c>
      <c r="AB55" s="138" t="str">
        <f>VLOOKUP(tblRiskRegister3234[[#This Row],[Asset Class]],tblInherentImpacts30[],2,FALSE)</f>
        <v/>
      </c>
      <c r="AC55" s="138">
        <f>VLOOKUP(tblRiskRegister3234[[#This Row],[Asset Class]],tblInherentImpacts30[],3,FALSE)</f>
        <v>0</v>
      </c>
      <c r="AD55" s="138">
        <f>VLOOKUP(tblRiskRegister3234[[#This Row],[Asset Class]],tblInherentImpacts30[],4,FALSE)</f>
        <v>0</v>
      </c>
      <c r="AE55" s="138">
        <f>VLOOKUP(tblRiskRegister3234[[#This Row],[Asset Class]],tblInherentImpacts30[],5,FALSE)</f>
        <v>0</v>
      </c>
      <c r="AF55" s="138" t="str">
        <f>IFERROR(MAX(tblRiskRegister3234[[#This Row],[Risk Treatment Safeguard Impact to Mission]:[Risk Treatment Safeguard Impact to Obligations]])*tblRiskRegister3234[[#This Row],[Risk Treatment
Safeguard Expectancy Score]],"")</f>
        <v/>
      </c>
      <c r="AG55" s="138" t="str">
        <f>IF(tblRiskRegister3234[[#This Row],[Risk Score]]&gt;AcceptableRisk,IF(tblRiskRegister3234[[#This Row],[Risk Treatment Safeguard Risk Score]]&lt;AcceptableRisk, IF(tblRiskRegister3234[[#This Row],[Risk Treatment Safeguard Risk Score]]&lt;=tblRiskRegister3234[[#This Row],[Risk Score]],"Yes","No"),"No"),"Yes")</f>
        <v>No</v>
      </c>
      <c r="AH55" s="18"/>
      <c r="AI55" s="18"/>
      <c r="AJ55" s="19"/>
    </row>
    <row r="56" spans="2:36" ht="38.25" x14ac:dyDescent="0.2">
      <c r="B56" s="44" t="s">
        <v>131</v>
      </c>
      <c r="C56" s="44"/>
      <c r="D56" s="13">
        <v>9.1999999999999993</v>
      </c>
      <c r="E56" s="14" t="s">
        <v>615</v>
      </c>
      <c r="F56" s="17"/>
      <c r="G56" s="17" t="s">
        <v>785</v>
      </c>
      <c r="H56" s="17" t="s">
        <v>928</v>
      </c>
      <c r="I56" s="147"/>
      <c r="J56" s="15"/>
      <c r="K56" s="15"/>
      <c r="L56" s="16"/>
      <c r="M56" s="26">
        <f>IFERROR(VLOOKUP(tblRiskRegister3234[[#This Row],[Asset Class]],tblVCDBIndex[],4,FALSE),"")</f>
        <v>1</v>
      </c>
      <c r="N56" s="29" t="str">
        <f>IFERROR(VLOOKUP(10*tblRiskRegister3234[[#This Row],[Safeguard Maturity Score]]+tblRiskRegister3234[[#This Row],[VCDB Index]],tblHITIndexWeightTable[],4,FALSE),"")</f>
        <v/>
      </c>
      <c r="O56" s="29" t="str">
        <f>VLOOKUP(tblRiskRegister3234[[#This Row],[Asset Class]],tblInherentImpacts30[],2,FALSE)</f>
        <v/>
      </c>
      <c r="P56" s="29">
        <f>VLOOKUP(tblRiskRegister3234[[#This Row],[Asset Class]],tblInherentImpacts30[],3,FALSE)</f>
        <v>0</v>
      </c>
      <c r="Q56" s="29">
        <f>VLOOKUP(tblRiskRegister3234[[#This Row],[Asset Class]],tblInherentImpacts30[],4,FALSE)</f>
        <v>0</v>
      </c>
      <c r="R56" s="29">
        <f>VLOOKUP(tblRiskRegister3234[[#This Row],[Asset Class]],tblInherentImpacts30[],5,FALSE)</f>
        <v>0</v>
      </c>
      <c r="S56" s="29" t="str">
        <f>IFERROR(MAX(tblRiskRegister3234[[#This Row],[Impact to Mission]:[Impact to Obligations]])*tblRiskRegister3234[[#This Row],[Expectancy Score]],"")</f>
        <v/>
      </c>
      <c r="T56" s="29" t="str">
        <f>tblRiskRegister3234[[#This Row],[Risk Score]]</f>
        <v/>
      </c>
      <c r="U56" s="100"/>
      <c r="V56" s="112">
        <v>9.1999999999999993</v>
      </c>
      <c r="W56" s="44" t="s">
        <v>615</v>
      </c>
      <c r="X56" s="44" t="s">
        <v>716</v>
      </c>
      <c r="Y56" s="30"/>
      <c r="Z56" s="16"/>
      <c r="AA56" s="27" t="str">
        <f>IFERROR(VLOOKUP(10*tblRiskRegister3234[[#This Row],[Risk Treatment Safeguard Maturity Score]]+tblRiskRegister3234[[#This Row],[VCDB Index]],tblHITIndexWeightTable[],4,FALSE),"")</f>
        <v/>
      </c>
      <c r="AB56" s="138" t="str">
        <f>VLOOKUP(tblRiskRegister3234[[#This Row],[Asset Class]],tblInherentImpacts30[],2,FALSE)</f>
        <v/>
      </c>
      <c r="AC56" s="138">
        <f>VLOOKUP(tblRiskRegister3234[[#This Row],[Asset Class]],tblInherentImpacts30[],3,FALSE)</f>
        <v>0</v>
      </c>
      <c r="AD56" s="138">
        <f>VLOOKUP(tblRiskRegister3234[[#This Row],[Asset Class]],tblInherentImpacts30[],4,FALSE)</f>
        <v>0</v>
      </c>
      <c r="AE56" s="138">
        <f>VLOOKUP(tblRiskRegister3234[[#This Row],[Asset Class]],tblInherentImpacts30[],5,FALSE)</f>
        <v>0</v>
      </c>
      <c r="AF56" s="138" t="str">
        <f>IFERROR(MAX(tblRiskRegister3234[[#This Row],[Risk Treatment Safeguard Impact to Mission]:[Risk Treatment Safeguard Impact to Obligations]])*tblRiskRegister3234[[#This Row],[Risk Treatment
Safeguard Expectancy Score]],"")</f>
        <v/>
      </c>
      <c r="AG56" s="138" t="str">
        <f>IF(tblRiskRegister3234[[#This Row],[Risk Score]]&gt;AcceptableRisk,IF(tblRiskRegister3234[[#This Row],[Risk Treatment Safeguard Risk Score]]&lt;AcceptableRisk, IF(tblRiskRegister3234[[#This Row],[Risk Treatment Safeguard Risk Score]]&lt;=tblRiskRegister3234[[#This Row],[Risk Score]],"Yes","No"),"No"),"Yes")</f>
        <v>No</v>
      </c>
      <c r="AH56" s="18"/>
      <c r="AI56" s="18"/>
      <c r="AJ56" s="19"/>
    </row>
    <row r="57" spans="2:36" ht="25.5" x14ac:dyDescent="0.2">
      <c r="B57" s="44" t="s">
        <v>131</v>
      </c>
      <c r="C57" s="44"/>
      <c r="D57" s="13">
        <v>9.3000000000000007</v>
      </c>
      <c r="E57" s="14" t="s">
        <v>616</v>
      </c>
      <c r="F57" s="17"/>
      <c r="G57" s="17" t="s">
        <v>785</v>
      </c>
      <c r="H57" s="17" t="s">
        <v>929</v>
      </c>
      <c r="I57" s="147"/>
      <c r="J57" s="15"/>
      <c r="K57" s="15"/>
      <c r="L57" s="16"/>
      <c r="M57" s="26">
        <f>IFERROR(VLOOKUP(tblRiskRegister3234[[#This Row],[Asset Class]],tblVCDBIndex[],4,FALSE),"")</f>
        <v>1</v>
      </c>
      <c r="N57" s="29" t="str">
        <f>IFERROR(VLOOKUP(10*tblRiskRegister3234[[#This Row],[Safeguard Maturity Score]]+tblRiskRegister3234[[#This Row],[VCDB Index]],tblHITIndexWeightTable[],4,FALSE),"")</f>
        <v/>
      </c>
      <c r="O57" s="29" t="str">
        <f>VLOOKUP(tblRiskRegister3234[[#This Row],[Asset Class]],tblInherentImpacts30[],2,FALSE)</f>
        <v/>
      </c>
      <c r="P57" s="29">
        <f>VLOOKUP(tblRiskRegister3234[[#This Row],[Asset Class]],tblInherentImpacts30[],3,FALSE)</f>
        <v>0</v>
      </c>
      <c r="Q57" s="29">
        <f>VLOOKUP(tblRiskRegister3234[[#This Row],[Asset Class]],tblInherentImpacts30[],4,FALSE)</f>
        <v>0</v>
      </c>
      <c r="R57" s="29">
        <f>VLOOKUP(tblRiskRegister3234[[#This Row],[Asset Class]],tblInherentImpacts30[],5,FALSE)</f>
        <v>0</v>
      </c>
      <c r="S57" s="29" t="str">
        <f>IFERROR(MAX(tblRiskRegister3234[[#This Row],[Impact to Mission]:[Impact to Obligations]])*tblRiskRegister3234[[#This Row],[Expectancy Score]],"")</f>
        <v/>
      </c>
      <c r="T57" s="29" t="str">
        <f>tblRiskRegister3234[[#This Row],[Risk Score]]</f>
        <v/>
      </c>
      <c r="U57" s="100"/>
      <c r="V57" s="112">
        <v>9.3000000000000007</v>
      </c>
      <c r="W57" s="44" t="s">
        <v>616</v>
      </c>
      <c r="X57" s="44" t="s">
        <v>717</v>
      </c>
      <c r="Y57" s="30"/>
      <c r="Z57" s="16"/>
      <c r="AA57" s="27" t="str">
        <f>IFERROR(VLOOKUP(10*tblRiskRegister3234[[#This Row],[Risk Treatment Safeguard Maturity Score]]+tblRiskRegister3234[[#This Row],[VCDB Index]],tblHITIndexWeightTable[],4,FALSE),"")</f>
        <v/>
      </c>
      <c r="AB57" s="138" t="str">
        <f>VLOOKUP(tblRiskRegister3234[[#This Row],[Asset Class]],tblInherentImpacts30[],2,FALSE)</f>
        <v/>
      </c>
      <c r="AC57" s="138">
        <f>VLOOKUP(tblRiskRegister3234[[#This Row],[Asset Class]],tblInherentImpacts30[],3,FALSE)</f>
        <v>0</v>
      </c>
      <c r="AD57" s="138">
        <f>VLOOKUP(tblRiskRegister3234[[#This Row],[Asset Class]],tblInherentImpacts30[],4,FALSE)</f>
        <v>0</v>
      </c>
      <c r="AE57" s="138">
        <f>VLOOKUP(tblRiskRegister3234[[#This Row],[Asset Class]],tblInherentImpacts30[],5,FALSE)</f>
        <v>0</v>
      </c>
      <c r="AF57" s="138" t="str">
        <f>IFERROR(MAX(tblRiskRegister3234[[#This Row],[Risk Treatment Safeguard Impact to Mission]:[Risk Treatment Safeguard Impact to Obligations]])*tblRiskRegister3234[[#This Row],[Risk Treatment
Safeguard Expectancy Score]],"")</f>
        <v/>
      </c>
      <c r="AG57" s="138" t="str">
        <f>IF(tblRiskRegister3234[[#This Row],[Risk Score]]&gt;AcceptableRisk,IF(tblRiskRegister3234[[#This Row],[Risk Treatment Safeguard Risk Score]]&lt;AcceptableRisk, IF(tblRiskRegister3234[[#This Row],[Risk Treatment Safeguard Risk Score]]&lt;=tblRiskRegister3234[[#This Row],[Risk Score]],"Yes","No"),"No"),"Yes")</f>
        <v>No</v>
      </c>
      <c r="AH57" s="18"/>
      <c r="AI57" s="18"/>
      <c r="AJ57" s="19"/>
    </row>
    <row r="58" spans="2:36" ht="38.25" x14ac:dyDescent="0.2">
      <c r="B58" s="44" t="s">
        <v>131</v>
      </c>
      <c r="C58" s="44"/>
      <c r="D58" s="13">
        <v>9.4</v>
      </c>
      <c r="E58" s="14" t="s">
        <v>69</v>
      </c>
      <c r="F58" s="17" t="s">
        <v>785</v>
      </c>
      <c r="G58" s="17" t="s">
        <v>785</v>
      </c>
      <c r="H58" s="17" t="s">
        <v>928</v>
      </c>
      <c r="I58" s="147"/>
      <c r="J58" s="15"/>
      <c r="K58" s="15"/>
      <c r="L58" s="16"/>
      <c r="M58" s="26">
        <f>IFERROR(VLOOKUP(tblRiskRegister3234[[#This Row],[Asset Class]],tblVCDBIndex[],4,FALSE),"")</f>
        <v>1</v>
      </c>
      <c r="N58" s="29" t="str">
        <f>IFERROR(VLOOKUP(10*tblRiskRegister3234[[#This Row],[Safeguard Maturity Score]]+tblRiskRegister3234[[#This Row],[VCDB Index]],tblHITIndexWeightTable[],4,FALSE),"")</f>
        <v/>
      </c>
      <c r="O58" s="29" t="str">
        <f>VLOOKUP(tblRiskRegister3234[[#This Row],[Asset Class]],tblInherentImpacts30[],2,FALSE)</f>
        <v/>
      </c>
      <c r="P58" s="29">
        <f>VLOOKUP(tblRiskRegister3234[[#This Row],[Asset Class]],tblInherentImpacts30[],3,FALSE)</f>
        <v>0</v>
      </c>
      <c r="Q58" s="29">
        <f>VLOOKUP(tblRiskRegister3234[[#This Row],[Asset Class]],tblInherentImpacts30[],4,FALSE)</f>
        <v>0</v>
      </c>
      <c r="R58" s="29">
        <f>VLOOKUP(tblRiskRegister3234[[#This Row],[Asset Class]],tblInherentImpacts30[],5,FALSE)</f>
        <v>0</v>
      </c>
      <c r="S58" s="29" t="str">
        <f>IFERROR(MAX(tblRiskRegister3234[[#This Row],[Impact to Mission]:[Impact to Obligations]])*tblRiskRegister3234[[#This Row],[Expectancy Score]],"")</f>
        <v/>
      </c>
      <c r="T58" s="29" t="str">
        <f>tblRiskRegister3234[[#This Row],[Risk Score]]</f>
        <v/>
      </c>
      <c r="U58" s="100"/>
      <c r="V58" s="112">
        <v>9.4</v>
      </c>
      <c r="W58" s="44" t="s">
        <v>69</v>
      </c>
      <c r="X58" s="44" t="s">
        <v>718</v>
      </c>
      <c r="Y58" s="30"/>
      <c r="Z58" s="16"/>
      <c r="AA58" s="27" t="str">
        <f>IFERROR(VLOOKUP(10*tblRiskRegister3234[[#This Row],[Risk Treatment Safeguard Maturity Score]]+tblRiskRegister3234[[#This Row],[VCDB Index]],tblHITIndexWeightTable[],4,FALSE),"")</f>
        <v/>
      </c>
      <c r="AB58" s="138" t="str">
        <f>VLOOKUP(tblRiskRegister3234[[#This Row],[Asset Class]],tblInherentImpacts30[],2,FALSE)</f>
        <v/>
      </c>
      <c r="AC58" s="138">
        <f>VLOOKUP(tblRiskRegister3234[[#This Row],[Asset Class]],tblInherentImpacts30[],3,FALSE)</f>
        <v>0</v>
      </c>
      <c r="AD58" s="138">
        <f>VLOOKUP(tblRiskRegister3234[[#This Row],[Asset Class]],tblInherentImpacts30[],4,FALSE)</f>
        <v>0</v>
      </c>
      <c r="AE58" s="138">
        <f>VLOOKUP(tblRiskRegister3234[[#This Row],[Asset Class]],tblInherentImpacts30[],5,FALSE)</f>
        <v>0</v>
      </c>
      <c r="AF58" s="138" t="str">
        <f>IFERROR(MAX(tblRiskRegister3234[[#This Row],[Risk Treatment Safeguard Impact to Mission]:[Risk Treatment Safeguard Impact to Obligations]])*tblRiskRegister3234[[#This Row],[Risk Treatment
Safeguard Expectancy Score]],"")</f>
        <v/>
      </c>
      <c r="AG58" s="138" t="str">
        <f>IF(tblRiskRegister3234[[#This Row],[Risk Score]]&gt;AcceptableRisk,IF(tblRiskRegister3234[[#This Row],[Risk Treatment Safeguard Risk Score]]&lt;AcceptableRisk, IF(tblRiskRegister3234[[#This Row],[Risk Treatment Safeguard Risk Score]]&lt;=tblRiskRegister3234[[#This Row],[Risk Score]],"Yes","No"),"No"),"Yes")</f>
        <v>No</v>
      </c>
      <c r="AH58" s="18"/>
      <c r="AI58" s="18"/>
      <c r="AJ58" s="19"/>
    </row>
    <row r="59" spans="2:36" ht="38.25" x14ac:dyDescent="0.2">
      <c r="B59" s="44" t="s">
        <v>131</v>
      </c>
      <c r="C59" s="44"/>
      <c r="D59" s="13">
        <v>15.6</v>
      </c>
      <c r="E59" s="14" t="s">
        <v>639</v>
      </c>
      <c r="F59" s="17"/>
      <c r="G59" s="17" t="s">
        <v>785</v>
      </c>
      <c r="H59" s="17" t="s">
        <v>928</v>
      </c>
      <c r="I59" s="147"/>
      <c r="J59" s="15"/>
      <c r="K59" s="15"/>
      <c r="L59" s="16"/>
      <c r="M59" s="26">
        <f>IFERROR(VLOOKUP(tblRiskRegister3234[[#This Row],[Asset Class]],tblVCDBIndex[],4,FALSE),"")</f>
        <v>1</v>
      </c>
      <c r="N59" s="29" t="str">
        <f>IFERROR(VLOOKUP(10*tblRiskRegister3234[[#This Row],[Safeguard Maturity Score]]+tblRiskRegister3234[[#This Row],[VCDB Index]],tblHITIndexWeightTable[],4,FALSE),"")</f>
        <v/>
      </c>
      <c r="O59" s="29" t="str">
        <f>VLOOKUP(tblRiskRegister3234[[#This Row],[Asset Class]],tblInherentImpacts30[],2,FALSE)</f>
        <v/>
      </c>
      <c r="P59" s="29">
        <f>VLOOKUP(tblRiskRegister3234[[#This Row],[Asset Class]],tblInherentImpacts30[],3,FALSE)</f>
        <v>0</v>
      </c>
      <c r="Q59" s="29">
        <f>VLOOKUP(tblRiskRegister3234[[#This Row],[Asset Class]],tblInherentImpacts30[],4,FALSE)</f>
        <v>0</v>
      </c>
      <c r="R59" s="29">
        <f>VLOOKUP(tblRiskRegister3234[[#This Row],[Asset Class]],tblInherentImpacts30[],5,FALSE)</f>
        <v>0</v>
      </c>
      <c r="S59" s="29" t="str">
        <f>IFERROR(MAX(tblRiskRegister3234[[#This Row],[Impact to Mission]:[Impact to Obligations]])*tblRiskRegister3234[[#This Row],[Expectancy Score]],"")</f>
        <v/>
      </c>
      <c r="T59" s="29" t="str">
        <f>tblRiskRegister3234[[#This Row],[Risk Score]]</f>
        <v/>
      </c>
      <c r="U59" s="100"/>
      <c r="V59" s="112">
        <v>15.6</v>
      </c>
      <c r="W59" s="44" t="s">
        <v>639</v>
      </c>
      <c r="X59" s="44" t="s">
        <v>744</v>
      </c>
      <c r="Y59" s="30"/>
      <c r="Z59" s="16"/>
      <c r="AA59" s="27" t="str">
        <f>IFERROR(VLOOKUP(10*tblRiskRegister3234[[#This Row],[Risk Treatment Safeguard Maturity Score]]+tblRiskRegister3234[[#This Row],[VCDB Index]],tblHITIndexWeightTable[],4,FALSE),"")</f>
        <v/>
      </c>
      <c r="AB59" s="138" t="str">
        <f>VLOOKUP(tblRiskRegister3234[[#This Row],[Asset Class]],tblInherentImpacts30[],2,FALSE)</f>
        <v/>
      </c>
      <c r="AC59" s="138">
        <f>VLOOKUP(tblRiskRegister3234[[#This Row],[Asset Class]],tblInherentImpacts30[],3,FALSE)</f>
        <v>0</v>
      </c>
      <c r="AD59" s="138">
        <f>VLOOKUP(tblRiskRegister3234[[#This Row],[Asset Class]],tblInherentImpacts30[],4,FALSE)</f>
        <v>0</v>
      </c>
      <c r="AE59" s="138">
        <f>VLOOKUP(tblRiskRegister3234[[#This Row],[Asset Class]],tblInherentImpacts30[],5,FALSE)</f>
        <v>0</v>
      </c>
      <c r="AF59" s="138" t="str">
        <f>IFERROR(MAX(tblRiskRegister3234[[#This Row],[Risk Treatment Safeguard Impact to Mission]:[Risk Treatment Safeguard Impact to Obligations]])*tblRiskRegister3234[[#This Row],[Risk Treatment
Safeguard Expectancy Score]],"")</f>
        <v/>
      </c>
      <c r="AG59" s="138" t="str">
        <f>IF(tblRiskRegister3234[[#This Row],[Risk Score]]&gt;AcceptableRisk,IF(tblRiskRegister3234[[#This Row],[Risk Treatment Safeguard Risk Score]]&lt;AcceptableRisk, IF(tblRiskRegister3234[[#This Row],[Risk Treatment Safeguard Risk Score]]&lt;=tblRiskRegister3234[[#This Row],[Risk Score]],"Yes","No"),"No"),"Yes")</f>
        <v>No</v>
      </c>
      <c r="AH59" s="18"/>
      <c r="AI59" s="18"/>
      <c r="AJ59" s="19"/>
    </row>
    <row r="60" spans="2:36" ht="25.5" x14ac:dyDescent="0.2">
      <c r="B60" s="44" t="s">
        <v>131</v>
      </c>
      <c r="C60" s="44"/>
      <c r="D60" s="13">
        <v>15.9</v>
      </c>
      <c r="E60" s="14" t="s">
        <v>640</v>
      </c>
      <c r="F60" s="17"/>
      <c r="G60" s="17" t="s">
        <v>785</v>
      </c>
      <c r="H60" s="17" t="s">
        <v>928</v>
      </c>
      <c r="I60" s="147"/>
      <c r="J60" s="15"/>
      <c r="K60" s="15"/>
      <c r="L60" s="16"/>
      <c r="M60" s="26">
        <f>IFERROR(VLOOKUP(tblRiskRegister3234[[#This Row],[Asset Class]],tblVCDBIndex[],4,FALSE),"")</f>
        <v>1</v>
      </c>
      <c r="N60" s="29" t="str">
        <f>IFERROR(VLOOKUP(10*tblRiskRegister3234[[#This Row],[Safeguard Maturity Score]]+tblRiskRegister3234[[#This Row],[VCDB Index]],tblHITIndexWeightTable[],4,FALSE),"")</f>
        <v/>
      </c>
      <c r="O60" s="29" t="str">
        <f>VLOOKUP(tblRiskRegister3234[[#This Row],[Asset Class]],tblInherentImpacts30[],2,FALSE)</f>
        <v/>
      </c>
      <c r="P60" s="29">
        <f>VLOOKUP(tblRiskRegister3234[[#This Row],[Asset Class]],tblInherentImpacts30[],3,FALSE)</f>
        <v>0</v>
      </c>
      <c r="Q60" s="29">
        <f>VLOOKUP(tblRiskRegister3234[[#This Row],[Asset Class]],tblInherentImpacts30[],4,FALSE)</f>
        <v>0</v>
      </c>
      <c r="R60" s="29">
        <f>VLOOKUP(tblRiskRegister3234[[#This Row],[Asset Class]],tblInherentImpacts30[],5,FALSE)</f>
        <v>0</v>
      </c>
      <c r="S60" s="29" t="str">
        <f>IFERROR(MAX(tblRiskRegister3234[[#This Row],[Impact to Mission]:[Impact to Obligations]])*tblRiskRegister3234[[#This Row],[Expectancy Score]],"")</f>
        <v/>
      </c>
      <c r="T60" s="29" t="str">
        <f>tblRiskRegister3234[[#This Row],[Risk Score]]</f>
        <v/>
      </c>
      <c r="U60" s="100"/>
      <c r="V60" s="112">
        <v>15.9</v>
      </c>
      <c r="W60" s="44" t="s">
        <v>640</v>
      </c>
      <c r="X60" s="44" t="s">
        <v>745</v>
      </c>
      <c r="Y60" s="30"/>
      <c r="Z60" s="16"/>
      <c r="AA60" s="27" t="str">
        <f>IFERROR(VLOOKUP(10*tblRiskRegister3234[[#This Row],[Risk Treatment Safeguard Maturity Score]]+tblRiskRegister3234[[#This Row],[VCDB Index]],tblHITIndexWeightTable[],4,FALSE),"")</f>
        <v/>
      </c>
      <c r="AB60" s="138" t="str">
        <f>VLOOKUP(tblRiskRegister3234[[#This Row],[Asset Class]],tblInherentImpacts30[],2,FALSE)</f>
        <v/>
      </c>
      <c r="AC60" s="138">
        <f>VLOOKUP(tblRiskRegister3234[[#This Row],[Asset Class]],tblInherentImpacts30[],3,FALSE)</f>
        <v>0</v>
      </c>
      <c r="AD60" s="138">
        <f>VLOOKUP(tblRiskRegister3234[[#This Row],[Asset Class]],tblInherentImpacts30[],4,FALSE)</f>
        <v>0</v>
      </c>
      <c r="AE60" s="138">
        <f>VLOOKUP(tblRiskRegister3234[[#This Row],[Asset Class]],tblInherentImpacts30[],5,FALSE)</f>
        <v>0</v>
      </c>
      <c r="AF60" s="138" t="str">
        <f>IFERROR(MAX(tblRiskRegister3234[[#This Row],[Risk Treatment Safeguard Impact to Mission]:[Risk Treatment Safeguard Impact to Obligations]])*tblRiskRegister3234[[#This Row],[Risk Treatment
Safeguard Expectancy Score]],"")</f>
        <v/>
      </c>
      <c r="AG60" s="138" t="str">
        <f>IF(tblRiskRegister3234[[#This Row],[Risk Score]]&gt;AcceptableRisk,IF(tblRiskRegister3234[[#This Row],[Risk Treatment Safeguard Risk Score]]&lt;AcceptableRisk, IF(tblRiskRegister3234[[#This Row],[Risk Treatment Safeguard Risk Score]]&lt;=tblRiskRegister3234[[#This Row],[Risk Score]],"Yes","No"),"No"),"Yes")</f>
        <v>No</v>
      </c>
      <c r="AH60" s="18"/>
      <c r="AI60" s="18"/>
      <c r="AJ60" s="19"/>
    </row>
    <row r="61" spans="2:36" ht="38.25" x14ac:dyDescent="0.2">
      <c r="B61" s="15" t="s">
        <v>135</v>
      </c>
      <c r="C61" s="15"/>
      <c r="D61" s="13" t="s">
        <v>547</v>
      </c>
      <c r="E61" s="14" t="s">
        <v>650</v>
      </c>
      <c r="F61" s="17"/>
      <c r="G61" s="17" t="s">
        <v>785</v>
      </c>
      <c r="H61" s="17" t="s">
        <v>930</v>
      </c>
      <c r="I61" s="147"/>
      <c r="J61" s="15"/>
      <c r="K61" s="15"/>
      <c r="L61" s="16"/>
      <c r="M61" s="26">
        <f>IFERROR(VLOOKUP(tblRiskRegister3234[[#This Row],[Asset Class]],tblVCDBIndex[],4,FALSE),"")</f>
        <v>3</v>
      </c>
      <c r="N61" s="26" t="str">
        <f>IFERROR(VLOOKUP(10*tblRiskRegister3234[[#This Row],[Safeguard Maturity Score]]+tblRiskRegister3234[[#This Row],[VCDB Index]],tblHITIndexWeightTable[],4,FALSE),"")</f>
        <v/>
      </c>
      <c r="O61" s="26" t="str">
        <f>VLOOKUP(tblRiskRegister3234[[#This Row],[Asset Class]],tblInherentImpacts30[],2,FALSE)</f>
        <v/>
      </c>
      <c r="P61" s="26" t="str">
        <f>VLOOKUP(tblRiskRegister3234[[#This Row],[Asset Class]],tblInherentImpacts30[],3,FALSE)</f>
        <v/>
      </c>
      <c r="Q61" s="26" t="str">
        <f>VLOOKUP(tblRiskRegister3234[[#This Row],[Asset Class]],tblInherentImpacts30[],4,FALSE)</f>
        <v/>
      </c>
      <c r="R61" s="26" t="str">
        <f>VLOOKUP(tblRiskRegister3234[[#This Row],[Asset Class]],tblInherentImpacts30[],5,FALSE)</f>
        <v/>
      </c>
      <c r="S61" s="26" t="str">
        <f>IFERROR(MAX(tblRiskRegister3234[[#This Row],[Impact to Mission]:[Impact to Obligations]])*tblRiskRegister3234[[#This Row],[Expectancy Score]],"")</f>
        <v/>
      </c>
      <c r="T61" s="26" t="str">
        <f>tblRiskRegister3234[[#This Row],[Risk Score]]</f>
        <v/>
      </c>
      <c r="U61" s="100"/>
      <c r="V61" s="100" t="s">
        <v>547</v>
      </c>
      <c r="W61" s="15" t="s">
        <v>650</v>
      </c>
      <c r="X61" s="15" t="s">
        <v>756</v>
      </c>
      <c r="Y61" s="15"/>
      <c r="Z61" s="16"/>
      <c r="AA61" s="27" t="str">
        <f>IFERROR(VLOOKUP(10*tblRiskRegister3234[[#This Row],[Risk Treatment Safeguard Maturity Score]]+tblRiskRegister3234[[#This Row],[VCDB Index]],tblHITIndexWeightTable[],4,FALSE),"")</f>
        <v/>
      </c>
      <c r="AB61" s="138" t="str">
        <f>VLOOKUP(tblRiskRegister3234[[#This Row],[Asset Class]],tblInherentImpacts30[],2,FALSE)</f>
        <v/>
      </c>
      <c r="AC61" s="138" t="str">
        <f>VLOOKUP(tblRiskRegister3234[[#This Row],[Asset Class]],tblInherentImpacts30[],3,FALSE)</f>
        <v/>
      </c>
      <c r="AD61" s="138" t="str">
        <f>VLOOKUP(tblRiskRegister3234[[#This Row],[Asset Class]],tblInherentImpacts30[],4,FALSE)</f>
        <v/>
      </c>
      <c r="AE61" s="138" t="str">
        <f>VLOOKUP(tblRiskRegister3234[[#This Row],[Asset Class]],tblInherentImpacts30[],5,FALSE)</f>
        <v/>
      </c>
      <c r="AF61" s="138" t="str">
        <f>IFERROR(MAX(tblRiskRegister3234[[#This Row],[Risk Treatment Safeguard Impact to Mission]:[Risk Treatment Safeguard Impact to Obligations]])*tblRiskRegister3234[[#This Row],[Risk Treatment
Safeguard Expectancy Score]],"")</f>
        <v/>
      </c>
      <c r="AG61" s="138" t="str">
        <f>IF(tblRiskRegister3234[[#This Row],[Risk Score]]&gt;AcceptableRisk,IF(tblRiskRegister3234[[#This Row],[Risk Treatment Safeguard Risk Score]]&lt;AcceptableRisk, IF(tblRiskRegister3234[[#This Row],[Risk Treatment Safeguard Risk Score]]&lt;=tblRiskRegister3234[[#This Row],[Risk Score]],"Yes","No"),"No"),"Yes")</f>
        <v>No</v>
      </c>
      <c r="AH61" s="18"/>
      <c r="AI61" s="18"/>
      <c r="AJ61" s="19"/>
    </row>
    <row r="62" spans="2:36" ht="25.5" x14ac:dyDescent="0.2">
      <c r="B62" s="15" t="s">
        <v>135</v>
      </c>
      <c r="C62" s="15"/>
      <c r="D62" s="13" t="s">
        <v>548</v>
      </c>
      <c r="E62" s="14" t="s">
        <v>651</v>
      </c>
      <c r="F62" s="17"/>
      <c r="G62" s="17" t="s">
        <v>785</v>
      </c>
      <c r="H62" s="17" t="s">
        <v>930</v>
      </c>
      <c r="I62" s="147"/>
      <c r="J62" s="15"/>
      <c r="K62" s="15"/>
      <c r="L62" s="16"/>
      <c r="M62" s="26">
        <f>IFERROR(VLOOKUP(tblRiskRegister3234[[#This Row],[Asset Class]],tblVCDBIndex[],4,FALSE),"")</f>
        <v>3</v>
      </c>
      <c r="N62" s="26" t="str">
        <f>IFERROR(VLOOKUP(10*tblRiskRegister3234[[#This Row],[Safeguard Maturity Score]]+tblRiskRegister3234[[#This Row],[VCDB Index]],tblHITIndexWeightTable[],4,FALSE),"")</f>
        <v/>
      </c>
      <c r="O62" s="26" t="str">
        <f>VLOOKUP(tblRiskRegister3234[[#This Row],[Asset Class]],tblInherentImpacts30[],2,FALSE)</f>
        <v/>
      </c>
      <c r="P62" s="26" t="str">
        <f>VLOOKUP(tblRiskRegister3234[[#This Row],[Asset Class]],tblInherentImpacts30[],3,FALSE)</f>
        <v/>
      </c>
      <c r="Q62" s="26" t="str">
        <f>VLOOKUP(tblRiskRegister3234[[#This Row],[Asset Class]],tblInherentImpacts30[],4,FALSE)</f>
        <v/>
      </c>
      <c r="R62" s="26" t="str">
        <f>VLOOKUP(tblRiskRegister3234[[#This Row],[Asset Class]],tblInherentImpacts30[],5,FALSE)</f>
        <v/>
      </c>
      <c r="S62" s="26" t="str">
        <f>IFERROR(MAX(tblRiskRegister3234[[#This Row],[Impact to Mission]:[Impact to Obligations]])*tblRiskRegister3234[[#This Row],[Expectancy Score]],"")</f>
        <v/>
      </c>
      <c r="T62" s="26" t="str">
        <f>tblRiskRegister3234[[#This Row],[Risk Score]]</f>
        <v/>
      </c>
      <c r="U62" s="100"/>
      <c r="V62" s="100" t="s">
        <v>548</v>
      </c>
      <c r="W62" s="15" t="s">
        <v>651</v>
      </c>
      <c r="X62" s="15" t="s">
        <v>757</v>
      </c>
      <c r="Y62" s="15"/>
      <c r="Z62" s="16"/>
      <c r="AA62" s="27" t="str">
        <f>IFERROR(VLOOKUP(10*tblRiskRegister3234[[#This Row],[Risk Treatment Safeguard Maturity Score]]+tblRiskRegister3234[[#This Row],[VCDB Index]],tblHITIndexWeightTable[],4,FALSE),"")</f>
        <v/>
      </c>
      <c r="AB62" s="138" t="str">
        <f>VLOOKUP(tblRiskRegister3234[[#This Row],[Asset Class]],tblInherentImpacts30[],2,FALSE)</f>
        <v/>
      </c>
      <c r="AC62" s="138" t="str">
        <f>VLOOKUP(tblRiskRegister3234[[#This Row],[Asset Class]],tblInherentImpacts30[],3,FALSE)</f>
        <v/>
      </c>
      <c r="AD62" s="138" t="str">
        <f>VLOOKUP(tblRiskRegister3234[[#This Row],[Asset Class]],tblInherentImpacts30[],4,FALSE)</f>
        <v/>
      </c>
      <c r="AE62" s="138" t="str">
        <f>VLOOKUP(tblRiskRegister3234[[#This Row],[Asset Class]],tblInherentImpacts30[],5,FALSE)</f>
        <v/>
      </c>
      <c r="AF62" s="138" t="str">
        <f>IFERROR(MAX(tblRiskRegister3234[[#This Row],[Risk Treatment Safeguard Impact to Mission]:[Risk Treatment Safeguard Impact to Obligations]])*tblRiskRegister3234[[#This Row],[Risk Treatment
Safeguard Expectancy Score]],"")</f>
        <v/>
      </c>
      <c r="AG62" s="138" t="str">
        <f>IF(tblRiskRegister3234[[#This Row],[Risk Score]]&gt;AcceptableRisk,IF(tblRiskRegister3234[[#This Row],[Risk Treatment Safeguard Risk Score]]&lt;AcceptableRisk, IF(tblRiskRegister3234[[#This Row],[Risk Treatment Safeguard Risk Score]]&lt;=tblRiskRegister3234[[#This Row],[Risk Score]],"Yes","No"),"No"),"Yes")</f>
        <v>No</v>
      </c>
      <c r="AH62" s="18"/>
      <c r="AI62" s="18"/>
      <c r="AJ62" s="19"/>
    </row>
    <row r="63" spans="2:36" ht="63.75" x14ac:dyDescent="0.2">
      <c r="B63" s="15" t="s">
        <v>135</v>
      </c>
      <c r="C63" s="15"/>
      <c r="D63" s="13" t="s">
        <v>549</v>
      </c>
      <c r="E63" s="14" t="s">
        <v>35</v>
      </c>
      <c r="F63" s="17" t="s">
        <v>785</v>
      </c>
      <c r="G63" s="17" t="s">
        <v>785</v>
      </c>
      <c r="H63" s="17" t="s">
        <v>930</v>
      </c>
      <c r="I63" s="147"/>
      <c r="J63" s="15"/>
      <c r="K63" s="15"/>
      <c r="L63" s="16"/>
      <c r="M63" s="26">
        <f>IFERROR(VLOOKUP(tblRiskRegister3234[[#This Row],[Asset Class]],tblVCDBIndex[],4,FALSE),"")</f>
        <v>3</v>
      </c>
      <c r="N63" s="26" t="str">
        <f>IFERROR(VLOOKUP(10*tblRiskRegister3234[[#This Row],[Safeguard Maturity Score]]+tblRiskRegister3234[[#This Row],[VCDB Index]],tblHITIndexWeightTable[],4,FALSE),"")</f>
        <v/>
      </c>
      <c r="O63" s="26" t="str">
        <f>VLOOKUP(tblRiskRegister3234[[#This Row],[Asset Class]],tblInherentImpacts30[],2,FALSE)</f>
        <v/>
      </c>
      <c r="P63" s="26" t="str">
        <f>VLOOKUP(tblRiskRegister3234[[#This Row],[Asset Class]],tblInherentImpacts30[],3,FALSE)</f>
        <v/>
      </c>
      <c r="Q63" s="26" t="str">
        <f>VLOOKUP(tblRiskRegister3234[[#This Row],[Asset Class]],tblInherentImpacts30[],4,FALSE)</f>
        <v/>
      </c>
      <c r="R63" s="26" t="str">
        <f>VLOOKUP(tblRiskRegister3234[[#This Row],[Asset Class]],tblInherentImpacts30[],5,FALSE)</f>
        <v/>
      </c>
      <c r="S63" s="26" t="str">
        <f>IFERROR(MAX(tblRiskRegister3234[[#This Row],[Impact to Mission]:[Impact to Obligations]])*tblRiskRegister3234[[#This Row],[Expectancy Score]],"")</f>
        <v/>
      </c>
      <c r="T63" s="26" t="str">
        <f>tblRiskRegister3234[[#This Row],[Risk Score]]</f>
        <v/>
      </c>
      <c r="U63" s="100"/>
      <c r="V63" s="100" t="s">
        <v>549</v>
      </c>
      <c r="W63" s="15" t="s">
        <v>35</v>
      </c>
      <c r="X63" s="15" t="s">
        <v>176</v>
      </c>
      <c r="Y63" s="15"/>
      <c r="Z63" s="16"/>
      <c r="AA63" s="27" t="str">
        <f>IFERROR(VLOOKUP(10*tblRiskRegister3234[[#This Row],[Risk Treatment Safeguard Maturity Score]]+tblRiskRegister3234[[#This Row],[VCDB Index]],tblHITIndexWeightTable[],4,FALSE),"")</f>
        <v/>
      </c>
      <c r="AB63" s="138" t="str">
        <f>VLOOKUP(tblRiskRegister3234[[#This Row],[Asset Class]],tblInherentImpacts30[],2,FALSE)</f>
        <v/>
      </c>
      <c r="AC63" s="138" t="str">
        <f>VLOOKUP(tblRiskRegister3234[[#This Row],[Asset Class]],tblInherentImpacts30[],3,FALSE)</f>
        <v/>
      </c>
      <c r="AD63" s="138" t="str">
        <f>VLOOKUP(tblRiskRegister3234[[#This Row],[Asset Class]],tblInherentImpacts30[],4,FALSE)</f>
        <v/>
      </c>
      <c r="AE63" s="138" t="str">
        <f>VLOOKUP(tblRiskRegister3234[[#This Row],[Asset Class]],tblInherentImpacts30[],5,FALSE)</f>
        <v/>
      </c>
      <c r="AF63" s="138" t="str">
        <f>IFERROR(MAX(tblRiskRegister3234[[#This Row],[Risk Treatment Safeguard Impact to Mission]:[Risk Treatment Safeguard Impact to Obligations]])*tblRiskRegister3234[[#This Row],[Risk Treatment
Safeguard Expectancy Score]],"")</f>
        <v/>
      </c>
      <c r="AG63" s="138" t="str">
        <f>IF(tblRiskRegister3234[[#This Row],[Risk Score]]&gt;AcceptableRisk,IF(tblRiskRegister3234[[#This Row],[Risk Treatment Safeguard Risk Score]]&lt;AcceptableRisk, IF(tblRiskRegister3234[[#This Row],[Risk Treatment Safeguard Risk Score]]&lt;=tblRiskRegister3234[[#This Row],[Risk Score]],"Yes","No"),"No"),"Yes")</f>
        <v>No</v>
      </c>
      <c r="AH63" s="18"/>
      <c r="AI63" s="18"/>
      <c r="AJ63" s="19"/>
    </row>
    <row r="64" spans="2:36" ht="38.25" x14ac:dyDescent="0.2">
      <c r="B64" s="15" t="s">
        <v>135</v>
      </c>
      <c r="C64" s="15"/>
      <c r="D64" s="13" t="s">
        <v>550</v>
      </c>
      <c r="E64" s="14" t="s">
        <v>652</v>
      </c>
      <c r="F64" s="17"/>
      <c r="G64" s="17" t="s">
        <v>785</v>
      </c>
      <c r="H64" s="17" t="s">
        <v>930</v>
      </c>
      <c r="I64" s="147"/>
      <c r="J64" s="15"/>
      <c r="K64" s="15"/>
      <c r="L64" s="16"/>
      <c r="M64" s="26">
        <f>IFERROR(VLOOKUP(tblRiskRegister3234[[#This Row],[Asset Class]],tblVCDBIndex[],4,FALSE),"")</f>
        <v>3</v>
      </c>
      <c r="N64" s="26" t="str">
        <f>IFERROR(VLOOKUP(10*tblRiskRegister3234[[#This Row],[Safeguard Maturity Score]]+tblRiskRegister3234[[#This Row],[VCDB Index]],tblHITIndexWeightTable[],4,FALSE),"")</f>
        <v/>
      </c>
      <c r="O64" s="26" t="str">
        <f>VLOOKUP(tblRiskRegister3234[[#This Row],[Asset Class]],tblInherentImpacts30[],2,FALSE)</f>
        <v/>
      </c>
      <c r="P64" s="26" t="str">
        <f>VLOOKUP(tblRiskRegister3234[[#This Row],[Asset Class]],tblInherentImpacts30[],3,FALSE)</f>
        <v/>
      </c>
      <c r="Q64" s="26" t="str">
        <f>VLOOKUP(tblRiskRegister3234[[#This Row],[Asset Class]],tblInherentImpacts30[],4,FALSE)</f>
        <v/>
      </c>
      <c r="R64" s="26" t="str">
        <f>VLOOKUP(tblRiskRegister3234[[#This Row],[Asset Class]],tblInherentImpacts30[],5,FALSE)</f>
        <v/>
      </c>
      <c r="S64" s="26" t="str">
        <f>IFERROR(MAX(tblRiskRegister3234[[#This Row],[Impact to Mission]:[Impact to Obligations]])*tblRiskRegister3234[[#This Row],[Expectancy Score]],"")</f>
        <v/>
      </c>
      <c r="T64" s="26" t="str">
        <f>tblRiskRegister3234[[#This Row],[Risk Score]]</f>
        <v/>
      </c>
      <c r="U64" s="100"/>
      <c r="V64" s="100" t="s">
        <v>550</v>
      </c>
      <c r="W64" s="15" t="s">
        <v>652</v>
      </c>
      <c r="X64" s="15" t="s">
        <v>758</v>
      </c>
      <c r="Y64" s="15"/>
      <c r="Z64" s="16"/>
      <c r="AA64" s="27" t="str">
        <f>IFERROR(VLOOKUP(10*tblRiskRegister3234[[#This Row],[Risk Treatment Safeguard Maturity Score]]+tblRiskRegister3234[[#This Row],[VCDB Index]],tblHITIndexWeightTable[],4,FALSE),"")</f>
        <v/>
      </c>
      <c r="AB64" s="138" t="str">
        <f>VLOOKUP(tblRiskRegister3234[[#This Row],[Asset Class]],tblInherentImpacts30[],2,FALSE)</f>
        <v/>
      </c>
      <c r="AC64" s="138" t="str">
        <f>VLOOKUP(tblRiskRegister3234[[#This Row],[Asset Class]],tblInherentImpacts30[],3,FALSE)</f>
        <v/>
      </c>
      <c r="AD64" s="138" t="str">
        <f>VLOOKUP(tblRiskRegister3234[[#This Row],[Asset Class]],tblInherentImpacts30[],4,FALSE)</f>
        <v/>
      </c>
      <c r="AE64" s="138" t="str">
        <f>VLOOKUP(tblRiskRegister3234[[#This Row],[Asset Class]],tblInherentImpacts30[],5,FALSE)</f>
        <v/>
      </c>
      <c r="AF64" s="138" t="str">
        <f>IFERROR(MAX(tblRiskRegister3234[[#This Row],[Risk Treatment Safeguard Impact to Mission]:[Risk Treatment Safeguard Impact to Obligations]])*tblRiskRegister3234[[#This Row],[Risk Treatment
Safeguard Expectancy Score]],"")</f>
        <v/>
      </c>
      <c r="AG64" s="138" t="str">
        <f>IF(tblRiskRegister3234[[#This Row],[Risk Score]]&gt;AcceptableRisk,IF(tblRiskRegister3234[[#This Row],[Risk Treatment Safeguard Risk Score]]&lt;AcceptableRisk, IF(tblRiskRegister3234[[#This Row],[Risk Treatment Safeguard Risk Score]]&lt;=tblRiskRegister3234[[#This Row],[Risk Score]],"Yes","No"),"No"),"Yes")</f>
        <v>No</v>
      </c>
      <c r="AH64" s="18"/>
      <c r="AI64" s="18"/>
      <c r="AJ64" s="19"/>
    </row>
    <row r="65" spans="2:36" ht="25.5" x14ac:dyDescent="0.2">
      <c r="B65" s="15" t="s">
        <v>135</v>
      </c>
      <c r="C65" s="15"/>
      <c r="D65" s="13" t="s">
        <v>551</v>
      </c>
      <c r="E65" s="14" t="s">
        <v>36</v>
      </c>
      <c r="F65" s="17" t="s">
        <v>785</v>
      </c>
      <c r="G65" s="17" t="s">
        <v>785</v>
      </c>
      <c r="H65" s="17" t="s">
        <v>930</v>
      </c>
      <c r="I65" s="147"/>
      <c r="J65" s="15"/>
      <c r="K65" s="15"/>
      <c r="L65" s="16"/>
      <c r="M65" s="26">
        <f>IFERROR(VLOOKUP(tblRiskRegister3234[[#This Row],[Asset Class]],tblVCDBIndex[],4,FALSE),"")</f>
        <v>3</v>
      </c>
      <c r="N65" s="26" t="str">
        <f>IFERROR(VLOOKUP(10*tblRiskRegister3234[[#This Row],[Safeguard Maturity Score]]+tblRiskRegister3234[[#This Row],[VCDB Index]],tblHITIndexWeightTable[],4,FALSE),"")</f>
        <v/>
      </c>
      <c r="O65" s="26" t="str">
        <f>VLOOKUP(tblRiskRegister3234[[#This Row],[Asset Class]],tblInherentImpacts30[],2,FALSE)</f>
        <v/>
      </c>
      <c r="P65" s="26" t="str">
        <f>VLOOKUP(tblRiskRegister3234[[#This Row],[Asset Class]],tblInherentImpacts30[],3,FALSE)</f>
        <v/>
      </c>
      <c r="Q65" s="26" t="str">
        <f>VLOOKUP(tblRiskRegister3234[[#This Row],[Asset Class]],tblInherentImpacts30[],4,FALSE)</f>
        <v/>
      </c>
      <c r="R65" s="26" t="str">
        <f>VLOOKUP(tblRiskRegister3234[[#This Row],[Asset Class]],tblInherentImpacts30[],5,FALSE)</f>
        <v/>
      </c>
      <c r="S65" s="26" t="str">
        <f>IFERROR(MAX(tblRiskRegister3234[[#This Row],[Impact to Mission]:[Impact to Obligations]])*tblRiskRegister3234[[#This Row],[Expectancy Score]],"")</f>
        <v/>
      </c>
      <c r="T65" s="26" t="str">
        <f>tblRiskRegister3234[[#This Row],[Risk Score]]</f>
        <v/>
      </c>
      <c r="U65" s="100"/>
      <c r="V65" s="100" t="s">
        <v>551</v>
      </c>
      <c r="W65" s="15" t="s">
        <v>36</v>
      </c>
      <c r="X65" s="15" t="s">
        <v>177</v>
      </c>
      <c r="Y65" s="15"/>
      <c r="Z65" s="16"/>
      <c r="AA65" s="27" t="str">
        <f>IFERROR(VLOOKUP(10*tblRiskRegister3234[[#This Row],[Risk Treatment Safeguard Maturity Score]]+tblRiskRegister3234[[#This Row],[VCDB Index]],tblHITIndexWeightTable[],4,FALSE),"")</f>
        <v/>
      </c>
      <c r="AB65" s="138" t="str">
        <f>VLOOKUP(tblRiskRegister3234[[#This Row],[Asset Class]],tblInherentImpacts30[],2,FALSE)</f>
        <v/>
      </c>
      <c r="AC65" s="138" t="str">
        <f>VLOOKUP(tblRiskRegister3234[[#This Row],[Asset Class]],tblInherentImpacts30[],3,FALSE)</f>
        <v/>
      </c>
      <c r="AD65" s="138" t="str">
        <f>VLOOKUP(tblRiskRegister3234[[#This Row],[Asset Class]],tblInherentImpacts30[],4,FALSE)</f>
        <v/>
      </c>
      <c r="AE65" s="138" t="str">
        <f>VLOOKUP(tblRiskRegister3234[[#This Row],[Asset Class]],tblInherentImpacts30[],5,FALSE)</f>
        <v/>
      </c>
      <c r="AF65" s="138" t="str">
        <f>IFERROR(MAX(tblRiskRegister3234[[#This Row],[Risk Treatment Safeguard Impact to Mission]:[Risk Treatment Safeguard Impact to Obligations]])*tblRiskRegister3234[[#This Row],[Risk Treatment
Safeguard Expectancy Score]],"")</f>
        <v/>
      </c>
      <c r="AG65" s="138" t="str">
        <f>IF(tblRiskRegister3234[[#This Row],[Risk Score]]&gt;AcceptableRisk,IF(tblRiskRegister3234[[#This Row],[Risk Treatment Safeguard Risk Score]]&lt;AcceptableRisk, IF(tblRiskRegister3234[[#This Row],[Risk Treatment Safeguard Risk Score]]&lt;=tblRiskRegister3234[[#This Row],[Risk Score]],"Yes","No"),"No"),"Yes")</f>
        <v>No</v>
      </c>
      <c r="AH65" s="18"/>
      <c r="AI65" s="18"/>
      <c r="AJ65" s="19"/>
    </row>
    <row r="66" spans="2:36" ht="25.5" x14ac:dyDescent="0.2">
      <c r="B66" s="15" t="s">
        <v>135</v>
      </c>
      <c r="C66" s="15"/>
      <c r="D66" s="13" t="s">
        <v>552</v>
      </c>
      <c r="E66" s="14" t="s">
        <v>37</v>
      </c>
      <c r="F66" s="17" t="s">
        <v>785</v>
      </c>
      <c r="G66" s="17" t="s">
        <v>785</v>
      </c>
      <c r="H66" s="17" t="s">
        <v>930</v>
      </c>
      <c r="I66" s="147"/>
      <c r="J66" s="15"/>
      <c r="K66" s="15"/>
      <c r="L66" s="16"/>
      <c r="M66" s="26">
        <f>IFERROR(VLOOKUP(tblRiskRegister3234[[#This Row],[Asset Class]],tblVCDBIndex[],4,FALSE),"")</f>
        <v>3</v>
      </c>
      <c r="N66" s="26" t="str">
        <f>IFERROR(VLOOKUP(10*tblRiskRegister3234[[#This Row],[Safeguard Maturity Score]]+tblRiskRegister3234[[#This Row],[VCDB Index]],tblHITIndexWeightTable[],4,FALSE),"")</f>
        <v/>
      </c>
      <c r="O66" s="26" t="str">
        <f>VLOOKUP(tblRiskRegister3234[[#This Row],[Asset Class]],tblInherentImpacts30[],2,FALSE)</f>
        <v/>
      </c>
      <c r="P66" s="26" t="str">
        <f>VLOOKUP(tblRiskRegister3234[[#This Row],[Asset Class]],tblInherentImpacts30[],3,FALSE)</f>
        <v/>
      </c>
      <c r="Q66" s="26" t="str">
        <f>VLOOKUP(tblRiskRegister3234[[#This Row],[Asset Class]],tblInherentImpacts30[],4,FALSE)</f>
        <v/>
      </c>
      <c r="R66" s="26" t="str">
        <f>VLOOKUP(tblRiskRegister3234[[#This Row],[Asset Class]],tblInherentImpacts30[],5,FALSE)</f>
        <v/>
      </c>
      <c r="S66" s="26" t="str">
        <f>IFERROR(MAX(tblRiskRegister3234[[#This Row],[Impact to Mission]:[Impact to Obligations]])*tblRiskRegister3234[[#This Row],[Expectancy Score]],"")</f>
        <v/>
      </c>
      <c r="T66" s="26" t="str">
        <f>tblRiskRegister3234[[#This Row],[Risk Score]]</f>
        <v/>
      </c>
      <c r="U66" s="100"/>
      <c r="V66" s="100" t="s">
        <v>552</v>
      </c>
      <c r="W66" s="15" t="s">
        <v>37</v>
      </c>
      <c r="X66" s="15" t="s">
        <v>404</v>
      </c>
      <c r="Y66" s="15"/>
      <c r="Z66" s="16"/>
      <c r="AA66" s="27" t="str">
        <f>IFERROR(VLOOKUP(10*tblRiskRegister3234[[#This Row],[Risk Treatment Safeguard Maturity Score]]+tblRiskRegister3234[[#This Row],[VCDB Index]],tblHITIndexWeightTable[],4,FALSE),"")</f>
        <v/>
      </c>
      <c r="AB66" s="138" t="str">
        <f>VLOOKUP(tblRiskRegister3234[[#This Row],[Asset Class]],tblInherentImpacts30[],2,FALSE)</f>
        <v/>
      </c>
      <c r="AC66" s="138" t="str">
        <f>VLOOKUP(tblRiskRegister3234[[#This Row],[Asset Class]],tblInherentImpacts30[],3,FALSE)</f>
        <v/>
      </c>
      <c r="AD66" s="138" t="str">
        <f>VLOOKUP(tblRiskRegister3234[[#This Row],[Asset Class]],tblInherentImpacts30[],4,FALSE)</f>
        <v/>
      </c>
      <c r="AE66" s="138" t="str">
        <f>VLOOKUP(tblRiskRegister3234[[#This Row],[Asset Class]],tblInherentImpacts30[],5,FALSE)</f>
        <v/>
      </c>
      <c r="AF66" s="138" t="str">
        <f>IFERROR(MAX(tblRiskRegister3234[[#This Row],[Risk Treatment Safeguard Impact to Mission]:[Risk Treatment Safeguard Impact to Obligations]])*tblRiskRegister3234[[#This Row],[Risk Treatment
Safeguard Expectancy Score]],"")</f>
        <v/>
      </c>
      <c r="AG66" s="138" t="str">
        <f>IF(tblRiskRegister3234[[#This Row],[Risk Score]]&gt;AcceptableRisk,IF(tblRiskRegister3234[[#This Row],[Risk Treatment Safeguard Risk Score]]&lt;AcceptableRisk, IF(tblRiskRegister3234[[#This Row],[Risk Treatment Safeguard Risk Score]]&lt;=tblRiskRegister3234[[#This Row],[Risk Score]],"Yes","No"),"No"),"Yes")</f>
        <v>No</v>
      </c>
      <c r="AH66" s="18"/>
      <c r="AI66" s="18"/>
      <c r="AJ66" s="19"/>
    </row>
    <row r="67" spans="2:36" ht="25.5" x14ac:dyDescent="0.2">
      <c r="B67" s="15" t="s">
        <v>135</v>
      </c>
      <c r="C67" s="15"/>
      <c r="D67" s="13" t="s">
        <v>553</v>
      </c>
      <c r="E67" s="14" t="s">
        <v>38</v>
      </c>
      <c r="F67" s="17" t="s">
        <v>785</v>
      </c>
      <c r="G67" s="17" t="s">
        <v>785</v>
      </c>
      <c r="H67" s="17" t="s">
        <v>930</v>
      </c>
      <c r="I67" s="147"/>
      <c r="J67" s="15"/>
      <c r="K67" s="15"/>
      <c r="L67" s="16"/>
      <c r="M67" s="26">
        <f>IFERROR(VLOOKUP(tblRiskRegister3234[[#This Row],[Asset Class]],tblVCDBIndex[],4,FALSE),"")</f>
        <v>3</v>
      </c>
      <c r="N67" s="26" t="str">
        <f>IFERROR(VLOOKUP(10*tblRiskRegister3234[[#This Row],[Safeguard Maturity Score]]+tblRiskRegister3234[[#This Row],[VCDB Index]],tblHITIndexWeightTable[],4,FALSE),"")</f>
        <v/>
      </c>
      <c r="O67" s="26" t="str">
        <f>VLOOKUP(tblRiskRegister3234[[#This Row],[Asset Class]],tblInherentImpacts30[],2,FALSE)</f>
        <v/>
      </c>
      <c r="P67" s="26" t="str">
        <f>VLOOKUP(tblRiskRegister3234[[#This Row],[Asset Class]],tblInherentImpacts30[],3,FALSE)</f>
        <v/>
      </c>
      <c r="Q67" s="26" t="str">
        <f>VLOOKUP(tblRiskRegister3234[[#This Row],[Asset Class]],tblInherentImpacts30[],4,FALSE)</f>
        <v/>
      </c>
      <c r="R67" s="26" t="str">
        <f>VLOOKUP(tblRiskRegister3234[[#This Row],[Asset Class]],tblInherentImpacts30[],5,FALSE)</f>
        <v/>
      </c>
      <c r="S67" s="26" t="str">
        <f>IFERROR(MAX(tblRiskRegister3234[[#This Row],[Impact to Mission]:[Impact to Obligations]])*tblRiskRegister3234[[#This Row],[Expectancy Score]],"")</f>
        <v/>
      </c>
      <c r="T67" s="26" t="str">
        <f>tblRiskRegister3234[[#This Row],[Risk Score]]</f>
        <v/>
      </c>
      <c r="U67" s="100"/>
      <c r="V67" s="100" t="s">
        <v>553</v>
      </c>
      <c r="W67" s="15" t="s">
        <v>38</v>
      </c>
      <c r="X67" s="15" t="s">
        <v>759</v>
      </c>
      <c r="Y67" s="15"/>
      <c r="Z67" s="16"/>
      <c r="AA67" s="27" t="str">
        <f>IFERROR(VLOOKUP(10*tblRiskRegister3234[[#This Row],[Risk Treatment Safeguard Maturity Score]]+tblRiskRegister3234[[#This Row],[VCDB Index]],tblHITIndexWeightTable[],4,FALSE),"")</f>
        <v/>
      </c>
      <c r="AB67" s="138" t="str">
        <f>VLOOKUP(tblRiskRegister3234[[#This Row],[Asset Class]],tblInherentImpacts30[],2,FALSE)</f>
        <v/>
      </c>
      <c r="AC67" s="138" t="str">
        <f>VLOOKUP(tblRiskRegister3234[[#This Row],[Asset Class]],tblInherentImpacts30[],3,FALSE)</f>
        <v/>
      </c>
      <c r="AD67" s="138" t="str">
        <f>VLOOKUP(tblRiskRegister3234[[#This Row],[Asset Class]],tblInherentImpacts30[],4,FALSE)</f>
        <v/>
      </c>
      <c r="AE67" s="138" t="str">
        <f>VLOOKUP(tblRiskRegister3234[[#This Row],[Asset Class]],tblInherentImpacts30[],5,FALSE)</f>
        <v/>
      </c>
      <c r="AF67" s="138" t="str">
        <f>IFERROR(MAX(tblRiskRegister3234[[#This Row],[Risk Treatment Safeguard Impact to Mission]:[Risk Treatment Safeguard Impact to Obligations]])*tblRiskRegister3234[[#This Row],[Risk Treatment
Safeguard Expectancy Score]],"")</f>
        <v/>
      </c>
      <c r="AG67" s="138" t="str">
        <f>IF(tblRiskRegister3234[[#This Row],[Risk Score]]&gt;AcceptableRisk,IF(tblRiskRegister3234[[#This Row],[Risk Treatment Safeguard Risk Score]]&lt;AcceptableRisk, IF(tblRiskRegister3234[[#This Row],[Risk Treatment Safeguard Risk Score]]&lt;=tblRiskRegister3234[[#This Row],[Risk Score]],"Yes","No"),"No"),"Yes")</f>
        <v>No</v>
      </c>
      <c r="AH67" s="18"/>
      <c r="AI67" s="18"/>
      <c r="AJ67" s="19"/>
    </row>
    <row r="68" spans="2:36" ht="38.25" x14ac:dyDescent="0.2">
      <c r="B68" s="15" t="s">
        <v>135</v>
      </c>
      <c r="C68" s="15"/>
      <c r="D68" s="13" t="s">
        <v>554</v>
      </c>
      <c r="E68" s="14" t="s">
        <v>39</v>
      </c>
      <c r="F68" s="17" t="s">
        <v>785</v>
      </c>
      <c r="G68" s="17" t="s">
        <v>785</v>
      </c>
      <c r="H68" s="17" t="s">
        <v>930</v>
      </c>
      <c r="I68" s="147"/>
      <c r="J68" s="15"/>
      <c r="K68" s="15"/>
      <c r="L68" s="16"/>
      <c r="M68" s="26">
        <f>IFERROR(VLOOKUP(tblRiskRegister3234[[#This Row],[Asset Class]],tblVCDBIndex[],4,FALSE),"")</f>
        <v>3</v>
      </c>
      <c r="N68" s="26" t="str">
        <f>IFERROR(VLOOKUP(10*tblRiskRegister3234[[#This Row],[Safeguard Maturity Score]]+tblRiskRegister3234[[#This Row],[VCDB Index]],tblHITIndexWeightTable[],4,FALSE),"")</f>
        <v/>
      </c>
      <c r="O68" s="26" t="str">
        <f>VLOOKUP(tblRiskRegister3234[[#This Row],[Asset Class]],tblInherentImpacts30[],2,FALSE)</f>
        <v/>
      </c>
      <c r="P68" s="26" t="str">
        <f>VLOOKUP(tblRiskRegister3234[[#This Row],[Asset Class]],tblInherentImpacts30[],3,FALSE)</f>
        <v/>
      </c>
      <c r="Q68" s="26" t="str">
        <f>VLOOKUP(tblRiskRegister3234[[#This Row],[Asset Class]],tblInherentImpacts30[],4,FALSE)</f>
        <v/>
      </c>
      <c r="R68" s="26" t="str">
        <f>VLOOKUP(tblRiskRegister3234[[#This Row],[Asset Class]],tblInherentImpacts30[],5,FALSE)</f>
        <v/>
      </c>
      <c r="S68" s="26" t="str">
        <f>IFERROR(MAX(tblRiskRegister3234[[#This Row],[Impact to Mission]:[Impact to Obligations]])*tblRiskRegister3234[[#This Row],[Expectancy Score]],"")</f>
        <v/>
      </c>
      <c r="T68" s="26" t="str">
        <f>tblRiskRegister3234[[#This Row],[Risk Score]]</f>
        <v/>
      </c>
      <c r="U68" s="100"/>
      <c r="V68" s="100" t="s">
        <v>554</v>
      </c>
      <c r="W68" s="15" t="s">
        <v>39</v>
      </c>
      <c r="X68" s="15" t="s">
        <v>178</v>
      </c>
      <c r="Y68" s="15"/>
      <c r="Z68" s="16"/>
      <c r="AA68" s="27" t="str">
        <f>IFERROR(VLOOKUP(10*tblRiskRegister3234[[#This Row],[Risk Treatment Safeguard Maturity Score]]+tblRiskRegister3234[[#This Row],[VCDB Index]],tblHITIndexWeightTable[],4,FALSE),"")</f>
        <v/>
      </c>
      <c r="AB68" s="138" t="str">
        <f>VLOOKUP(tblRiskRegister3234[[#This Row],[Asset Class]],tblInherentImpacts30[],2,FALSE)</f>
        <v/>
      </c>
      <c r="AC68" s="138" t="str">
        <f>VLOOKUP(tblRiskRegister3234[[#This Row],[Asset Class]],tblInherentImpacts30[],3,FALSE)</f>
        <v/>
      </c>
      <c r="AD68" s="138" t="str">
        <f>VLOOKUP(tblRiskRegister3234[[#This Row],[Asset Class]],tblInherentImpacts30[],4,FALSE)</f>
        <v/>
      </c>
      <c r="AE68" s="138" t="str">
        <f>VLOOKUP(tblRiskRegister3234[[#This Row],[Asset Class]],tblInherentImpacts30[],5,FALSE)</f>
        <v/>
      </c>
      <c r="AF68" s="138" t="str">
        <f>IFERROR(MAX(tblRiskRegister3234[[#This Row],[Risk Treatment Safeguard Impact to Mission]:[Risk Treatment Safeguard Impact to Obligations]])*tblRiskRegister3234[[#This Row],[Risk Treatment
Safeguard Expectancy Score]],"")</f>
        <v/>
      </c>
      <c r="AG68" s="138" t="str">
        <f>IF(tblRiskRegister3234[[#This Row],[Risk Score]]&gt;AcceptableRisk,IF(tblRiskRegister3234[[#This Row],[Risk Treatment Safeguard Risk Score]]&lt;AcceptableRisk, IF(tblRiskRegister3234[[#This Row],[Risk Treatment Safeguard Risk Score]]&lt;=tblRiskRegister3234[[#This Row],[Risk Score]],"Yes","No"),"No"),"Yes")</f>
        <v>No</v>
      </c>
      <c r="AH68" s="18"/>
      <c r="AI68" s="18"/>
      <c r="AJ68" s="19"/>
    </row>
    <row r="69" spans="2:36" ht="39.75" customHeight="1" x14ac:dyDescent="0.2">
      <c r="B69" s="15" t="s">
        <v>135</v>
      </c>
      <c r="C69" s="15"/>
      <c r="D69" s="117" t="s">
        <v>555</v>
      </c>
      <c r="E69" s="14" t="s">
        <v>40</v>
      </c>
      <c r="F69" s="17" t="s">
        <v>785</v>
      </c>
      <c r="G69" s="17" t="s">
        <v>785</v>
      </c>
      <c r="H69" s="17" t="s">
        <v>930</v>
      </c>
      <c r="I69" s="147"/>
      <c r="J69" s="15"/>
      <c r="K69" s="15"/>
      <c r="L69" s="16"/>
      <c r="M69" s="26">
        <f>IFERROR(VLOOKUP(tblRiskRegister3234[[#This Row],[Asset Class]],tblVCDBIndex[],4,FALSE),"")</f>
        <v>3</v>
      </c>
      <c r="N69" s="26" t="str">
        <f>IFERROR(VLOOKUP(10*tblRiskRegister3234[[#This Row],[Safeguard Maturity Score]]+tblRiskRegister3234[[#This Row],[VCDB Index]],tblHITIndexWeightTable[],4,FALSE),"")</f>
        <v/>
      </c>
      <c r="O69" s="26" t="str">
        <f>VLOOKUP(tblRiskRegister3234[[#This Row],[Asset Class]],tblInherentImpacts30[],2,FALSE)</f>
        <v/>
      </c>
      <c r="P69" s="26" t="str">
        <f>VLOOKUP(tblRiskRegister3234[[#This Row],[Asset Class]],tblInherentImpacts30[],3,FALSE)</f>
        <v/>
      </c>
      <c r="Q69" s="26" t="str">
        <f>VLOOKUP(tblRiskRegister3234[[#This Row],[Asset Class]],tblInherentImpacts30[],4,FALSE)</f>
        <v/>
      </c>
      <c r="R69" s="26" t="str">
        <f>VLOOKUP(tblRiskRegister3234[[#This Row],[Asset Class]],tblInherentImpacts30[],5,FALSE)</f>
        <v/>
      </c>
      <c r="S69" s="26" t="str">
        <f>IFERROR(MAX(tblRiskRegister3234[[#This Row],[Impact to Mission]:[Impact to Obligations]])*tblRiskRegister3234[[#This Row],[Expectancy Score]],"")</f>
        <v/>
      </c>
      <c r="T69" s="26" t="str">
        <f>tblRiskRegister3234[[#This Row],[Risk Score]]</f>
        <v/>
      </c>
      <c r="U69" s="100"/>
      <c r="V69" s="100" t="s">
        <v>555</v>
      </c>
      <c r="W69" s="15" t="s">
        <v>40</v>
      </c>
      <c r="X69" s="15" t="s">
        <v>760</v>
      </c>
      <c r="Y69" s="15"/>
      <c r="Z69" s="16"/>
      <c r="AA69" s="27" t="str">
        <f>IFERROR(VLOOKUP(10*tblRiskRegister3234[[#This Row],[Risk Treatment Safeguard Maturity Score]]+tblRiskRegister3234[[#This Row],[VCDB Index]],tblHITIndexWeightTable[],4,FALSE),"")</f>
        <v/>
      </c>
      <c r="AB69" s="138" t="str">
        <f>VLOOKUP(tblRiskRegister3234[[#This Row],[Asset Class]],tblInherentImpacts30[],2,FALSE)</f>
        <v/>
      </c>
      <c r="AC69" s="138" t="str">
        <f>VLOOKUP(tblRiskRegister3234[[#This Row],[Asset Class]],tblInherentImpacts30[],3,FALSE)</f>
        <v/>
      </c>
      <c r="AD69" s="138" t="str">
        <f>VLOOKUP(tblRiskRegister3234[[#This Row],[Asset Class]],tblInherentImpacts30[],4,FALSE)</f>
        <v/>
      </c>
      <c r="AE69" s="138" t="str">
        <f>VLOOKUP(tblRiskRegister3234[[#This Row],[Asset Class]],tblInherentImpacts30[],5,FALSE)</f>
        <v/>
      </c>
      <c r="AF69" s="138" t="str">
        <f>IFERROR(MAX(tblRiskRegister3234[[#This Row],[Risk Treatment Safeguard Impact to Mission]:[Risk Treatment Safeguard Impact to Obligations]])*tblRiskRegister3234[[#This Row],[Risk Treatment
Safeguard Expectancy Score]],"")</f>
        <v/>
      </c>
      <c r="AG69" s="138" t="str">
        <f>IF(tblRiskRegister3234[[#This Row],[Risk Score]]&gt;AcceptableRisk,IF(tblRiskRegister3234[[#This Row],[Risk Treatment Safeguard Risk Score]]&lt;AcceptableRisk, IF(tblRiskRegister3234[[#This Row],[Risk Treatment Safeguard Risk Score]]&lt;=tblRiskRegister3234[[#This Row],[Risk Score]],"Yes","No"),"No"),"Yes")</f>
        <v>No</v>
      </c>
      <c r="AH69" s="18"/>
      <c r="AI69" s="18"/>
      <c r="AJ69" s="19"/>
    </row>
    <row r="70" spans="2:36" ht="25.5" x14ac:dyDescent="0.2">
      <c r="B70" s="15" t="s">
        <v>135</v>
      </c>
      <c r="C70" s="15"/>
      <c r="D70" s="13" t="s">
        <v>556</v>
      </c>
      <c r="E70" s="14" t="s">
        <v>653</v>
      </c>
      <c r="F70" s="17"/>
      <c r="G70" s="17" t="s">
        <v>785</v>
      </c>
      <c r="H70" s="17" t="s">
        <v>930</v>
      </c>
      <c r="I70" s="147"/>
      <c r="J70" s="15"/>
      <c r="K70" s="15"/>
      <c r="L70" s="16"/>
      <c r="M70" s="26">
        <f>IFERROR(VLOOKUP(tblRiskRegister3234[[#This Row],[Asset Class]],tblVCDBIndex[],4,FALSE),"")</f>
        <v>3</v>
      </c>
      <c r="N70" s="26" t="str">
        <f>IFERROR(VLOOKUP(10*tblRiskRegister3234[[#This Row],[Safeguard Maturity Score]]+tblRiskRegister3234[[#This Row],[VCDB Index]],tblHITIndexWeightTable[],4,FALSE),"")</f>
        <v/>
      </c>
      <c r="O70" s="26" t="str">
        <f>VLOOKUP(tblRiskRegister3234[[#This Row],[Asset Class]],tblInherentImpacts30[],2,FALSE)</f>
        <v/>
      </c>
      <c r="P70" s="26" t="str">
        <f>VLOOKUP(tblRiskRegister3234[[#This Row],[Asset Class]],tblInherentImpacts30[],3,FALSE)</f>
        <v/>
      </c>
      <c r="Q70" s="26" t="str">
        <f>VLOOKUP(tblRiskRegister3234[[#This Row],[Asset Class]],tblInherentImpacts30[],4,FALSE)</f>
        <v/>
      </c>
      <c r="R70" s="26" t="str">
        <f>VLOOKUP(tblRiskRegister3234[[#This Row],[Asset Class]],tblInherentImpacts30[],5,FALSE)</f>
        <v/>
      </c>
      <c r="S70" s="26" t="str">
        <f>IFERROR(MAX(tblRiskRegister3234[[#This Row],[Impact to Mission]:[Impact to Obligations]])*tblRiskRegister3234[[#This Row],[Expectancy Score]],"")</f>
        <v/>
      </c>
      <c r="T70" s="26" t="str">
        <f>tblRiskRegister3234[[#This Row],[Risk Score]]</f>
        <v/>
      </c>
      <c r="U70" s="100"/>
      <c r="V70" s="100" t="s">
        <v>556</v>
      </c>
      <c r="W70" s="15" t="s">
        <v>653</v>
      </c>
      <c r="X70" s="15" t="s">
        <v>761</v>
      </c>
      <c r="Y70" s="15"/>
      <c r="Z70" s="16"/>
      <c r="AA70" s="27" t="str">
        <f>IFERROR(VLOOKUP(10*tblRiskRegister3234[[#This Row],[Risk Treatment Safeguard Maturity Score]]+tblRiskRegister3234[[#This Row],[VCDB Index]],tblHITIndexWeightTable[],4,FALSE),"")</f>
        <v/>
      </c>
      <c r="AB70" s="138" t="str">
        <f>VLOOKUP(tblRiskRegister3234[[#This Row],[Asset Class]],tblInherentImpacts30[],2,FALSE)</f>
        <v/>
      </c>
      <c r="AC70" s="138" t="str">
        <f>VLOOKUP(tblRiskRegister3234[[#This Row],[Asset Class]],tblInherentImpacts30[],3,FALSE)</f>
        <v/>
      </c>
      <c r="AD70" s="138" t="str">
        <f>VLOOKUP(tblRiskRegister3234[[#This Row],[Asset Class]],tblInherentImpacts30[],4,FALSE)</f>
        <v/>
      </c>
      <c r="AE70" s="138" t="str">
        <f>VLOOKUP(tblRiskRegister3234[[#This Row],[Asset Class]],tblInherentImpacts30[],5,FALSE)</f>
        <v/>
      </c>
      <c r="AF70" s="138" t="str">
        <f>IFERROR(MAX(tblRiskRegister3234[[#This Row],[Risk Treatment Safeguard Impact to Mission]:[Risk Treatment Safeguard Impact to Obligations]])*tblRiskRegister3234[[#This Row],[Risk Treatment
Safeguard Expectancy Score]],"")</f>
        <v/>
      </c>
      <c r="AG70" s="138" t="str">
        <f>IF(tblRiskRegister3234[[#This Row],[Risk Score]]&gt;AcceptableRisk,IF(tblRiskRegister3234[[#This Row],[Risk Treatment Safeguard Risk Score]]&lt;AcceptableRisk, IF(tblRiskRegister3234[[#This Row],[Risk Treatment Safeguard Risk Score]]&lt;=tblRiskRegister3234[[#This Row],[Risk Score]],"Yes","No"),"No"),"Yes")</f>
        <v>No</v>
      </c>
      <c r="AH70" s="18"/>
      <c r="AI70" s="18"/>
      <c r="AJ70" s="19"/>
    </row>
    <row r="71" spans="2:36" ht="38.25" x14ac:dyDescent="0.2">
      <c r="B71" s="44" t="s">
        <v>135</v>
      </c>
      <c r="C71" s="44"/>
      <c r="D71" s="13" t="s">
        <v>557</v>
      </c>
      <c r="E71" s="14" t="s">
        <v>654</v>
      </c>
      <c r="F71" s="17"/>
      <c r="G71" s="17" t="s">
        <v>785</v>
      </c>
      <c r="H71" s="17" t="s">
        <v>930</v>
      </c>
      <c r="I71" s="147"/>
      <c r="J71" s="15"/>
      <c r="K71" s="15"/>
      <c r="L71" s="16"/>
      <c r="M71" s="26">
        <f>IFERROR(VLOOKUP(tblRiskRegister3234[[#This Row],[Asset Class]],tblVCDBIndex[],4,FALSE),"")</f>
        <v>3</v>
      </c>
      <c r="N71" s="29" t="str">
        <f>IFERROR(VLOOKUP(10*tblRiskRegister3234[[#This Row],[Safeguard Maturity Score]]+tblRiskRegister3234[[#This Row],[VCDB Index]],tblHITIndexWeightTable[],4,FALSE),"")</f>
        <v/>
      </c>
      <c r="O71" s="29" t="str">
        <f>VLOOKUP(tblRiskRegister3234[[#This Row],[Asset Class]],tblInherentImpacts30[],2,FALSE)</f>
        <v/>
      </c>
      <c r="P71" s="29" t="str">
        <f>VLOOKUP(tblRiskRegister3234[[#This Row],[Asset Class]],tblInherentImpacts30[],3,FALSE)</f>
        <v/>
      </c>
      <c r="Q71" s="29" t="str">
        <f>VLOOKUP(tblRiskRegister3234[[#This Row],[Asset Class]],tblInherentImpacts30[],4,FALSE)</f>
        <v/>
      </c>
      <c r="R71" s="29" t="str">
        <f>VLOOKUP(tblRiskRegister3234[[#This Row],[Asset Class]],tblInherentImpacts30[],5,FALSE)</f>
        <v/>
      </c>
      <c r="S71" s="29" t="str">
        <f>IFERROR(MAX(tblRiskRegister3234[[#This Row],[Impact to Mission]:[Impact to Obligations]])*tblRiskRegister3234[[#This Row],[Expectancy Score]],"")</f>
        <v/>
      </c>
      <c r="T71" s="29" t="str">
        <f>tblRiskRegister3234[[#This Row],[Risk Score]]</f>
        <v/>
      </c>
      <c r="U71" s="100"/>
      <c r="V71" s="112" t="s">
        <v>557</v>
      </c>
      <c r="W71" s="44" t="s">
        <v>654</v>
      </c>
      <c r="X71" s="44" t="s">
        <v>762</v>
      </c>
      <c r="Y71" s="30"/>
      <c r="Z71" s="16"/>
      <c r="AA71" s="27" t="str">
        <f>IFERROR(VLOOKUP(10*tblRiskRegister3234[[#This Row],[Risk Treatment Safeguard Maturity Score]]+tblRiskRegister3234[[#This Row],[VCDB Index]],tblHITIndexWeightTable[],4,FALSE),"")</f>
        <v/>
      </c>
      <c r="AB71" s="138" t="str">
        <f>VLOOKUP(tblRiskRegister3234[[#This Row],[Asset Class]],tblInherentImpacts30[],2,FALSE)</f>
        <v/>
      </c>
      <c r="AC71" s="138" t="str">
        <f>VLOOKUP(tblRiskRegister3234[[#This Row],[Asset Class]],tblInherentImpacts30[],3,FALSE)</f>
        <v/>
      </c>
      <c r="AD71" s="138" t="str">
        <f>VLOOKUP(tblRiskRegister3234[[#This Row],[Asset Class]],tblInherentImpacts30[],4,FALSE)</f>
        <v/>
      </c>
      <c r="AE71" s="138" t="str">
        <f>VLOOKUP(tblRiskRegister3234[[#This Row],[Asset Class]],tblInherentImpacts30[],5,FALSE)</f>
        <v/>
      </c>
      <c r="AF71" s="138" t="str">
        <f>IFERROR(MAX(tblRiskRegister3234[[#This Row],[Risk Treatment Safeguard Impact to Mission]:[Risk Treatment Safeguard Impact to Obligations]])*tblRiskRegister3234[[#This Row],[Risk Treatment
Safeguard Expectancy Score]],"")</f>
        <v/>
      </c>
      <c r="AG71" s="138" t="str">
        <f>IF(tblRiskRegister3234[[#This Row],[Risk Score]]&gt;AcceptableRisk,IF(tblRiskRegister3234[[#This Row],[Risk Treatment Safeguard Risk Score]]&lt;AcceptableRisk, IF(tblRiskRegister3234[[#This Row],[Risk Treatment Safeguard Risk Score]]&lt;=tblRiskRegister3234[[#This Row],[Risk Score]],"Yes","No"),"No"),"Yes")</f>
        <v>No</v>
      </c>
      <c r="AH71" s="18"/>
      <c r="AI71" s="18"/>
      <c r="AJ71" s="19"/>
    </row>
    <row r="72" spans="2:36" ht="38.25" x14ac:dyDescent="0.2">
      <c r="B72" s="44" t="s">
        <v>135</v>
      </c>
      <c r="C72" s="44"/>
      <c r="D72" s="13" t="s">
        <v>558</v>
      </c>
      <c r="E72" s="14" t="s">
        <v>655</v>
      </c>
      <c r="F72" s="17"/>
      <c r="G72" s="17" t="s">
        <v>785</v>
      </c>
      <c r="H72" s="17" t="s">
        <v>930</v>
      </c>
      <c r="I72" s="147"/>
      <c r="J72" s="15"/>
      <c r="K72" s="15"/>
      <c r="L72" s="16"/>
      <c r="M72" s="26">
        <f>IFERROR(VLOOKUP(tblRiskRegister3234[[#This Row],[Asset Class]],tblVCDBIndex[],4,FALSE),"")</f>
        <v>3</v>
      </c>
      <c r="N72" s="29" t="str">
        <f>IFERROR(VLOOKUP(10*tblRiskRegister3234[[#This Row],[Safeguard Maturity Score]]+tblRiskRegister3234[[#This Row],[VCDB Index]],tblHITIndexWeightTable[],4,FALSE),"")</f>
        <v/>
      </c>
      <c r="O72" s="29" t="str">
        <f>VLOOKUP(tblRiskRegister3234[[#This Row],[Asset Class]],tblInherentImpacts30[],2,FALSE)</f>
        <v/>
      </c>
      <c r="P72" s="29" t="str">
        <f>VLOOKUP(tblRiskRegister3234[[#This Row],[Asset Class]],tblInherentImpacts30[],3,FALSE)</f>
        <v/>
      </c>
      <c r="Q72" s="29" t="str">
        <f>VLOOKUP(tblRiskRegister3234[[#This Row],[Asset Class]],tblInherentImpacts30[],4,FALSE)</f>
        <v/>
      </c>
      <c r="R72" s="29" t="str">
        <f>VLOOKUP(tblRiskRegister3234[[#This Row],[Asset Class]],tblInherentImpacts30[],5,FALSE)</f>
        <v/>
      </c>
      <c r="S72" s="29" t="str">
        <f>IFERROR(MAX(tblRiskRegister3234[[#This Row],[Impact to Mission]:[Impact to Obligations]])*tblRiskRegister3234[[#This Row],[Expectancy Score]],"")</f>
        <v/>
      </c>
      <c r="T72" s="29" t="str">
        <f>tblRiskRegister3234[[#This Row],[Risk Score]]</f>
        <v/>
      </c>
      <c r="U72" s="100"/>
      <c r="V72" s="112" t="s">
        <v>558</v>
      </c>
      <c r="W72" s="44" t="s">
        <v>655</v>
      </c>
      <c r="X72" s="44" t="s">
        <v>763</v>
      </c>
      <c r="Y72" s="30"/>
      <c r="Z72" s="16"/>
      <c r="AA72" s="27" t="str">
        <f>IFERROR(VLOOKUP(10*tblRiskRegister3234[[#This Row],[Risk Treatment Safeguard Maturity Score]]+tblRiskRegister3234[[#This Row],[VCDB Index]],tblHITIndexWeightTable[],4,FALSE),"")</f>
        <v/>
      </c>
      <c r="AB72" s="138" t="str">
        <f>VLOOKUP(tblRiskRegister3234[[#This Row],[Asset Class]],tblInherentImpacts30[],2,FALSE)</f>
        <v/>
      </c>
      <c r="AC72" s="138" t="str">
        <f>VLOOKUP(tblRiskRegister3234[[#This Row],[Asset Class]],tblInherentImpacts30[],3,FALSE)</f>
        <v/>
      </c>
      <c r="AD72" s="138" t="str">
        <f>VLOOKUP(tblRiskRegister3234[[#This Row],[Asset Class]],tblInherentImpacts30[],4,FALSE)</f>
        <v/>
      </c>
      <c r="AE72" s="138" t="str">
        <f>VLOOKUP(tblRiskRegister3234[[#This Row],[Asset Class]],tblInherentImpacts30[],5,FALSE)</f>
        <v/>
      </c>
      <c r="AF72" s="138" t="str">
        <f>IFERROR(MAX(tblRiskRegister3234[[#This Row],[Risk Treatment Safeguard Impact to Mission]:[Risk Treatment Safeguard Impact to Obligations]])*tblRiskRegister3234[[#This Row],[Risk Treatment
Safeguard Expectancy Score]],"")</f>
        <v/>
      </c>
      <c r="AG72" s="138" t="str">
        <f>IF(tblRiskRegister3234[[#This Row],[Risk Score]]&gt;AcceptableRisk,IF(tblRiskRegister3234[[#This Row],[Risk Treatment Safeguard Risk Score]]&lt;AcceptableRisk, IF(tblRiskRegister3234[[#This Row],[Risk Treatment Safeguard Risk Score]]&lt;=tblRiskRegister3234[[#This Row],[Risk Score]],"Yes","No"),"No"),"Yes")</f>
        <v>No</v>
      </c>
      <c r="AH72" s="18"/>
      <c r="AI72" s="18"/>
      <c r="AJ72" s="19"/>
    </row>
    <row r="73" spans="2:36" ht="25.5" x14ac:dyDescent="0.2">
      <c r="B73" s="44" t="s">
        <v>135</v>
      </c>
      <c r="C73" s="44"/>
      <c r="D73" s="13" t="s">
        <v>559</v>
      </c>
      <c r="E73" s="14" t="s">
        <v>656</v>
      </c>
      <c r="F73" s="17"/>
      <c r="G73" s="17" t="s">
        <v>785</v>
      </c>
      <c r="H73" s="17" t="s">
        <v>930</v>
      </c>
      <c r="I73" s="147"/>
      <c r="J73" s="15"/>
      <c r="K73" s="15"/>
      <c r="L73" s="16"/>
      <c r="M73" s="26">
        <f>IFERROR(VLOOKUP(tblRiskRegister3234[[#This Row],[Asset Class]],tblVCDBIndex[],4,FALSE),"")</f>
        <v>3</v>
      </c>
      <c r="N73" s="29" t="str">
        <f>IFERROR(VLOOKUP(10*tblRiskRegister3234[[#This Row],[Safeguard Maturity Score]]+tblRiskRegister3234[[#This Row],[VCDB Index]],tblHITIndexWeightTable[],4,FALSE),"")</f>
        <v/>
      </c>
      <c r="O73" s="29" t="str">
        <f>VLOOKUP(tblRiskRegister3234[[#This Row],[Asset Class]],tblInherentImpacts30[],2,FALSE)</f>
        <v/>
      </c>
      <c r="P73" s="29" t="str">
        <f>VLOOKUP(tblRiskRegister3234[[#This Row],[Asset Class]],tblInherentImpacts30[],3,FALSE)</f>
        <v/>
      </c>
      <c r="Q73" s="29" t="str">
        <f>VLOOKUP(tblRiskRegister3234[[#This Row],[Asset Class]],tblInherentImpacts30[],4,FALSE)</f>
        <v/>
      </c>
      <c r="R73" s="29" t="str">
        <f>VLOOKUP(tblRiskRegister3234[[#This Row],[Asset Class]],tblInherentImpacts30[],5,FALSE)</f>
        <v/>
      </c>
      <c r="S73" s="29" t="str">
        <f>IFERROR(MAX(tblRiskRegister3234[[#This Row],[Impact to Mission]:[Impact to Obligations]])*tblRiskRegister3234[[#This Row],[Expectancy Score]],"")</f>
        <v/>
      </c>
      <c r="T73" s="29" t="str">
        <f>tblRiskRegister3234[[#This Row],[Risk Score]]</f>
        <v/>
      </c>
      <c r="U73" s="100"/>
      <c r="V73" s="112" t="s">
        <v>559</v>
      </c>
      <c r="W73" s="44" t="s">
        <v>656</v>
      </c>
      <c r="X73" s="44" t="s">
        <v>764</v>
      </c>
      <c r="Y73" s="30"/>
      <c r="Z73" s="16"/>
      <c r="AA73" s="27" t="str">
        <f>IFERROR(VLOOKUP(10*tblRiskRegister3234[[#This Row],[Risk Treatment Safeguard Maturity Score]]+tblRiskRegister3234[[#This Row],[VCDB Index]],tblHITIndexWeightTable[],4,FALSE),"")</f>
        <v/>
      </c>
      <c r="AB73" s="138" t="str">
        <f>VLOOKUP(tblRiskRegister3234[[#This Row],[Asset Class]],tblInherentImpacts30[],2,FALSE)</f>
        <v/>
      </c>
      <c r="AC73" s="138" t="str">
        <f>VLOOKUP(tblRiskRegister3234[[#This Row],[Asset Class]],tblInherentImpacts30[],3,FALSE)</f>
        <v/>
      </c>
      <c r="AD73" s="138" t="str">
        <f>VLOOKUP(tblRiskRegister3234[[#This Row],[Asset Class]],tblInherentImpacts30[],4,FALSE)</f>
        <v/>
      </c>
      <c r="AE73" s="138" t="str">
        <f>VLOOKUP(tblRiskRegister3234[[#This Row],[Asset Class]],tblInherentImpacts30[],5,FALSE)</f>
        <v/>
      </c>
      <c r="AF73" s="138" t="str">
        <f>IFERROR(MAX(tblRiskRegister3234[[#This Row],[Risk Treatment Safeguard Impact to Mission]:[Risk Treatment Safeguard Impact to Obligations]])*tblRiskRegister3234[[#This Row],[Risk Treatment
Safeguard Expectancy Score]],"")</f>
        <v/>
      </c>
      <c r="AG73" s="138" t="str">
        <f>IF(tblRiskRegister3234[[#This Row],[Risk Score]]&gt;AcceptableRisk,IF(tblRiskRegister3234[[#This Row],[Risk Treatment Safeguard Risk Score]]&lt;AcceptableRisk, IF(tblRiskRegister3234[[#This Row],[Risk Treatment Safeguard Risk Score]]&lt;=tblRiskRegister3234[[#This Row],[Risk Score]],"Yes","No"),"No"),"Yes")</f>
        <v>No</v>
      </c>
      <c r="AH73" s="18"/>
      <c r="AI73" s="18"/>
      <c r="AJ73" s="19"/>
    </row>
    <row r="74" spans="2:36" ht="38.25" x14ac:dyDescent="0.2">
      <c r="B74" s="44" t="s">
        <v>135</v>
      </c>
      <c r="C74" s="44"/>
      <c r="D74" s="13" t="s">
        <v>560</v>
      </c>
      <c r="E74" s="14" t="s">
        <v>657</v>
      </c>
      <c r="F74" s="17"/>
      <c r="G74" s="17" t="s">
        <v>785</v>
      </c>
      <c r="H74" s="17" t="s">
        <v>930</v>
      </c>
      <c r="I74" s="147"/>
      <c r="J74" s="15"/>
      <c r="K74" s="15"/>
      <c r="L74" s="16"/>
      <c r="M74" s="26">
        <f>IFERROR(VLOOKUP(tblRiskRegister3234[[#This Row],[Asset Class]],tblVCDBIndex[],4,FALSE),"")</f>
        <v>3</v>
      </c>
      <c r="N74" s="29" t="str">
        <f>IFERROR(VLOOKUP(10*tblRiskRegister3234[[#This Row],[Safeguard Maturity Score]]+tblRiskRegister3234[[#This Row],[VCDB Index]],tblHITIndexWeightTable[],4,FALSE),"")</f>
        <v/>
      </c>
      <c r="O74" s="29" t="str">
        <f>VLOOKUP(tblRiskRegister3234[[#This Row],[Asset Class]],tblInherentImpacts30[],2,FALSE)</f>
        <v/>
      </c>
      <c r="P74" s="29" t="str">
        <f>VLOOKUP(tblRiskRegister3234[[#This Row],[Asset Class]],tblInherentImpacts30[],3,FALSE)</f>
        <v/>
      </c>
      <c r="Q74" s="29" t="str">
        <f>VLOOKUP(tblRiskRegister3234[[#This Row],[Asset Class]],tblInherentImpacts30[],4,FALSE)</f>
        <v/>
      </c>
      <c r="R74" s="29" t="str">
        <f>VLOOKUP(tblRiskRegister3234[[#This Row],[Asset Class]],tblInherentImpacts30[],5,FALSE)</f>
        <v/>
      </c>
      <c r="S74" s="29" t="str">
        <f>IFERROR(MAX(tblRiskRegister3234[[#This Row],[Impact to Mission]:[Impact to Obligations]])*tblRiskRegister3234[[#This Row],[Expectancy Score]],"")</f>
        <v/>
      </c>
      <c r="T74" s="29" t="str">
        <f>tblRiskRegister3234[[#This Row],[Risk Score]]</f>
        <v/>
      </c>
      <c r="U74" s="100"/>
      <c r="V74" s="112" t="s">
        <v>560</v>
      </c>
      <c r="W74" s="44" t="s">
        <v>657</v>
      </c>
      <c r="X74" s="44" t="s">
        <v>765</v>
      </c>
      <c r="Y74" s="30"/>
      <c r="Z74" s="16"/>
      <c r="AA74" s="27" t="str">
        <f>IFERROR(VLOOKUP(10*tblRiskRegister3234[[#This Row],[Risk Treatment Safeguard Maturity Score]]+tblRiskRegister3234[[#This Row],[VCDB Index]],tblHITIndexWeightTable[],4,FALSE),"")</f>
        <v/>
      </c>
      <c r="AB74" s="138" t="str">
        <f>VLOOKUP(tblRiskRegister3234[[#This Row],[Asset Class]],tblInherentImpacts30[],2,FALSE)</f>
        <v/>
      </c>
      <c r="AC74" s="138" t="str">
        <f>VLOOKUP(tblRiskRegister3234[[#This Row],[Asset Class]],tblInherentImpacts30[],3,FALSE)</f>
        <v/>
      </c>
      <c r="AD74" s="138" t="str">
        <f>VLOOKUP(tblRiskRegister3234[[#This Row],[Asset Class]],tblInherentImpacts30[],4,FALSE)</f>
        <v/>
      </c>
      <c r="AE74" s="138" t="str">
        <f>VLOOKUP(tblRiskRegister3234[[#This Row],[Asset Class]],tblInherentImpacts30[],5,FALSE)</f>
        <v/>
      </c>
      <c r="AF74" s="138" t="str">
        <f>IFERROR(MAX(tblRiskRegister3234[[#This Row],[Risk Treatment Safeguard Impact to Mission]:[Risk Treatment Safeguard Impact to Obligations]])*tblRiskRegister3234[[#This Row],[Risk Treatment
Safeguard Expectancy Score]],"")</f>
        <v/>
      </c>
      <c r="AG74" s="138" t="str">
        <f>IF(tblRiskRegister3234[[#This Row],[Risk Score]]&gt;AcceptableRisk,IF(tblRiskRegister3234[[#This Row],[Risk Treatment Safeguard Risk Score]]&lt;AcceptableRisk, IF(tblRiskRegister3234[[#This Row],[Risk Treatment Safeguard Risk Score]]&lt;=tblRiskRegister3234[[#This Row],[Risk Score]],"Yes","No"),"No"),"Yes")</f>
        <v>No</v>
      </c>
      <c r="AH74" s="18"/>
      <c r="AI74" s="18"/>
      <c r="AJ74" s="19"/>
    </row>
    <row r="75" spans="2:36" ht="38.25" x14ac:dyDescent="0.2">
      <c r="B75" s="44" t="s">
        <v>135</v>
      </c>
      <c r="C75" s="44"/>
      <c r="D75" s="13" t="s">
        <v>561</v>
      </c>
      <c r="E75" s="14" t="s">
        <v>658</v>
      </c>
      <c r="F75" s="17"/>
      <c r="G75" s="17" t="s">
        <v>785</v>
      </c>
      <c r="H75" s="17" t="s">
        <v>930</v>
      </c>
      <c r="I75" s="147"/>
      <c r="J75" s="15"/>
      <c r="K75" s="15"/>
      <c r="L75" s="16"/>
      <c r="M75" s="26">
        <f>IFERROR(VLOOKUP(tblRiskRegister3234[[#This Row],[Asset Class]],tblVCDBIndex[],4,FALSE),"")</f>
        <v>3</v>
      </c>
      <c r="N75" s="29" t="str">
        <f>IFERROR(VLOOKUP(10*tblRiskRegister3234[[#This Row],[Safeguard Maturity Score]]+tblRiskRegister3234[[#This Row],[VCDB Index]],tblHITIndexWeightTable[],4,FALSE),"")</f>
        <v/>
      </c>
      <c r="O75" s="29" t="str">
        <f>VLOOKUP(tblRiskRegister3234[[#This Row],[Asset Class]],tblInherentImpacts30[],2,FALSE)</f>
        <v/>
      </c>
      <c r="P75" s="29" t="str">
        <f>VLOOKUP(tblRiskRegister3234[[#This Row],[Asset Class]],tblInherentImpacts30[],3,FALSE)</f>
        <v/>
      </c>
      <c r="Q75" s="29" t="str">
        <f>VLOOKUP(tblRiskRegister3234[[#This Row],[Asset Class]],tblInherentImpacts30[],4,FALSE)</f>
        <v/>
      </c>
      <c r="R75" s="29" t="str">
        <f>VLOOKUP(tblRiskRegister3234[[#This Row],[Asset Class]],tblInherentImpacts30[],5,FALSE)</f>
        <v/>
      </c>
      <c r="S75" s="29" t="str">
        <f>IFERROR(MAX(tblRiskRegister3234[[#This Row],[Impact to Mission]:[Impact to Obligations]])*tblRiskRegister3234[[#This Row],[Expectancy Score]],"")</f>
        <v/>
      </c>
      <c r="T75" s="29" t="str">
        <f>tblRiskRegister3234[[#This Row],[Risk Score]]</f>
        <v/>
      </c>
      <c r="U75" s="100"/>
      <c r="V75" s="112" t="s">
        <v>561</v>
      </c>
      <c r="W75" s="44" t="s">
        <v>658</v>
      </c>
      <c r="X75" s="44" t="s">
        <v>766</v>
      </c>
      <c r="Y75" s="30"/>
      <c r="Z75" s="16"/>
      <c r="AA75" s="27" t="str">
        <f>IFERROR(VLOOKUP(10*tblRiskRegister3234[[#This Row],[Risk Treatment Safeguard Maturity Score]]+tblRiskRegister3234[[#This Row],[VCDB Index]],tblHITIndexWeightTable[],4,FALSE),"")</f>
        <v/>
      </c>
      <c r="AB75" s="138" t="str">
        <f>VLOOKUP(tblRiskRegister3234[[#This Row],[Asset Class]],tblInherentImpacts30[],2,FALSE)</f>
        <v/>
      </c>
      <c r="AC75" s="138" t="str">
        <f>VLOOKUP(tblRiskRegister3234[[#This Row],[Asset Class]],tblInherentImpacts30[],3,FALSE)</f>
        <v/>
      </c>
      <c r="AD75" s="138" t="str">
        <f>VLOOKUP(tblRiskRegister3234[[#This Row],[Asset Class]],tblInherentImpacts30[],4,FALSE)</f>
        <v/>
      </c>
      <c r="AE75" s="138" t="str">
        <f>VLOOKUP(tblRiskRegister3234[[#This Row],[Asset Class]],tblInherentImpacts30[],5,FALSE)</f>
        <v/>
      </c>
      <c r="AF75" s="138" t="str">
        <f>IFERROR(MAX(tblRiskRegister3234[[#This Row],[Risk Treatment Safeguard Impact to Mission]:[Risk Treatment Safeguard Impact to Obligations]])*tblRiskRegister3234[[#This Row],[Risk Treatment
Safeguard Expectancy Score]],"")</f>
        <v/>
      </c>
      <c r="AG75" s="138" t="str">
        <f>IF(tblRiskRegister3234[[#This Row],[Risk Score]]&gt;AcceptableRisk,IF(tblRiskRegister3234[[#This Row],[Risk Treatment Safeguard Risk Score]]&lt;AcceptableRisk, IF(tblRiskRegister3234[[#This Row],[Risk Treatment Safeguard Risk Score]]&lt;=tblRiskRegister3234[[#This Row],[Risk Score]],"Yes","No"),"No"),"Yes")</f>
        <v>No</v>
      </c>
      <c r="AH75" s="18"/>
      <c r="AI75" s="18"/>
      <c r="AJ75" s="19"/>
    </row>
    <row r="76" spans="2:36" ht="25.5" x14ac:dyDescent="0.2">
      <c r="B76" s="44" t="s">
        <v>135</v>
      </c>
      <c r="C76" s="44"/>
      <c r="D76" s="13" t="s">
        <v>562</v>
      </c>
      <c r="E76" s="14" t="s">
        <v>659</v>
      </c>
      <c r="F76" s="17"/>
      <c r="G76" s="17" t="s">
        <v>785</v>
      </c>
      <c r="H76" s="17" t="s">
        <v>930</v>
      </c>
      <c r="I76" s="147"/>
      <c r="J76" s="15"/>
      <c r="K76" s="15"/>
      <c r="L76" s="16"/>
      <c r="M76" s="26">
        <f>IFERROR(VLOOKUP(tblRiskRegister3234[[#This Row],[Asset Class]],tblVCDBIndex[],4,FALSE),"")</f>
        <v>3</v>
      </c>
      <c r="N76" s="29" t="str">
        <f>IFERROR(VLOOKUP(10*tblRiskRegister3234[[#This Row],[Safeguard Maturity Score]]+tblRiskRegister3234[[#This Row],[VCDB Index]],tblHITIndexWeightTable[],4,FALSE),"")</f>
        <v/>
      </c>
      <c r="O76" s="29" t="str">
        <f>VLOOKUP(tblRiskRegister3234[[#This Row],[Asset Class]],tblInherentImpacts30[],2,FALSE)</f>
        <v/>
      </c>
      <c r="P76" s="29" t="str">
        <f>VLOOKUP(tblRiskRegister3234[[#This Row],[Asset Class]],tblInherentImpacts30[],3,FALSE)</f>
        <v/>
      </c>
      <c r="Q76" s="29" t="str">
        <f>VLOOKUP(tblRiskRegister3234[[#This Row],[Asset Class]],tblInherentImpacts30[],4,FALSE)</f>
        <v/>
      </c>
      <c r="R76" s="29" t="str">
        <f>VLOOKUP(tblRiskRegister3234[[#This Row],[Asset Class]],tblInherentImpacts30[],5,FALSE)</f>
        <v/>
      </c>
      <c r="S76" s="29" t="str">
        <f>IFERROR(MAX(tblRiskRegister3234[[#This Row],[Impact to Mission]:[Impact to Obligations]])*tblRiskRegister3234[[#This Row],[Expectancy Score]],"")</f>
        <v/>
      </c>
      <c r="T76" s="29" t="str">
        <f>tblRiskRegister3234[[#This Row],[Risk Score]]</f>
        <v/>
      </c>
      <c r="U76" s="100"/>
      <c r="V76" s="112" t="s">
        <v>562</v>
      </c>
      <c r="W76" s="44" t="s">
        <v>659</v>
      </c>
      <c r="X76" s="44" t="s">
        <v>767</v>
      </c>
      <c r="Y76" s="30"/>
      <c r="Z76" s="16"/>
      <c r="AA76" s="27" t="str">
        <f>IFERROR(VLOOKUP(10*tblRiskRegister3234[[#This Row],[Risk Treatment Safeguard Maturity Score]]+tblRiskRegister3234[[#This Row],[VCDB Index]],tblHITIndexWeightTable[],4,FALSE),"")</f>
        <v/>
      </c>
      <c r="AB76" s="138" t="str">
        <f>VLOOKUP(tblRiskRegister3234[[#This Row],[Asset Class]],tblInherentImpacts30[],2,FALSE)</f>
        <v/>
      </c>
      <c r="AC76" s="138" t="str">
        <f>VLOOKUP(tblRiskRegister3234[[#This Row],[Asset Class]],tblInherentImpacts30[],3,FALSE)</f>
        <v/>
      </c>
      <c r="AD76" s="138" t="str">
        <f>VLOOKUP(tblRiskRegister3234[[#This Row],[Asset Class]],tblInherentImpacts30[],4,FALSE)</f>
        <v/>
      </c>
      <c r="AE76" s="138" t="str">
        <f>VLOOKUP(tblRiskRegister3234[[#This Row],[Asset Class]],tblInherentImpacts30[],5,FALSE)</f>
        <v/>
      </c>
      <c r="AF76" s="138" t="str">
        <f>IFERROR(MAX(tblRiskRegister3234[[#This Row],[Risk Treatment Safeguard Impact to Mission]:[Risk Treatment Safeguard Impact to Obligations]])*tblRiskRegister3234[[#This Row],[Risk Treatment
Safeguard Expectancy Score]],"")</f>
        <v/>
      </c>
      <c r="AG76" s="138" t="str">
        <f>IF(tblRiskRegister3234[[#This Row],[Risk Score]]&gt;AcceptableRisk,IF(tblRiskRegister3234[[#This Row],[Risk Treatment Safeguard Risk Score]]&lt;AcceptableRisk, IF(tblRiskRegister3234[[#This Row],[Risk Treatment Safeguard Risk Score]]&lt;=tblRiskRegister3234[[#This Row],[Risk Score]],"Yes","No"),"No"),"Yes")</f>
        <v>No</v>
      </c>
      <c r="AH76" s="18"/>
      <c r="AI76" s="18"/>
      <c r="AJ76" s="19"/>
    </row>
    <row r="77" spans="2:36" ht="38.25" x14ac:dyDescent="0.2">
      <c r="B77" s="44" t="s">
        <v>135</v>
      </c>
      <c r="C77" s="44"/>
      <c r="D77" s="13" t="s">
        <v>563</v>
      </c>
      <c r="E77" s="14" t="s">
        <v>660</v>
      </c>
      <c r="F77" s="17"/>
      <c r="G77" s="17" t="s">
        <v>785</v>
      </c>
      <c r="H77" s="17" t="s">
        <v>930</v>
      </c>
      <c r="I77" s="147"/>
      <c r="J77" s="15"/>
      <c r="K77" s="15"/>
      <c r="L77" s="16"/>
      <c r="M77" s="26">
        <f>IFERROR(VLOOKUP(tblRiskRegister3234[[#This Row],[Asset Class]],tblVCDBIndex[],4,FALSE),"")</f>
        <v>3</v>
      </c>
      <c r="N77" s="29" t="str">
        <f>IFERROR(VLOOKUP(10*tblRiskRegister3234[[#This Row],[Safeguard Maturity Score]]+tblRiskRegister3234[[#This Row],[VCDB Index]],tblHITIndexWeightTable[],4,FALSE),"")</f>
        <v/>
      </c>
      <c r="O77" s="29" t="str">
        <f>VLOOKUP(tblRiskRegister3234[[#This Row],[Asset Class]],tblInherentImpacts30[],2,FALSE)</f>
        <v/>
      </c>
      <c r="P77" s="29" t="str">
        <f>VLOOKUP(tblRiskRegister3234[[#This Row],[Asset Class]],tblInherentImpacts30[],3,FALSE)</f>
        <v/>
      </c>
      <c r="Q77" s="29" t="str">
        <f>VLOOKUP(tblRiskRegister3234[[#This Row],[Asset Class]],tblInherentImpacts30[],4,FALSE)</f>
        <v/>
      </c>
      <c r="R77" s="29" t="str">
        <f>VLOOKUP(tblRiskRegister3234[[#This Row],[Asset Class]],tblInherentImpacts30[],5,FALSE)</f>
        <v/>
      </c>
      <c r="S77" s="29" t="str">
        <f>IFERROR(MAX(tblRiskRegister3234[[#This Row],[Impact to Mission]:[Impact to Obligations]])*tblRiskRegister3234[[#This Row],[Expectancy Score]],"")</f>
        <v/>
      </c>
      <c r="T77" s="29" t="str">
        <f>tblRiskRegister3234[[#This Row],[Risk Score]]</f>
        <v/>
      </c>
      <c r="U77" s="100"/>
      <c r="V77" s="112" t="s">
        <v>563</v>
      </c>
      <c r="W77" s="44" t="s">
        <v>660</v>
      </c>
      <c r="X77" s="44" t="s">
        <v>768</v>
      </c>
      <c r="Y77" s="30"/>
      <c r="Z77" s="16"/>
      <c r="AA77" s="27" t="str">
        <f>IFERROR(VLOOKUP(10*tblRiskRegister3234[[#This Row],[Risk Treatment Safeguard Maturity Score]]+tblRiskRegister3234[[#This Row],[VCDB Index]],tblHITIndexWeightTable[],4,FALSE),"")</f>
        <v/>
      </c>
      <c r="AB77" s="138" t="str">
        <f>VLOOKUP(tblRiskRegister3234[[#This Row],[Asset Class]],tblInherentImpacts30[],2,FALSE)</f>
        <v/>
      </c>
      <c r="AC77" s="138" t="str">
        <f>VLOOKUP(tblRiskRegister3234[[#This Row],[Asset Class]],tblInherentImpacts30[],3,FALSE)</f>
        <v/>
      </c>
      <c r="AD77" s="138" t="str">
        <f>VLOOKUP(tblRiskRegister3234[[#This Row],[Asset Class]],tblInherentImpacts30[],4,FALSE)</f>
        <v/>
      </c>
      <c r="AE77" s="138" t="str">
        <f>VLOOKUP(tblRiskRegister3234[[#This Row],[Asset Class]],tblInherentImpacts30[],5,FALSE)</f>
        <v/>
      </c>
      <c r="AF77" s="138" t="str">
        <f>IFERROR(MAX(tblRiskRegister3234[[#This Row],[Risk Treatment Safeguard Impact to Mission]:[Risk Treatment Safeguard Impact to Obligations]])*tblRiskRegister3234[[#This Row],[Risk Treatment
Safeguard Expectancy Score]],"")</f>
        <v/>
      </c>
      <c r="AG77" s="138" t="str">
        <f>IF(tblRiskRegister3234[[#This Row],[Risk Score]]&gt;AcceptableRisk,IF(tblRiskRegister3234[[#This Row],[Risk Treatment Safeguard Risk Score]]&lt;AcceptableRisk, IF(tblRiskRegister3234[[#This Row],[Risk Treatment Safeguard Risk Score]]&lt;=tblRiskRegister3234[[#This Row],[Risk Score]],"Yes","No"),"No"),"Yes")</f>
        <v>No</v>
      </c>
      <c r="AH77" s="18"/>
      <c r="AI77" s="18"/>
      <c r="AJ77" s="19"/>
    </row>
    <row r="78" spans="2:36" ht="25.5" x14ac:dyDescent="0.2">
      <c r="B78" s="44" t="s">
        <v>135</v>
      </c>
      <c r="C78" s="44"/>
      <c r="D78" s="13" t="s">
        <v>564</v>
      </c>
      <c r="E78" s="14" t="s">
        <v>239</v>
      </c>
      <c r="F78" s="17"/>
      <c r="G78" s="17" t="s">
        <v>785</v>
      </c>
      <c r="H78" s="17" t="s">
        <v>930</v>
      </c>
      <c r="I78" s="147"/>
      <c r="J78" s="15"/>
      <c r="K78" s="15"/>
      <c r="L78" s="16"/>
      <c r="M78" s="26">
        <f>IFERROR(VLOOKUP(tblRiskRegister3234[[#This Row],[Asset Class]],tblVCDBIndex[],4,FALSE),"")</f>
        <v>3</v>
      </c>
      <c r="N78" s="29" t="str">
        <f>IFERROR(VLOOKUP(10*tblRiskRegister3234[[#This Row],[Safeguard Maturity Score]]+tblRiskRegister3234[[#This Row],[VCDB Index]],tblHITIndexWeightTable[],4,FALSE),"")</f>
        <v/>
      </c>
      <c r="O78" s="29" t="str">
        <f>VLOOKUP(tblRiskRegister3234[[#This Row],[Asset Class]],tblInherentImpacts30[],2,FALSE)</f>
        <v/>
      </c>
      <c r="P78" s="29" t="str">
        <f>VLOOKUP(tblRiskRegister3234[[#This Row],[Asset Class]],tblInherentImpacts30[],3,FALSE)</f>
        <v/>
      </c>
      <c r="Q78" s="29" t="str">
        <f>VLOOKUP(tblRiskRegister3234[[#This Row],[Asset Class]],tblInherentImpacts30[],4,FALSE)</f>
        <v/>
      </c>
      <c r="R78" s="29" t="str">
        <f>VLOOKUP(tblRiskRegister3234[[#This Row],[Asset Class]],tblInherentImpacts30[],5,FALSE)</f>
        <v/>
      </c>
      <c r="S78" s="29" t="str">
        <f>IFERROR(MAX(tblRiskRegister3234[[#This Row],[Impact to Mission]:[Impact to Obligations]])*tblRiskRegister3234[[#This Row],[Expectancy Score]],"")</f>
        <v/>
      </c>
      <c r="T78" s="29" t="str">
        <f>tblRiskRegister3234[[#This Row],[Risk Score]]</f>
        <v/>
      </c>
      <c r="U78" s="100"/>
      <c r="V78" s="112" t="s">
        <v>564</v>
      </c>
      <c r="W78" s="44" t="s">
        <v>239</v>
      </c>
      <c r="X78" s="44" t="s">
        <v>769</v>
      </c>
      <c r="Y78" s="30"/>
      <c r="Z78" s="16"/>
      <c r="AA78" s="27" t="str">
        <f>IFERROR(VLOOKUP(10*tblRiskRegister3234[[#This Row],[Risk Treatment Safeguard Maturity Score]]+tblRiskRegister3234[[#This Row],[VCDB Index]],tblHITIndexWeightTable[],4,FALSE),"")</f>
        <v/>
      </c>
      <c r="AB78" s="138" t="str">
        <f>VLOOKUP(tblRiskRegister3234[[#This Row],[Asset Class]],tblInherentImpacts30[],2,FALSE)</f>
        <v/>
      </c>
      <c r="AC78" s="138" t="str">
        <f>VLOOKUP(tblRiskRegister3234[[#This Row],[Asset Class]],tblInherentImpacts30[],3,FALSE)</f>
        <v/>
      </c>
      <c r="AD78" s="138" t="str">
        <f>VLOOKUP(tblRiskRegister3234[[#This Row],[Asset Class]],tblInherentImpacts30[],4,FALSE)</f>
        <v/>
      </c>
      <c r="AE78" s="138" t="str">
        <f>VLOOKUP(tblRiskRegister3234[[#This Row],[Asset Class]],tblInherentImpacts30[],5,FALSE)</f>
        <v/>
      </c>
      <c r="AF78" s="138" t="str">
        <f>IFERROR(MAX(tblRiskRegister3234[[#This Row],[Risk Treatment Safeguard Impact to Mission]:[Risk Treatment Safeguard Impact to Obligations]])*tblRiskRegister3234[[#This Row],[Risk Treatment
Safeguard Expectancy Score]],"")</f>
        <v/>
      </c>
      <c r="AG78" s="138" t="str">
        <f>IF(tblRiskRegister3234[[#This Row],[Risk Score]]&gt;AcceptableRisk,IF(tblRiskRegister3234[[#This Row],[Risk Treatment Safeguard Risk Score]]&lt;AcceptableRisk, IF(tblRiskRegister3234[[#This Row],[Risk Treatment Safeguard Risk Score]]&lt;=tblRiskRegister3234[[#This Row],[Risk Score]],"Yes","No"),"No"),"Yes")</f>
        <v>No</v>
      </c>
      <c r="AH78" s="18"/>
      <c r="AI78" s="18"/>
      <c r="AJ78" s="19"/>
    </row>
    <row r="79" spans="2:36" ht="89.25" x14ac:dyDescent="0.2">
      <c r="B79" s="44" t="s">
        <v>135</v>
      </c>
      <c r="C79" s="44"/>
      <c r="D79" s="117">
        <v>18.100000000000001</v>
      </c>
      <c r="E79" s="14" t="s">
        <v>661</v>
      </c>
      <c r="F79" s="17"/>
      <c r="G79" s="17" t="s">
        <v>785</v>
      </c>
      <c r="H79" s="17" t="s">
        <v>930</v>
      </c>
      <c r="I79" s="147"/>
      <c r="J79" s="15"/>
      <c r="K79" s="15"/>
      <c r="L79" s="16"/>
      <c r="M79" s="26">
        <f>IFERROR(VLOOKUP(tblRiskRegister3234[[#This Row],[Asset Class]],tblVCDBIndex[],4,FALSE),"")</f>
        <v>3</v>
      </c>
      <c r="N79" s="29" t="str">
        <f>IFERROR(VLOOKUP(10*tblRiskRegister3234[[#This Row],[Safeguard Maturity Score]]+tblRiskRegister3234[[#This Row],[VCDB Index]],tblHITIndexWeightTable[],4,FALSE),"")</f>
        <v/>
      </c>
      <c r="O79" s="29" t="str">
        <f>VLOOKUP(tblRiskRegister3234[[#This Row],[Asset Class]],tblInherentImpacts30[],2,FALSE)</f>
        <v/>
      </c>
      <c r="P79" s="29" t="str">
        <f>VLOOKUP(tblRiskRegister3234[[#This Row],[Asset Class]],tblInherentImpacts30[],3,FALSE)</f>
        <v/>
      </c>
      <c r="Q79" s="29" t="str">
        <f>VLOOKUP(tblRiskRegister3234[[#This Row],[Asset Class]],tblInherentImpacts30[],4,FALSE)</f>
        <v/>
      </c>
      <c r="R79" s="29" t="str">
        <f>VLOOKUP(tblRiskRegister3234[[#This Row],[Asset Class]],tblInherentImpacts30[],5,FALSE)</f>
        <v/>
      </c>
      <c r="S79" s="29" t="str">
        <f>IFERROR(MAX(tblRiskRegister3234[[#This Row],[Impact to Mission]:[Impact to Obligations]])*tblRiskRegister3234[[#This Row],[Expectancy Score]],"")</f>
        <v/>
      </c>
      <c r="T79" s="29" t="str">
        <f>tblRiskRegister3234[[#This Row],[Risk Score]]</f>
        <v/>
      </c>
      <c r="U79" s="100"/>
      <c r="V79" s="112">
        <v>18.100000000000001</v>
      </c>
      <c r="W79" s="44" t="s">
        <v>661</v>
      </c>
      <c r="X79" s="44" t="s">
        <v>770</v>
      </c>
      <c r="Y79" s="30"/>
      <c r="Z79" s="16"/>
      <c r="AA79" s="27" t="str">
        <f>IFERROR(VLOOKUP(10*tblRiskRegister3234[[#This Row],[Risk Treatment Safeguard Maturity Score]]+tblRiskRegister3234[[#This Row],[VCDB Index]],tblHITIndexWeightTable[],4,FALSE),"")</f>
        <v/>
      </c>
      <c r="AB79" s="138" t="str">
        <f>VLOOKUP(tblRiskRegister3234[[#This Row],[Asset Class]],tblInherentImpacts30[],2,FALSE)</f>
        <v/>
      </c>
      <c r="AC79" s="138" t="str">
        <f>VLOOKUP(tblRiskRegister3234[[#This Row],[Asset Class]],tblInherentImpacts30[],3,FALSE)</f>
        <v/>
      </c>
      <c r="AD79" s="138" t="str">
        <f>VLOOKUP(tblRiskRegister3234[[#This Row],[Asset Class]],tblInherentImpacts30[],4,FALSE)</f>
        <v/>
      </c>
      <c r="AE79" s="138" t="str">
        <f>VLOOKUP(tblRiskRegister3234[[#This Row],[Asset Class]],tblInherentImpacts30[],5,FALSE)</f>
        <v/>
      </c>
      <c r="AF79" s="138" t="str">
        <f>IFERROR(MAX(tblRiskRegister3234[[#This Row],[Risk Treatment Safeguard Impact to Mission]:[Risk Treatment Safeguard Impact to Obligations]])*tblRiskRegister3234[[#This Row],[Risk Treatment
Safeguard Expectancy Score]],"")</f>
        <v/>
      </c>
      <c r="AG79" s="138" t="str">
        <f>IF(tblRiskRegister3234[[#This Row],[Risk Score]]&gt;AcceptableRisk,IF(tblRiskRegister3234[[#This Row],[Risk Treatment Safeguard Risk Score]]&lt;AcceptableRisk, IF(tblRiskRegister3234[[#This Row],[Risk Treatment Safeguard Risk Score]]&lt;=tblRiskRegister3234[[#This Row],[Risk Score]],"Yes","No"),"No"),"Yes")</f>
        <v>No</v>
      </c>
      <c r="AH79" s="18"/>
      <c r="AI79" s="18"/>
      <c r="AJ79" s="19"/>
    </row>
    <row r="80" spans="2:36" ht="38.25" x14ac:dyDescent="0.2">
      <c r="B80" s="44" t="s">
        <v>135</v>
      </c>
      <c r="C80" s="44"/>
      <c r="D80" s="13">
        <v>18.11</v>
      </c>
      <c r="E80" s="44" t="s">
        <v>662</v>
      </c>
      <c r="F80" s="112"/>
      <c r="G80" s="112" t="s">
        <v>785</v>
      </c>
      <c r="H80" s="112" t="s">
        <v>930</v>
      </c>
      <c r="I80" s="243"/>
      <c r="J80" s="44"/>
      <c r="K80" s="44"/>
      <c r="L80" s="16"/>
      <c r="M80" s="26">
        <f>IFERROR(VLOOKUP(tblRiskRegister3234[[#This Row],[Asset Class]],tblVCDBIndex[],4,FALSE),"")</f>
        <v>3</v>
      </c>
      <c r="N80" s="29" t="str">
        <f>IFERROR(VLOOKUP(10*tblRiskRegister3234[[#This Row],[Safeguard Maturity Score]]+tblRiskRegister3234[[#This Row],[VCDB Index]],tblHITIndexWeightTable[],4,FALSE),"")</f>
        <v/>
      </c>
      <c r="O80" s="29" t="str">
        <f>VLOOKUP(tblRiskRegister3234[[#This Row],[Asset Class]],tblInherentImpacts30[],2,FALSE)</f>
        <v/>
      </c>
      <c r="P80" s="29" t="str">
        <f>VLOOKUP(tblRiskRegister3234[[#This Row],[Asset Class]],tblInherentImpacts30[],3,FALSE)</f>
        <v/>
      </c>
      <c r="Q80" s="29" t="str">
        <f>VLOOKUP(tblRiskRegister3234[[#This Row],[Asset Class]],tblInherentImpacts30[],4,FALSE)</f>
        <v/>
      </c>
      <c r="R80" s="29" t="str">
        <f>VLOOKUP(tblRiskRegister3234[[#This Row],[Asset Class]],tblInherentImpacts30[],5,FALSE)</f>
        <v/>
      </c>
      <c r="S80" s="29" t="str">
        <f>IFERROR(MAX(tblRiskRegister3234[[#This Row],[Impact to Mission]:[Impact to Obligations]])*tblRiskRegister3234[[#This Row],[Expectancy Score]],"")</f>
        <v/>
      </c>
      <c r="T80" s="29" t="str">
        <f>tblRiskRegister3234[[#This Row],[Risk Score]]</f>
        <v/>
      </c>
      <c r="U80" s="100"/>
      <c r="V80" s="112">
        <v>18.11</v>
      </c>
      <c r="W80" s="44" t="s">
        <v>662</v>
      </c>
      <c r="X80" s="44" t="s">
        <v>771</v>
      </c>
      <c r="Y80" s="30"/>
      <c r="Z80" s="16"/>
      <c r="AA80" s="27" t="str">
        <f>IFERROR(VLOOKUP(10*tblRiskRegister3234[[#This Row],[Risk Treatment Safeguard Maturity Score]]+tblRiskRegister3234[[#This Row],[VCDB Index]],tblHITIndexWeightTable[],4,FALSE),"")</f>
        <v/>
      </c>
      <c r="AB80" s="138" t="str">
        <f>VLOOKUP(tblRiskRegister3234[[#This Row],[Asset Class]],tblInherentImpacts30[],2,FALSE)</f>
        <v/>
      </c>
      <c r="AC80" s="138" t="str">
        <f>VLOOKUP(tblRiskRegister3234[[#This Row],[Asset Class]],tblInherentImpacts30[],3,FALSE)</f>
        <v/>
      </c>
      <c r="AD80" s="138" t="str">
        <f>VLOOKUP(tblRiskRegister3234[[#This Row],[Asset Class]],tblInherentImpacts30[],4,FALSE)</f>
        <v/>
      </c>
      <c r="AE80" s="138" t="str">
        <f>VLOOKUP(tblRiskRegister3234[[#This Row],[Asset Class]],tblInherentImpacts30[],5,FALSE)</f>
        <v/>
      </c>
      <c r="AF80" s="138" t="str">
        <f>IFERROR(MAX(tblRiskRegister3234[[#This Row],[Risk Treatment Safeguard Impact to Mission]:[Risk Treatment Safeguard Impact to Obligations]])*tblRiskRegister3234[[#This Row],[Risk Treatment
Safeguard Expectancy Score]],"")</f>
        <v/>
      </c>
      <c r="AG80" s="138" t="str">
        <f>IF(tblRiskRegister3234[[#This Row],[Risk Score]]&gt;AcceptableRisk,IF(tblRiskRegister3234[[#This Row],[Risk Treatment Safeguard Risk Score]]&lt;AcceptableRisk, IF(tblRiskRegister3234[[#This Row],[Risk Treatment Safeguard Risk Score]]&lt;=tblRiskRegister3234[[#This Row],[Risk Score]],"Yes","No"),"No"),"Yes")</f>
        <v>No</v>
      </c>
      <c r="AH80" s="18"/>
      <c r="AI80" s="18"/>
      <c r="AJ80" s="19"/>
    </row>
    <row r="81" spans="2:36" ht="25.5" x14ac:dyDescent="0.2">
      <c r="B81" s="44" t="s">
        <v>135</v>
      </c>
      <c r="C81" s="44"/>
      <c r="D81" s="13" t="s">
        <v>565</v>
      </c>
      <c r="E81" s="44" t="s">
        <v>41</v>
      </c>
      <c r="F81" s="112" t="s">
        <v>785</v>
      </c>
      <c r="G81" s="112" t="s">
        <v>785</v>
      </c>
      <c r="H81" s="112" t="s">
        <v>930</v>
      </c>
      <c r="I81" s="243"/>
      <c r="J81" s="44"/>
      <c r="K81" s="44"/>
      <c r="L81" s="16"/>
      <c r="M81" s="26">
        <f>IFERROR(VLOOKUP(tblRiskRegister3234[[#This Row],[Asset Class]],tblVCDBIndex[],4,FALSE),"")</f>
        <v>3</v>
      </c>
      <c r="N81" s="29" t="str">
        <f>IFERROR(VLOOKUP(10*tblRiskRegister3234[[#This Row],[Safeguard Maturity Score]]+tblRiskRegister3234[[#This Row],[VCDB Index]],tblHITIndexWeightTable[],4,FALSE),"")</f>
        <v/>
      </c>
      <c r="O81" s="29" t="str">
        <f>VLOOKUP(tblRiskRegister3234[[#This Row],[Asset Class]],tblInherentImpacts30[],2,FALSE)</f>
        <v/>
      </c>
      <c r="P81" s="29" t="str">
        <f>VLOOKUP(tblRiskRegister3234[[#This Row],[Asset Class]],tblInherentImpacts30[],3,FALSE)</f>
        <v/>
      </c>
      <c r="Q81" s="29" t="str">
        <f>VLOOKUP(tblRiskRegister3234[[#This Row],[Asset Class]],tblInherentImpacts30[],4,FALSE)</f>
        <v/>
      </c>
      <c r="R81" s="29" t="str">
        <f>VLOOKUP(tblRiskRegister3234[[#This Row],[Asset Class]],tblInherentImpacts30[],5,FALSE)</f>
        <v/>
      </c>
      <c r="S81" s="29" t="str">
        <f>IFERROR(MAX(tblRiskRegister3234[[#This Row],[Impact to Mission]:[Impact to Obligations]])*tblRiskRegister3234[[#This Row],[Expectancy Score]],"")</f>
        <v/>
      </c>
      <c r="T81" s="29" t="str">
        <f>tblRiskRegister3234[[#This Row],[Risk Score]]</f>
        <v/>
      </c>
      <c r="U81" s="100"/>
      <c r="V81" s="112" t="s">
        <v>565</v>
      </c>
      <c r="W81" s="44" t="s">
        <v>41</v>
      </c>
      <c r="X81" s="44" t="s">
        <v>405</v>
      </c>
      <c r="Y81" s="30"/>
      <c r="Z81" s="16"/>
      <c r="AA81" s="27" t="str">
        <f>IFERROR(VLOOKUP(10*tblRiskRegister3234[[#This Row],[Risk Treatment Safeguard Maturity Score]]+tblRiskRegister3234[[#This Row],[VCDB Index]],tblHITIndexWeightTable[],4,FALSE),"")</f>
        <v/>
      </c>
      <c r="AB81" s="138" t="str">
        <f>VLOOKUP(tblRiskRegister3234[[#This Row],[Asset Class]],tblInherentImpacts30[],2,FALSE)</f>
        <v/>
      </c>
      <c r="AC81" s="138" t="str">
        <f>VLOOKUP(tblRiskRegister3234[[#This Row],[Asset Class]],tblInherentImpacts30[],3,FALSE)</f>
        <v/>
      </c>
      <c r="AD81" s="138" t="str">
        <f>VLOOKUP(tblRiskRegister3234[[#This Row],[Asset Class]],tblInherentImpacts30[],4,FALSE)</f>
        <v/>
      </c>
      <c r="AE81" s="138" t="str">
        <f>VLOOKUP(tblRiskRegister3234[[#This Row],[Asset Class]],tblInherentImpacts30[],5,FALSE)</f>
        <v/>
      </c>
      <c r="AF81" s="138" t="str">
        <f>IFERROR(MAX(tblRiskRegister3234[[#This Row],[Risk Treatment Safeguard Impact to Mission]:[Risk Treatment Safeguard Impact to Obligations]])*tblRiskRegister3234[[#This Row],[Risk Treatment
Safeguard Expectancy Score]],"")</f>
        <v/>
      </c>
      <c r="AG81" s="138" t="str">
        <f>IF(tblRiskRegister3234[[#This Row],[Risk Score]]&gt;AcceptableRisk,IF(tblRiskRegister3234[[#This Row],[Risk Treatment Safeguard Risk Score]]&lt;AcceptableRisk, IF(tblRiskRegister3234[[#This Row],[Risk Treatment Safeguard Risk Score]]&lt;=tblRiskRegister3234[[#This Row],[Risk Score]],"Yes","No"),"No"),"Yes")</f>
        <v>No</v>
      </c>
      <c r="AH81" s="18"/>
      <c r="AI81" s="18"/>
      <c r="AJ81" s="19"/>
    </row>
    <row r="82" spans="2:36" ht="38.25" x14ac:dyDescent="0.2">
      <c r="B82" s="44" t="s">
        <v>135</v>
      </c>
      <c r="C82" s="44"/>
      <c r="D82" s="13" t="s">
        <v>566</v>
      </c>
      <c r="E82" s="44" t="s">
        <v>663</v>
      </c>
      <c r="F82" s="112"/>
      <c r="G82" s="112" t="s">
        <v>785</v>
      </c>
      <c r="H82" s="112" t="s">
        <v>930</v>
      </c>
      <c r="I82" s="243"/>
      <c r="J82" s="44"/>
      <c r="K82" s="44"/>
      <c r="L82" s="16"/>
      <c r="M82" s="26">
        <f>IFERROR(VLOOKUP(tblRiskRegister3234[[#This Row],[Asset Class]],tblVCDBIndex[],4,FALSE),"")</f>
        <v>3</v>
      </c>
      <c r="N82" s="29" t="str">
        <f>IFERROR(VLOOKUP(10*tblRiskRegister3234[[#This Row],[Safeguard Maturity Score]]+tblRiskRegister3234[[#This Row],[VCDB Index]],tblHITIndexWeightTable[],4,FALSE),"")</f>
        <v/>
      </c>
      <c r="O82" s="29" t="str">
        <f>VLOOKUP(tblRiskRegister3234[[#This Row],[Asset Class]],tblInherentImpacts30[],2,FALSE)</f>
        <v/>
      </c>
      <c r="P82" s="29" t="str">
        <f>VLOOKUP(tblRiskRegister3234[[#This Row],[Asset Class]],tblInherentImpacts30[],3,FALSE)</f>
        <v/>
      </c>
      <c r="Q82" s="29" t="str">
        <f>VLOOKUP(tblRiskRegister3234[[#This Row],[Asset Class]],tblInherentImpacts30[],4,FALSE)</f>
        <v/>
      </c>
      <c r="R82" s="29" t="str">
        <f>VLOOKUP(tblRiskRegister3234[[#This Row],[Asset Class]],tblInherentImpacts30[],5,FALSE)</f>
        <v/>
      </c>
      <c r="S82" s="29" t="str">
        <f>IFERROR(MAX(tblRiskRegister3234[[#This Row],[Impact to Mission]:[Impact to Obligations]])*tblRiskRegister3234[[#This Row],[Expectancy Score]],"")</f>
        <v/>
      </c>
      <c r="T82" s="29" t="str">
        <f>tblRiskRegister3234[[#This Row],[Risk Score]]</f>
        <v/>
      </c>
      <c r="U82" s="100"/>
      <c r="V82" s="112" t="s">
        <v>566</v>
      </c>
      <c r="W82" s="44" t="s">
        <v>663</v>
      </c>
      <c r="X82" s="44" t="s">
        <v>772</v>
      </c>
      <c r="Y82" s="30"/>
      <c r="Z82" s="16"/>
      <c r="AA82" s="27" t="str">
        <f>IFERROR(VLOOKUP(10*tblRiskRegister3234[[#This Row],[Risk Treatment Safeguard Maturity Score]]+tblRiskRegister3234[[#This Row],[VCDB Index]],tblHITIndexWeightTable[],4,FALSE),"")</f>
        <v/>
      </c>
      <c r="AB82" s="138" t="str">
        <f>VLOOKUP(tblRiskRegister3234[[#This Row],[Asset Class]],tblInherentImpacts30[],2,FALSE)</f>
        <v/>
      </c>
      <c r="AC82" s="138" t="str">
        <f>VLOOKUP(tblRiskRegister3234[[#This Row],[Asset Class]],tblInherentImpacts30[],3,FALSE)</f>
        <v/>
      </c>
      <c r="AD82" s="138" t="str">
        <f>VLOOKUP(tblRiskRegister3234[[#This Row],[Asset Class]],tblInherentImpacts30[],4,FALSE)</f>
        <v/>
      </c>
      <c r="AE82" s="138" t="str">
        <f>VLOOKUP(tblRiskRegister3234[[#This Row],[Asset Class]],tblInherentImpacts30[],5,FALSE)</f>
        <v/>
      </c>
      <c r="AF82" s="138" t="str">
        <f>IFERROR(MAX(tblRiskRegister3234[[#This Row],[Risk Treatment Safeguard Impact to Mission]:[Risk Treatment Safeguard Impact to Obligations]])*tblRiskRegister3234[[#This Row],[Risk Treatment
Safeguard Expectancy Score]],"")</f>
        <v/>
      </c>
      <c r="AG82" s="138" t="str">
        <f>IF(tblRiskRegister3234[[#This Row],[Risk Score]]&gt;AcceptableRisk,IF(tblRiskRegister3234[[#This Row],[Risk Treatment Safeguard Risk Score]]&lt;AcceptableRisk, IF(tblRiskRegister3234[[#This Row],[Risk Treatment Safeguard Risk Score]]&lt;=tblRiskRegister3234[[#This Row],[Risk Score]],"Yes","No"),"No"),"Yes")</f>
        <v>No</v>
      </c>
      <c r="AH82" s="18"/>
      <c r="AI82" s="18"/>
      <c r="AJ82" s="19"/>
    </row>
    <row r="83" spans="2:36" ht="25.5" x14ac:dyDescent="0.2">
      <c r="B83" s="44" t="s">
        <v>135</v>
      </c>
      <c r="C83" s="44"/>
      <c r="D83" s="13" t="s">
        <v>567</v>
      </c>
      <c r="E83" s="44" t="s">
        <v>42</v>
      </c>
      <c r="F83" s="112" t="s">
        <v>785</v>
      </c>
      <c r="G83" s="112" t="s">
        <v>785</v>
      </c>
      <c r="H83" s="112" t="s">
        <v>930</v>
      </c>
      <c r="I83" s="243"/>
      <c r="J83" s="44"/>
      <c r="K83" s="44"/>
      <c r="L83" s="16"/>
      <c r="M83" s="26">
        <f>IFERROR(VLOOKUP(tblRiskRegister3234[[#This Row],[Asset Class]],tblVCDBIndex[],4,FALSE),"")</f>
        <v>3</v>
      </c>
      <c r="N83" s="29" t="str">
        <f>IFERROR(VLOOKUP(10*tblRiskRegister3234[[#This Row],[Safeguard Maturity Score]]+tblRiskRegister3234[[#This Row],[VCDB Index]],tblHITIndexWeightTable[],4,FALSE),"")</f>
        <v/>
      </c>
      <c r="O83" s="29" t="str">
        <f>VLOOKUP(tblRiskRegister3234[[#This Row],[Asset Class]],tblInherentImpacts30[],2,FALSE)</f>
        <v/>
      </c>
      <c r="P83" s="29" t="str">
        <f>VLOOKUP(tblRiskRegister3234[[#This Row],[Asset Class]],tblInherentImpacts30[],3,FALSE)</f>
        <v/>
      </c>
      <c r="Q83" s="29" t="str">
        <f>VLOOKUP(tblRiskRegister3234[[#This Row],[Asset Class]],tblInherentImpacts30[],4,FALSE)</f>
        <v/>
      </c>
      <c r="R83" s="29" t="str">
        <f>VLOOKUP(tblRiskRegister3234[[#This Row],[Asset Class]],tblInherentImpacts30[],5,FALSE)</f>
        <v/>
      </c>
      <c r="S83" s="29" t="str">
        <f>IFERROR(MAX(tblRiskRegister3234[[#This Row],[Impact to Mission]:[Impact to Obligations]])*tblRiskRegister3234[[#This Row],[Expectancy Score]],"")</f>
        <v/>
      </c>
      <c r="T83" s="29" t="str">
        <f>tblRiskRegister3234[[#This Row],[Risk Score]]</f>
        <v/>
      </c>
      <c r="U83" s="100"/>
      <c r="V83" s="112" t="s">
        <v>567</v>
      </c>
      <c r="W83" s="44" t="s">
        <v>42</v>
      </c>
      <c r="X83" s="44" t="s">
        <v>179</v>
      </c>
      <c r="Y83" s="30"/>
      <c r="Z83" s="16"/>
      <c r="AA83" s="27" t="str">
        <f>IFERROR(VLOOKUP(10*tblRiskRegister3234[[#This Row],[Risk Treatment Safeguard Maturity Score]]+tblRiskRegister3234[[#This Row],[VCDB Index]],tblHITIndexWeightTable[],4,FALSE),"")</f>
        <v/>
      </c>
      <c r="AB83" s="138" t="str">
        <f>VLOOKUP(tblRiskRegister3234[[#This Row],[Asset Class]],tblInherentImpacts30[],2,FALSE)</f>
        <v/>
      </c>
      <c r="AC83" s="138" t="str">
        <f>VLOOKUP(tblRiskRegister3234[[#This Row],[Asset Class]],tblInherentImpacts30[],3,FALSE)</f>
        <v/>
      </c>
      <c r="AD83" s="138" t="str">
        <f>VLOOKUP(tblRiskRegister3234[[#This Row],[Asset Class]],tblInherentImpacts30[],4,FALSE)</f>
        <v/>
      </c>
      <c r="AE83" s="138" t="str">
        <f>VLOOKUP(tblRiskRegister3234[[#This Row],[Asset Class]],tblInherentImpacts30[],5,FALSE)</f>
        <v/>
      </c>
      <c r="AF83" s="138" t="str">
        <f>IFERROR(MAX(tblRiskRegister3234[[#This Row],[Risk Treatment Safeguard Impact to Mission]:[Risk Treatment Safeguard Impact to Obligations]])*tblRiskRegister3234[[#This Row],[Risk Treatment
Safeguard Expectancy Score]],"")</f>
        <v/>
      </c>
      <c r="AG83" s="138" t="str">
        <f>IF(tblRiskRegister3234[[#This Row],[Risk Score]]&gt;AcceptableRisk,IF(tblRiskRegister3234[[#This Row],[Risk Treatment Safeguard Risk Score]]&lt;AcceptableRisk, IF(tblRiskRegister3234[[#This Row],[Risk Treatment Safeguard Risk Score]]&lt;=tblRiskRegister3234[[#This Row],[Risk Score]],"Yes","No"),"No"),"Yes")</f>
        <v>No</v>
      </c>
      <c r="AH83" s="18"/>
      <c r="AI83" s="18"/>
      <c r="AJ83" s="19"/>
    </row>
    <row r="84" spans="2:36" ht="51" x14ac:dyDescent="0.2">
      <c r="B84" s="44" t="s">
        <v>135</v>
      </c>
      <c r="C84" s="44"/>
      <c r="D84" s="13" t="s">
        <v>568</v>
      </c>
      <c r="E84" s="44" t="s">
        <v>664</v>
      </c>
      <c r="F84" s="112"/>
      <c r="G84" s="112" t="s">
        <v>785</v>
      </c>
      <c r="H84" s="112" t="s">
        <v>930</v>
      </c>
      <c r="I84" s="243"/>
      <c r="J84" s="44"/>
      <c r="K84" s="44"/>
      <c r="L84" s="16"/>
      <c r="M84" s="26">
        <f>IFERROR(VLOOKUP(tblRiskRegister3234[[#This Row],[Asset Class]],tblVCDBIndex[],4,FALSE),"")</f>
        <v>3</v>
      </c>
      <c r="N84" s="29" t="str">
        <f>IFERROR(VLOOKUP(10*tblRiskRegister3234[[#This Row],[Safeguard Maturity Score]]+tblRiskRegister3234[[#This Row],[VCDB Index]],tblHITIndexWeightTable[],4,FALSE),"")</f>
        <v/>
      </c>
      <c r="O84" s="29" t="str">
        <f>VLOOKUP(tblRiskRegister3234[[#This Row],[Asset Class]],tblInherentImpacts30[],2,FALSE)</f>
        <v/>
      </c>
      <c r="P84" s="29" t="str">
        <f>VLOOKUP(tblRiskRegister3234[[#This Row],[Asset Class]],tblInherentImpacts30[],3,FALSE)</f>
        <v/>
      </c>
      <c r="Q84" s="29" t="str">
        <f>VLOOKUP(tblRiskRegister3234[[#This Row],[Asset Class]],tblInherentImpacts30[],4,FALSE)</f>
        <v/>
      </c>
      <c r="R84" s="29" t="str">
        <f>VLOOKUP(tblRiskRegister3234[[#This Row],[Asset Class]],tblInherentImpacts30[],5,FALSE)</f>
        <v/>
      </c>
      <c r="S84" s="29" t="str">
        <f>IFERROR(MAX(tblRiskRegister3234[[#This Row],[Impact to Mission]:[Impact to Obligations]])*tblRiskRegister3234[[#This Row],[Expectancy Score]],"")</f>
        <v/>
      </c>
      <c r="T84" s="29" t="str">
        <f>tblRiskRegister3234[[#This Row],[Risk Score]]</f>
        <v/>
      </c>
      <c r="U84" s="100"/>
      <c r="V84" s="112" t="s">
        <v>568</v>
      </c>
      <c r="W84" s="44" t="s">
        <v>664</v>
      </c>
      <c r="X84" s="44" t="s">
        <v>773</v>
      </c>
      <c r="Y84" s="30"/>
      <c r="Z84" s="16"/>
      <c r="AA84" s="27" t="str">
        <f>IFERROR(VLOOKUP(10*tblRiskRegister3234[[#This Row],[Risk Treatment Safeguard Maturity Score]]+tblRiskRegister3234[[#This Row],[VCDB Index]],tblHITIndexWeightTable[],4,FALSE),"")</f>
        <v/>
      </c>
      <c r="AB84" s="138" t="str">
        <f>VLOOKUP(tblRiskRegister3234[[#This Row],[Asset Class]],tblInherentImpacts30[],2,FALSE)</f>
        <v/>
      </c>
      <c r="AC84" s="138" t="str">
        <f>VLOOKUP(tblRiskRegister3234[[#This Row],[Asset Class]],tblInherentImpacts30[],3,FALSE)</f>
        <v/>
      </c>
      <c r="AD84" s="138" t="str">
        <f>VLOOKUP(tblRiskRegister3234[[#This Row],[Asset Class]],tblInherentImpacts30[],4,FALSE)</f>
        <v/>
      </c>
      <c r="AE84" s="138" t="str">
        <f>VLOOKUP(tblRiskRegister3234[[#This Row],[Asset Class]],tblInherentImpacts30[],5,FALSE)</f>
        <v/>
      </c>
      <c r="AF84" s="138" t="str">
        <f>IFERROR(MAX(tblRiskRegister3234[[#This Row],[Risk Treatment Safeguard Impact to Mission]:[Risk Treatment Safeguard Impact to Obligations]])*tblRiskRegister3234[[#This Row],[Risk Treatment
Safeguard Expectancy Score]],"")</f>
        <v/>
      </c>
      <c r="AG84" s="138" t="str">
        <f>IF(tblRiskRegister3234[[#This Row],[Risk Score]]&gt;AcceptableRisk,IF(tblRiskRegister3234[[#This Row],[Risk Treatment Safeguard Risk Score]]&lt;AcceptableRisk, IF(tblRiskRegister3234[[#This Row],[Risk Treatment Safeguard Risk Score]]&lt;=tblRiskRegister3234[[#This Row],[Risk Score]],"Yes","No"),"No"),"Yes")</f>
        <v>No</v>
      </c>
      <c r="AH84" s="18"/>
      <c r="AI84" s="18"/>
      <c r="AJ84" s="19"/>
    </row>
    <row r="85" spans="2:36" ht="51" x14ac:dyDescent="0.2">
      <c r="B85" s="44" t="s">
        <v>135</v>
      </c>
      <c r="C85" s="44"/>
      <c r="D85" s="13" t="s">
        <v>569</v>
      </c>
      <c r="E85" s="44" t="s">
        <v>43</v>
      </c>
      <c r="F85" s="112" t="s">
        <v>785</v>
      </c>
      <c r="G85" s="112" t="s">
        <v>785</v>
      </c>
      <c r="H85" s="112" t="s">
        <v>930</v>
      </c>
      <c r="I85" s="243"/>
      <c r="J85" s="44"/>
      <c r="K85" s="44"/>
      <c r="L85" s="16"/>
      <c r="M85" s="26">
        <f>IFERROR(VLOOKUP(tblRiskRegister3234[[#This Row],[Asset Class]],tblVCDBIndex[],4,FALSE),"")</f>
        <v>3</v>
      </c>
      <c r="N85" s="29" t="str">
        <f>IFERROR(VLOOKUP(10*tblRiskRegister3234[[#This Row],[Safeguard Maturity Score]]+tblRiskRegister3234[[#This Row],[VCDB Index]],tblHITIndexWeightTable[],4,FALSE),"")</f>
        <v/>
      </c>
      <c r="O85" s="29" t="str">
        <f>VLOOKUP(tblRiskRegister3234[[#This Row],[Asset Class]],tblInherentImpacts30[],2,FALSE)</f>
        <v/>
      </c>
      <c r="P85" s="29" t="str">
        <f>VLOOKUP(tblRiskRegister3234[[#This Row],[Asset Class]],tblInherentImpacts30[],3,FALSE)</f>
        <v/>
      </c>
      <c r="Q85" s="29" t="str">
        <f>VLOOKUP(tblRiskRegister3234[[#This Row],[Asset Class]],tblInherentImpacts30[],4,FALSE)</f>
        <v/>
      </c>
      <c r="R85" s="29" t="str">
        <f>VLOOKUP(tblRiskRegister3234[[#This Row],[Asset Class]],tblInherentImpacts30[],5,FALSE)</f>
        <v/>
      </c>
      <c r="S85" s="29" t="str">
        <f>IFERROR(MAX(tblRiskRegister3234[[#This Row],[Impact to Mission]:[Impact to Obligations]])*tblRiskRegister3234[[#This Row],[Expectancy Score]],"")</f>
        <v/>
      </c>
      <c r="T85" s="29" t="str">
        <f>tblRiskRegister3234[[#This Row],[Risk Score]]</f>
        <v/>
      </c>
      <c r="U85" s="100"/>
      <c r="V85" s="112" t="s">
        <v>569</v>
      </c>
      <c r="W85" s="44" t="s">
        <v>43</v>
      </c>
      <c r="X85" s="44" t="s">
        <v>774</v>
      </c>
      <c r="Y85" s="30"/>
      <c r="Z85" s="16"/>
      <c r="AA85" s="27" t="str">
        <f>IFERROR(VLOOKUP(10*tblRiskRegister3234[[#This Row],[Risk Treatment Safeguard Maturity Score]]+tblRiskRegister3234[[#This Row],[VCDB Index]],tblHITIndexWeightTable[],4,FALSE),"")</f>
        <v/>
      </c>
      <c r="AB85" s="138" t="str">
        <f>VLOOKUP(tblRiskRegister3234[[#This Row],[Asset Class]],tblInherentImpacts30[],2,FALSE)</f>
        <v/>
      </c>
      <c r="AC85" s="138" t="str">
        <f>VLOOKUP(tblRiskRegister3234[[#This Row],[Asset Class]],tblInherentImpacts30[],3,FALSE)</f>
        <v/>
      </c>
      <c r="AD85" s="138" t="str">
        <f>VLOOKUP(tblRiskRegister3234[[#This Row],[Asset Class]],tblInherentImpacts30[],4,FALSE)</f>
        <v/>
      </c>
      <c r="AE85" s="138" t="str">
        <f>VLOOKUP(tblRiskRegister3234[[#This Row],[Asset Class]],tblInherentImpacts30[],5,FALSE)</f>
        <v/>
      </c>
      <c r="AF85" s="138" t="str">
        <f>IFERROR(MAX(tblRiskRegister3234[[#This Row],[Risk Treatment Safeguard Impact to Mission]:[Risk Treatment Safeguard Impact to Obligations]])*tblRiskRegister3234[[#This Row],[Risk Treatment
Safeguard Expectancy Score]],"")</f>
        <v/>
      </c>
      <c r="AG85" s="138" t="str">
        <f>IF(tblRiskRegister3234[[#This Row],[Risk Score]]&gt;AcceptableRisk,IF(tblRiskRegister3234[[#This Row],[Risk Treatment Safeguard Risk Score]]&lt;AcceptableRisk, IF(tblRiskRegister3234[[#This Row],[Risk Treatment Safeguard Risk Score]]&lt;=tblRiskRegister3234[[#This Row],[Risk Score]],"Yes","No"),"No"),"Yes")</f>
        <v>No</v>
      </c>
      <c r="AH85" s="18"/>
      <c r="AI85" s="18"/>
      <c r="AJ85" s="19"/>
    </row>
    <row r="86" spans="2:36" ht="38.25" x14ac:dyDescent="0.2">
      <c r="B86" s="44" t="s">
        <v>135</v>
      </c>
      <c r="C86" s="44"/>
      <c r="D86" s="13" t="s">
        <v>570</v>
      </c>
      <c r="E86" s="44" t="s">
        <v>44</v>
      </c>
      <c r="F86" s="112" t="s">
        <v>785</v>
      </c>
      <c r="G86" s="112" t="s">
        <v>785</v>
      </c>
      <c r="H86" s="112" t="s">
        <v>930</v>
      </c>
      <c r="I86" s="243"/>
      <c r="J86" s="44"/>
      <c r="K86" s="44"/>
      <c r="L86" s="16"/>
      <c r="M86" s="26">
        <f>IFERROR(VLOOKUP(tblRiskRegister3234[[#This Row],[Asset Class]],tblVCDBIndex[],4,FALSE),"")</f>
        <v>3</v>
      </c>
      <c r="N86" s="29" t="str">
        <f>IFERROR(VLOOKUP(10*tblRiskRegister3234[[#This Row],[Safeguard Maturity Score]]+tblRiskRegister3234[[#This Row],[VCDB Index]],tblHITIndexWeightTable[],4,FALSE),"")</f>
        <v/>
      </c>
      <c r="O86" s="29" t="str">
        <f>VLOOKUP(tblRiskRegister3234[[#This Row],[Asset Class]],tblInherentImpacts30[],2,FALSE)</f>
        <v/>
      </c>
      <c r="P86" s="29" t="str">
        <f>VLOOKUP(tblRiskRegister3234[[#This Row],[Asset Class]],tblInherentImpacts30[],3,FALSE)</f>
        <v/>
      </c>
      <c r="Q86" s="29" t="str">
        <f>VLOOKUP(tblRiskRegister3234[[#This Row],[Asset Class]],tblInherentImpacts30[],4,FALSE)</f>
        <v/>
      </c>
      <c r="R86" s="29" t="str">
        <f>VLOOKUP(tblRiskRegister3234[[#This Row],[Asset Class]],tblInherentImpacts30[],5,FALSE)</f>
        <v/>
      </c>
      <c r="S86" s="29" t="str">
        <f>IFERROR(MAX(tblRiskRegister3234[[#This Row],[Impact to Mission]:[Impact to Obligations]])*tblRiskRegister3234[[#This Row],[Expectancy Score]],"")</f>
        <v/>
      </c>
      <c r="T86" s="29" t="str">
        <f>tblRiskRegister3234[[#This Row],[Risk Score]]</f>
        <v/>
      </c>
      <c r="U86" s="100"/>
      <c r="V86" s="112" t="s">
        <v>570</v>
      </c>
      <c r="W86" s="44" t="s">
        <v>44</v>
      </c>
      <c r="X86" s="44" t="s">
        <v>775</v>
      </c>
      <c r="Y86" s="30"/>
      <c r="Z86" s="16"/>
      <c r="AA86" s="27" t="str">
        <f>IFERROR(VLOOKUP(10*tblRiskRegister3234[[#This Row],[Risk Treatment Safeguard Maturity Score]]+tblRiskRegister3234[[#This Row],[VCDB Index]],tblHITIndexWeightTable[],4,FALSE),"")</f>
        <v/>
      </c>
      <c r="AB86" s="138" t="str">
        <f>VLOOKUP(tblRiskRegister3234[[#This Row],[Asset Class]],tblInherentImpacts30[],2,FALSE)</f>
        <v/>
      </c>
      <c r="AC86" s="138" t="str">
        <f>VLOOKUP(tblRiskRegister3234[[#This Row],[Asset Class]],tblInherentImpacts30[],3,FALSE)</f>
        <v/>
      </c>
      <c r="AD86" s="138" t="str">
        <f>VLOOKUP(tblRiskRegister3234[[#This Row],[Asset Class]],tblInherentImpacts30[],4,FALSE)</f>
        <v/>
      </c>
      <c r="AE86" s="138" t="str">
        <f>VLOOKUP(tblRiskRegister3234[[#This Row],[Asset Class]],tblInherentImpacts30[],5,FALSE)</f>
        <v/>
      </c>
      <c r="AF86" s="138" t="str">
        <f>IFERROR(MAX(tblRiskRegister3234[[#This Row],[Risk Treatment Safeguard Impact to Mission]:[Risk Treatment Safeguard Impact to Obligations]])*tblRiskRegister3234[[#This Row],[Risk Treatment
Safeguard Expectancy Score]],"")</f>
        <v/>
      </c>
      <c r="AG86" s="138" t="str">
        <f>IF(tblRiskRegister3234[[#This Row],[Risk Score]]&gt;AcceptableRisk,IF(tblRiskRegister3234[[#This Row],[Risk Treatment Safeguard Risk Score]]&lt;AcceptableRisk, IF(tblRiskRegister3234[[#This Row],[Risk Treatment Safeguard Risk Score]]&lt;=tblRiskRegister3234[[#This Row],[Risk Score]],"Yes","No"),"No"),"Yes")</f>
        <v>No</v>
      </c>
      <c r="AH86" s="18"/>
      <c r="AI86" s="18"/>
      <c r="AJ86" s="19"/>
    </row>
    <row r="87" spans="2:36" ht="63.75" x14ac:dyDescent="0.2">
      <c r="B87" s="44" t="s">
        <v>135</v>
      </c>
      <c r="C87" s="44"/>
      <c r="D87" s="13" t="s">
        <v>571</v>
      </c>
      <c r="E87" s="44" t="s">
        <v>665</v>
      </c>
      <c r="F87" s="112"/>
      <c r="G87" s="112" t="s">
        <v>785</v>
      </c>
      <c r="H87" s="112" t="s">
        <v>930</v>
      </c>
      <c r="I87" s="243"/>
      <c r="J87" s="44"/>
      <c r="K87" s="44"/>
      <c r="L87" s="16"/>
      <c r="M87" s="26">
        <f>IFERROR(VLOOKUP(tblRiskRegister3234[[#This Row],[Asset Class]],tblVCDBIndex[],4,FALSE),"")</f>
        <v>3</v>
      </c>
      <c r="N87" s="29" t="str">
        <f>IFERROR(VLOOKUP(10*tblRiskRegister3234[[#This Row],[Safeguard Maturity Score]]+tblRiskRegister3234[[#This Row],[VCDB Index]],tblHITIndexWeightTable[],4,FALSE),"")</f>
        <v/>
      </c>
      <c r="O87" s="29" t="str">
        <f>VLOOKUP(tblRiskRegister3234[[#This Row],[Asset Class]],tblInherentImpacts30[],2,FALSE)</f>
        <v/>
      </c>
      <c r="P87" s="29" t="str">
        <f>VLOOKUP(tblRiskRegister3234[[#This Row],[Asset Class]],tblInherentImpacts30[],3,FALSE)</f>
        <v/>
      </c>
      <c r="Q87" s="29" t="str">
        <f>VLOOKUP(tblRiskRegister3234[[#This Row],[Asset Class]],tblInherentImpacts30[],4,FALSE)</f>
        <v/>
      </c>
      <c r="R87" s="29" t="str">
        <f>VLOOKUP(tblRiskRegister3234[[#This Row],[Asset Class]],tblInherentImpacts30[],5,FALSE)</f>
        <v/>
      </c>
      <c r="S87" s="29" t="str">
        <f>IFERROR(MAX(tblRiskRegister3234[[#This Row],[Impact to Mission]:[Impact to Obligations]])*tblRiskRegister3234[[#This Row],[Expectancy Score]],"")</f>
        <v/>
      </c>
      <c r="T87" s="29" t="str">
        <f>tblRiskRegister3234[[#This Row],[Risk Score]]</f>
        <v/>
      </c>
      <c r="U87" s="100"/>
      <c r="V87" s="112" t="s">
        <v>571</v>
      </c>
      <c r="W87" s="44" t="s">
        <v>665</v>
      </c>
      <c r="X87" s="44" t="s">
        <v>776</v>
      </c>
      <c r="Y87" s="30"/>
      <c r="Z87" s="16"/>
      <c r="AA87" s="27" t="str">
        <f>IFERROR(VLOOKUP(10*tblRiskRegister3234[[#This Row],[Risk Treatment Safeguard Maturity Score]]+tblRiskRegister3234[[#This Row],[VCDB Index]],tblHITIndexWeightTable[],4,FALSE),"")</f>
        <v/>
      </c>
      <c r="AB87" s="138" t="str">
        <f>VLOOKUP(tblRiskRegister3234[[#This Row],[Asset Class]],tblInherentImpacts30[],2,FALSE)</f>
        <v/>
      </c>
      <c r="AC87" s="138" t="str">
        <f>VLOOKUP(tblRiskRegister3234[[#This Row],[Asset Class]],tblInherentImpacts30[],3,FALSE)</f>
        <v/>
      </c>
      <c r="AD87" s="138" t="str">
        <f>VLOOKUP(tblRiskRegister3234[[#This Row],[Asset Class]],tblInherentImpacts30[],4,FALSE)</f>
        <v/>
      </c>
      <c r="AE87" s="138" t="str">
        <f>VLOOKUP(tblRiskRegister3234[[#This Row],[Asset Class]],tblInherentImpacts30[],5,FALSE)</f>
        <v/>
      </c>
      <c r="AF87" s="138" t="str">
        <f>IFERROR(MAX(tblRiskRegister3234[[#This Row],[Risk Treatment Safeguard Impact to Mission]:[Risk Treatment Safeguard Impact to Obligations]])*tblRiskRegister3234[[#This Row],[Risk Treatment
Safeguard Expectancy Score]],"")</f>
        <v/>
      </c>
      <c r="AG87" s="138" t="str">
        <f>IF(tblRiskRegister3234[[#This Row],[Risk Score]]&gt;AcceptableRisk,IF(tblRiskRegister3234[[#This Row],[Risk Treatment Safeguard Risk Score]]&lt;AcceptableRisk, IF(tblRiskRegister3234[[#This Row],[Risk Treatment Safeguard Risk Score]]&lt;=tblRiskRegister3234[[#This Row],[Risk Score]],"Yes","No"),"No"),"Yes")</f>
        <v>No</v>
      </c>
      <c r="AH87" s="18"/>
      <c r="AI87" s="18"/>
      <c r="AJ87" s="19"/>
    </row>
    <row r="88" spans="2:36" ht="25.5" x14ac:dyDescent="0.2">
      <c r="B88" s="44" t="s">
        <v>135</v>
      </c>
      <c r="C88" s="44"/>
      <c r="D88" s="13" t="s">
        <v>572</v>
      </c>
      <c r="E88" s="44" t="s">
        <v>666</v>
      </c>
      <c r="F88" s="112"/>
      <c r="G88" s="112" t="s">
        <v>785</v>
      </c>
      <c r="H88" s="112" t="s">
        <v>930</v>
      </c>
      <c r="I88" s="243"/>
      <c r="J88" s="44"/>
      <c r="K88" s="44"/>
      <c r="L88" s="16"/>
      <c r="M88" s="26">
        <f>IFERROR(VLOOKUP(tblRiskRegister3234[[#This Row],[Asset Class]],tblVCDBIndex[],4,FALSE),"")</f>
        <v>3</v>
      </c>
      <c r="N88" s="29" t="str">
        <f>IFERROR(VLOOKUP(10*tblRiskRegister3234[[#This Row],[Safeguard Maturity Score]]+tblRiskRegister3234[[#This Row],[VCDB Index]],tblHITIndexWeightTable[],4,FALSE),"")</f>
        <v/>
      </c>
      <c r="O88" s="29" t="str">
        <f>VLOOKUP(tblRiskRegister3234[[#This Row],[Asset Class]],tblInherentImpacts30[],2,FALSE)</f>
        <v/>
      </c>
      <c r="P88" s="29" t="str">
        <f>VLOOKUP(tblRiskRegister3234[[#This Row],[Asset Class]],tblInherentImpacts30[],3,FALSE)</f>
        <v/>
      </c>
      <c r="Q88" s="29" t="str">
        <f>VLOOKUP(tblRiskRegister3234[[#This Row],[Asset Class]],tblInherentImpacts30[],4,FALSE)</f>
        <v/>
      </c>
      <c r="R88" s="29" t="str">
        <f>VLOOKUP(tblRiskRegister3234[[#This Row],[Asset Class]],tblInherentImpacts30[],5,FALSE)</f>
        <v/>
      </c>
      <c r="S88" s="29" t="str">
        <f>IFERROR(MAX(tblRiskRegister3234[[#This Row],[Impact to Mission]:[Impact to Obligations]])*tblRiskRegister3234[[#This Row],[Expectancy Score]],"")</f>
        <v/>
      </c>
      <c r="T88" s="29" t="str">
        <f>tblRiskRegister3234[[#This Row],[Risk Score]]</f>
        <v/>
      </c>
      <c r="U88" s="100"/>
      <c r="V88" s="112" t="s">
        <v>572</v>
      </c>
      <c r="W88" s="44" t="s">
        <v>666</v>
      </c>
      <c r="X88" s="44" t="s">
        <v>777</v>
      </c>
      <c r="Y88" s="30"/>
      <c r="Z88" s="16"/>
      <c r="AA88" s="27" t="str">
        <f>IFERROR(VLOOKUP(10*tblRiskRegister3234[[#This Row],[Risk Treatment Safeguard Maturity Score]]+tblRiskRegister3234[[#This Row],[VCDB Index]],tblHITIndexWeightTable[],4,FALSE),"")</f>
        <v/>
      </c>
      <c r="AB88" s="138" t="str">
        <f>VLOOKUP(tblRiskRegister3234[[#This Row],[Asset Class]],tblInherentImpacts30[],2,FALSE)</f>
        <v/>
      </c>
      <c r="AC88" s="138" t="str">
        <f>VLOOKUP(tblRiskRegister3234[[#This Row],[Asset Class]],tblInherentImpacts30[],3,FALSE)</f>
        <v/>
      </c>
      <c r="AD88" s="138" t="str">
        <f>VLOOKUP(tblRiskRegister3234[[#This Row],[Asset Class]],tblInherentImpacts30[],4,FALSE)</f>
        <v/>
      </c>
      <c r="AE88" s="138" t="str">
        <f>VLOOKUP(tblRiskRegister3234[[#This Row],[Asset Class]],tblInherentImpacts30[],5,FALSE)</f>
        <v/>
      </c>
      <c r="AF88" s="138" t="str">
        <f>IFERROR(MAX(tblRiskRegister3234[[#This Row],[Risk Treatment Safeguard Impact to Mission]:[Risk Treatment Safeguard Impact to Obligations]])*tblRiskRegister3234[[#This Row],[Risk Treatment
Safeguard Expectancy Score]],"")</f>
        <v/>
      </c>
      <c r="AG88" s="138" t="str">
        <f>IF(tblRiskRegister3234[[#This Row],[Risk Score]]&gt;AcceptableRisk,IF(tblRiskRegister3234[[#This Row],[Risk Treatment Safeguard Risk Score]]&lt;AcceptableRisk, IF(tblRiskRegister3234[[#This Row],[Risk Treatment Safeguard Risk Score]]&lt;=tblRiskRegister3234[[#This Row],[Risk Score]],"Yes","No"),"No"),"Yes")</f>
        <v>No</v>
      </c>
      <c r="AH88" s="18"/>
      <c r="AI88" s="18"/>
      <c r="AJ88" s="19"/>
    </row>
    <row r="89" spans="2:36" ht="25.5" x14ac:dyDescent="0.2">
      <c r="B89" s="119" t="s">
        <v>135</v>
      </c>
      <c r="C89" s="119"/>
      <c r="D89" s="118" t="s">
        <v>573</v>
      </c>
      <c r="E89" s="119" t="s">
        <v>667</v>
      </c>
      <c r="F89" s="122"/>
      <c r="G89" s="122" t="s">
        <v>785</v>
      </c>
      <c r="H89" s="122" t="s">
        <v>930</v>
      </c>
      <c r="I89" s="244"/>
      <c r="J89" s="119"/>
      <c r="K89" s="119"/>
      <c r="L89" s="120"/>
      <c r="M89" s="26">
        <f>IFERROR(VLOOKUP(tblRiskRegister3234[[#This Row],[Asset Class]],tblVCDBIndex[],4,FALSE),"")</f>
        <v>3</v>
      </c>
      <c r="N89" s="121" t="str">
        <f>IFERROR(VLOOKUP(10*tblRiskRegister3234[[#This Row],[Safeguard Maturity Score]]+tblRiskRegister3234[[#This Row],[VCDB Index]],tblHITIndexWeightTable[],4,FALSE),"")</f>
        <v/>
      </c>
      <c r="O89" s="121" t="str">
        <f>VLOOKUP(tblRiskRegister3234[[#This Row],[Asset Class]],tblInherentImpacts30[],2,FALSE)</f>
        <v/>
      </c>
      <c r="P89" s="121" t="str">
        <f>VLOOKUP(tblRiskRegister3234[[#This Row],[Asset Class]],tblInherentImpacts30[],3,FALSE)</f>
        <v/>
      </c>
      <c r="Q89" s="121" t="str">
        <f>VLOOKUP(tblRiskRegister3234[[#This Row],[Asset Class]],tblInherentImpacts30[],4,FALSE)</f>
        <v/>
      </c>
      <c r="R89" s="121" t="str">
        <f>VLOOKUP(tblRiskRegister3234[[#This Row],[Asset Class]],tblInherentImpacts30[],5,FALSE)</f>
        <v/>
      </c>
      <c r="S89" s="121" t="str">
        <f>IFERROR(MAX(tblRiskRegister3234[[#This Row],[Impact to Mission]:[Impact to Obligations]])*tblRiskRegister3234[[#This Row],[Expectancy Score]],"")</f>
        <v/>
      </c>
      <c r="T89" s="121" t="str">
        <f>tblRiskRegister3234[[#This Row],[Risk Score]]</f>
        <v/>
      </c>
      <c r="U89" s="245"/>
      <c r="V89" s="122" t="s">
        <v>573</v>
      </c>
      <c r="W89" s="119" t="s">
        <v>667</v>
      </c>
      <c r="X89" s="119" t="s">
        <v>778</v>
      </c>
      <c r="Y89" s="123"/>
      <c r="Z89" s="120"/>
      <c r="AA89" s="124" t="str">
        <f>IFERROR(VLOOKUP(10*tblRiskRegister3234[[#This Row],[Risk Treatment Safeguard Maturity Score]]+tblRiskRegister3234[[#This Row],[VCDB Index]],tblHITIndexWeightTable[],4,FALSE),"")</f>
        <v/>
      </c>
      <c r="AB89" s="138" t="str">
        <f>VLOOKUP(tblRiskRegister3234[[#This Row],[Asset Class]],tblInherentImpacts30[],2,FALSE)</f>
        <v/>
      </c>
      <c r="AC89" s="138" t="str">
        <f>VLOOKUP(tblRiskRegister3234[[#This Row],[Asset Class]],tblInherentImpacts30[],3,FALSE)</f>
        <v/>
      </c>
      <c r="AD89" s="138" t="str">
        <f>VLOOKUP(tblRiskRegister3234[[#This Row],[Asset Class]],tblInherentImpacts30[],4,FALSE)</f>
        <v/>
      </c>
      <c r="AE89" s="138" t="str">
        <f>VLOOKUP(tblRiskRegister3234[[#This Row],[Asset Class]],tblInherentImpacts30[],5,FALSE)</f>
        <v/>
      </c>
      <c r="AF89" s="140" t="str">
        <f>IFERROR(MAX(tblRiskRegister3234[[#This Row],[Risk Treatment Safeguard Impact to Mission]:[Risk Treatment Safeguard Impact to Obligations]])*tblRiskRegister3234[[#This Row],[Risk Treatment
Safeguard Expectancy Score]],"")</f>
        <v/>
      </c>
      <c r="AG89" s="138" t="str">
        <f>IF(tblRiskRegister3234[[#This Row],[Risk Score]]&gt;AcceptableRisk,IF(tblRiskRegister3234[[#This Row],[Risk Treatment Safeguard Risk Score]]&lt;AcceptableRisk, IF(tblRiskRegister3234[[#This Row],[Risk Treatment Safeguard Risk Score]]&lt;=tblRiskRegister3234[[#This Row],[Risk Score]],"Yes","No"),"No"),"Yes")</f>
        <v>No</v>
      </c>
      <c r="AH89" s="125"/>
      <c r="AI89" s="125"/>
      <c r="AJ89" s="126"/>
    </row>
    <row r="90" spans="2:36" ht="51" x14ac:dyDescent="0.2">
      <c r="B90" s="44" t="s">
        <v>135</v>
      </c>
      <c r="C90" s="44"/>
      <c r="D90" s="13" t="s">
        <v>574</v>
      </c>
      <c r="E90" s="44" t="s">
        <v>668</v>
      </c>
      <c r="F90" s="112"/>
      <c r="G90" s="112" t="s">
        <v>785</v>
      </c>
      <c r="H90" s="112" t="s">
        <v>930</v>
      </c>
      <c r="I90" s="243"/>
      <c r="J90" s="44"/>
      <c r="K90" s="44"/>
      <c r="L90" s="16"/>
      <c r="M90" s="26">
        <f>IFERROR(VLOOKUP(tblRiskRegister3234[[#This Row],[Asset Class]],tblVCDBIndex[],4,FALSE),"")</f>
        <v>3</v>
      </c>
      <c r="N90" s="29" t="str">
        <f>IFERROR(VLOOKUP(10*tblRiskRegister3234[[#This Row],[Safeguard Maturity Score]]+tblRiskRegister3234[[#This Row],[VCDB Index]],tblHITIndexWeightTable[],4,FALSE),"")</f>
        <v/>
      </c>
      <c r="O90" s="29" t="str">
        <f>VLOOKUP(tblRiskRegister3234[[#This Row],[Asset Class]],tblInherentImpacts30[],2,FALSE)</f>
        <v/>
      </c>
      <c r="P90" s="29" t="str">
        <f>VLOOKUP(tblRiskRegister3234[[#This Row],[Asset Class]],tblInherentImpacts30[],3,FALSE)</f>
        <v/>
      </c>
      <c r="Q90" s="29" t="str">
        <f>VLOOKUP(tblRiskRegister3234[[#This Row],[Asset Class]],tblInherentImpacts30[],4,FALSE)</f>
        <v/>
      </c>
      <c r="R90" s="29" t="str">
        <f>VLOOKUP(tblRiskRegister3234[[#This Row],[Asset Class]],tblInherentImpacts30[],5,FALSE)</f>
        <v/>
      </c>
      <c r="S90" s="29" t="str">
        <f>IFERROR(MAX(tblRiskRegister3234[[#This Row],[Impact to Mission]:[Impact to Obligations]])*tblRiskRegister3234[[#This Row],[Expectancy Score]],"")</f>
        <v/>
      </c>
      <c r="T90" s="29" t="str">
        <f>tblRiskRegister3234[[#This Row],[Risk Score]]</f>
        <v/>
      </c>
      <c r="U90" s="100"/>
      <c r="V90" s="112" t="s">
        <v>574</v>
      </c>
      <c r="W90" s="44" t="s">
        <v>668</v>
      </c>
      <c r="X90" s="44" t="s">
        <v>779</v>
      </c>
      <c r="Y90" s="30"/>
      <c r="Z90" s="16"/>
      <c r="AA90" s="27" t="str">
        <f>IFERROR(VLOOKUP(10*tblRiskRegister3234[[#This Row],[Risk Treatment Safeguard Maturity Score]]+tblRiskRegister3234[[#This Row],[VCDB Index]],tblHITIndexWeightTable[],4,FALSE),"")</f>
        <v/>
      </c>
      <c r="AB90" s="138" t="str">
        <f>VLOOKUP(tblRiskRegister3234[[#This Row],[Asset Class]],tblInherentImpacts30[],2,FALSE)</f>
        <v/>
      </c>
      <c r="AC90" s="138" t="str">
        <f>VLOOKUP(tblRiskRegister3234[[#This Row],[Asset Class]],tblInherentImpacts30[],3,FALSE)</f>
        <v/>
      </c>
      <c r="AD90" s="138" t="str">
        <f>VLOOKUP(tblRiskRegister3234[[#This Row],[Asset Class]],tblInherentImpacts30[],4,FALSE)</f>
        <v/>
      </c>
      <c r="AE90" s="138" t="str">
        <f>VLOOKUP(tblRiskRegister3234[[#This Row],[Asset Class]],tblInherentImpacts30[],5,FALSE)</f>
        <v/>
      </c>
      <c r="AF90" s="138" t="str">
        <f>IFERROR(MAX(tblRiskRegister3234[[#This Row],[Risk Treatment Safeguard Impact to Mission]:[Risk Treatment Safeguard Impact to Obligations]])*tblRiskRegister3234[[#This Row],[Risk Treatment
Safeguard Expectancy Score]],"")</f>
        <v/>
      </c>
      <c r="AG90" s="138" t="str">
        <f>IF(tblRiskRegister3234[[#This Row],[Risk Score]]&gt;AcceptableRisk,IF(tblRiskRegister3234[[#This Row],[Risk Treatment Safeguard Risk Score]]&lt;AcceptableRisk, IF(tblRiskRegister3234[[#This Row],[Risk Treatment Safeguard Risk Score]]&lt;=tblRiskRegister3234[[#This Row],[Risk Score]],"Yes","No"),"No"),"Yes")</f>
        <v>No</v>
      </c>
      <c r="AH90" s="18"/>
      <c r="AI90" s="18"/>
      <c r="AJ90" s="19"/>
    </row>
    <row r="91" spans="2:36" ht="51" x14ac:dyDescent="0.2">
      <c r="B91" s="44" t="s">
        <v>135</v>
      </c>
      <c r="C91" s="44"/>
      <c r="D91" s="13" t="s">
        <v>575</v>
      </c>
      <c r="E91" s="44" t="s">
        <v>669</v>
      </c>
      <c r="F91" s="112"/>
      <c r="G91" s="112" t="s">
        <v>785</v>
      </c>
      <c r="H91" s="112" t="s">
        <v>930</v>
      </c>
      <c r="I91" s="243"/>
      <c r="J91" s="44"/>
      <c r="K91" s="44"/>
      <c r="L91" s="16"/>
      <c r="M91" s="26">
        <f>IFERROR(VLOOKUP(tblRiskRegister3234[[#This Row],[Asset Class]],tblVCDBIndex[],4,FALSE),"")</f>
        <v>3</v>
      </c>
      <c r="N91" s="29" t="str">
        <f>IFERROR(VLOOKUP(10*tblRiskRegister3234[[#This Row],[Safeguard Maturity Score]]+tblRiskRegister3234[[#This Row],[VCDB Index]],tblHITIndexWeightTable[],4,FALSE),"")</f>
        <v/>
      </c>
      <c r="O91" s="29" t="str">
        <f>VLOOKUP(tblRiskRegister3234[[#This Row],[Asset Class]],tblInherentImpacts30[],2,FALSE)</f>
        <v/>
      </c>
      <c r="P91" s="29" t="str">
        <f>VLOOKUP(tblRiskRegister3234[[#This Row],[Asset Class]],tblInherentImpacts30[],3,FALSE)</f>
        <v/>
      </c>
      <c r="Q91" s="29" t="str">
        <f>VLOOKUP(tblRiskRegister3234[[#This Row],[Asset Class]],tblInherentImpacts30[],4,FALSE)</f>
        <v/>
      </c>
      <c r="R91" s="29" t="str">
        <f>VLOOKUP(tblRiskRegister3234[[#This Row],[Asset Class]],tblInherentImpacts30[],5,FALSE)</f>
        <v/>
      </c>
      <c r="S91" s="29" t="str">
        <f>IFERROR(MAX(tblRiskRegister3234[[#This Row],[Impact to Mission]:[Impact to Obligations]])*tblRiskRegister3234[[#This Row],[Expectancy Score]],"")</f>
        <v/>
      </c>
      <c r="T91" s="29" t="str">
        <f>tblRiskRegister3234[[#This Row],[Risk Score]]</f>
        <v/>
      </c>
      <c r="U91" s="100"/>
      <c r="V91" s="112" t="s">
        <v>575</v>
      </c>
      <c r="W91" s="44" t="s">
        <v>669</v>
      </c>
      <c r="X91" s="44" t="s">
        <v>780</v>
      </c>
      <c r="Y91" s="30"/>
      <c r="Z91" s="16"/>
      <c r="AA91" s="27" t="str">
        <f>IFERROR(VLOOKUP(10*tblRiskRegister3234[[#This Row],[Risk Treatment Safeguard Maturity Score]]+tblRiskRegister3234[[#This Row],[VCDB Index]],tblHITIndexWeightTable[],4,FALSE),"")</f>
        <v/>
      </c>
      <c r="AB91" s="138" t="str">
        <f>VLOOKUP(tblRiskRegister3234[[#This Row],[Asset Class]],tblInherentImpacts30[],2,FALSE)</f>
        <v/>
      </c>
      <c r="AC91" s="138" t="str">
        <f>VLOOKUP(tblRiskRegister3234[[#This Row],[Asset Class]],tblInherentImpacts30[],3,FALSE)</f>
        <v/>
      </c>
      <c r="AD91" s="138" t="str">
        <f>VLOOKUP(tblRiskRegister3234[[#This Row],[Asset Class]],tblInherentImpacts30[],4,FALSE)</f>
        <v/>
      </c>
      <c r="AE91" s="138" t="str">
        <f>VLOOKUP(tblRiskRegister3234[[#This Row],[Asset Class]],tblInherentImpacts30[],5,FALSE)</f>
        <v/>
      </c>
      <c r="AF91" s="138" t="str">
        <f>IFERROR(MAX(tblRiskRegister3234[[#This Row],[Risk Treatment Safeguard Impact to Mission]:[Risk Treatment Safeguard Impact to Obligations]])*tblRiskRegister3234[[#This Row],[Risk Treatment
Safeguard Expectancy Score]],"")</f>
        <v/>
      </c>
      <c r="AG91" s="138" t="str">
        <f>IF(tblRiskRegister3234[[#This Row],[Risk Score]]&gt;AcceptableRisk,IF(tblRiskRegister3234[[#This Row],[Risk Treatment Safeguard Risk Score]]&lt;AcceptableRisk, IF(tblRiskRegister3234[[#This Row],[Risk Treatment Safeguard Risk Score]]&lt;=tblRiskRegister3234[[#This Row],[Risk Score]],"Yes","No"),"No"),"Yes")</f>
        <v>No</v>
      </c>
      <c r="AH91" s="18"/>
      <c r="AI91" s="18"/>
      <c r="AJ91" s="19"/>
    </row>
    <row r="92" spans="2:36" ht="38.25" x14ac:dyDescent="0.2">
      <c r="B92" s="119" t="s">
        <v>135</v>
      </c>
      <c r="C92" s="119"/>
      <c r="D92" s="118" t="s">
        <v>576</v>
      </c>
      <c r="E92" s="119" t="s">
        <v>670</v>
      </c>
      <c r="F92" s="122"/>
      <c r="G92" s="122" t="s">
        <v>785</v>
      </c>
      <c r="H92" s="122" t="s">
        <v>930</v>
      </c>
      <c r="I92" s="244"/>
      <c r="J92" s="119"/>
      <c r="K92" s="119"/>
      <c r="L92" s="120"/>
      <c r="M92" s="26">
        <f>IFERROR(VLOOKUP(tblRiskRegister3234[[#This Row],[Asset Class]],tblVCDBIndex[],4,FALSE),"")</f>
        <v>3</v>
      </c>
      <c r="N92" s="121" t="str">
        <f>IFERROR(VLOOKUP(10*tblRiskRegister3234[[#This Row],[Safeguard Maturity Score]]+tblRiskRegister3234[[#This Row],[VCDB Index]],tblHITIndexWeightTable[],4,FALSE),"")</f>
        <v/>
      </c>
      <c r="O92" s="121" t="str">
        <f>VLOOKUP(tblRiskRegister3234[[#This Row],[Asset Class]],tblInherentImpacts30[],2,FALSE)</f>
        <v/>
      </c>
      <c r="P92" s="121" t="str">
        <f>VLOOKUP(tblRiskRegister3234[[#This Row],[Asset Class]],tblInherentImpacts30[],3,FALSE)</f>
        <v/>
      </c>
      <c r="Q92" s="121" t="str">
        <f>VLOOKUP(tblRiskRegister3234[[#This Row],[Asset Class]],tblInherentImpacts30[],4,FALSE)</f>
        <v/>
      </c>
      <c r="R92" s="121" t="str">
        <f>VLOOKUP(tblRiskRegister3234[[#This Row],[Asset Class]],tblInherentImpacts30[],5,FALSE)</f>
        <v/>
      </c>
      <c r="S92" s="121" t="str">
        <f>IFERROR(MAX(tblRiskRegister3234[[#This Row],[Impact to Mission]:[Impact to Obligations]])*tblRiskRegister3234[[#This Row],[Expectancy Score]],"")</f>
        <v/>
      </c>
      <c r="T92" s="121" t="str">
        <f>tblRiskRegister3234[[#This Row],[Risk Score]]</f>
        <v/>
      </c>
      <c r="U92" s="245"/>
      <c r="V92" s="122" t="s">
        <v>576</v>
      </c>
      <c r="W92" s="119" t="s">
        <v>670</v>
      </c>
      <c r="X92" s="119" t="s">
        <v>781</v>
      </c>
      <c r="Y92" s="123"/>
      <c r="Z92" s="120"/>
      <c r="AA92" s="124" t="str">
        <f>IFERROR(VLOOKUP(10*tblRiskRegister3234[[#This Row],[Risk Treatment Safeguard Maturity Score]]+tblRiskRegister3234[[#This Row],[VCDB Index]],tblHITIndexWeightTable[],4,FALSE),"")</f>
        <v/>
      </c>
      <c r="AB92" s="138" t="str">
        <f>VLOOKUP(tblRiskRegister3234[[#This Row],[Asset Class]],tblInherentImpacts30[],2,FALSE)</f>
        <v/>
      </c>
      <c r="AC92" s="138" t="str">
        <f>VLOOKUP(tblRiskRegister3234[[#This Row],[Asset Class]],tblInherentImpacts30[],3,FALSE)</f>
        <v/>
      </c>
      <c r="AD92" s="138" t="str">
        <f>VLOOKUP(tblRiskRegister3234[[#This Row],[Asset Class]],tblInherentImpacts30[],4,FALSE)</f>
        <v/>
      </c>
      <c r="AE92" s="138" t="str">
        <f>VLOOKUP(tblRiskRegister3234[[#This Row],[Asset Class]],tblInherentImpacts30[],5,FALSE)</f>
        <v/>
      </c>
      <c r="AF92" s="140" t="str">
        <f>IFERROR(MAX(tblRiskRegister3234[[#This Row],[Risk Treatment Safeguard Impact to Mission]:[Risk Treatment Safeguard Impact to Obligations]])*tblRiskRegister3234[[#This Row],[Risk Treatment
Safeguard Expectancy Score]],"")</f>
        <v/>
      </c>
      <c r="AG92" s="138" t="str">
        <f>IF(tblRiskRegister3234[[#This Row],[Risk Score]]&gt;AcceptableRisk,IF(tblRiskRegister3234[[#This Row],[Risk Treatment Safeguard Risk Score]]&lt;AcceptableRisk, IF(tblRiskRegister3234[[#This Row],[Risk Treatment Safeguard Risk Score]]&lt;=tblRiskRegister3234[[#This Row],[Risk Score]],"Yes","No"),"No"),"Yes")</f>
        <v>No</v>
      </c>
      <c r="AH92" s="125"/>
      <c r="AI92" s="125"/>
      <c r="AJ92" s="126"/>
    </row>
    <row r="93" spans="2:36" ht="38.25" x14ac:dyDescent="0.2">
      <c r="B93" s="119" t="s">
        <v>135</v>
      </c>
      <c r="C93" s="119"/>
      <c r="D93" s="118" t="s">
        <v>577</v>
      </c>
      <c r="E93" s="119" t="s">
        <v>671</v>
      </c>
      <c r="F93" s="122"/>
      <c r="G93" s="122" t="s">
        <v>785</v>
      </c>
      <c r="H93" s="122" t="s">
        <v>930</v>
      </c>
      <c r="I93" s="244"/>
      <c r="J93" s="119"/>
      <c r="K93" s="119"/>
      <c r="L93" s="120"/>
      <c r="M93" s="26">
        <f>IFERROR(VLOOKUP(tblRiskRegister3234[[#This Row],[Asset Class]],tblVCDBIndex[],4,FALSE),"")</f>
        <v>3</v>
      </c>
      <c r="N93" s="121" t="str">
        <f>IFERROR(VLOOKUP(10*tblRiskRegister3234[[#This Row],[Safeguard Maturity Score]]+tblRiskRegister3234[[#This Row],[VCDB Index]],tblHITIndexWeightTable[],4,FALSE),"")</f>
        <v/>
      </c>
      <c r="O93" s="121" t="str">
        <f>VLOOKUP(tblRiskRegister3234[[#This Row],[Asset Class]],tblInherentImpacts30[],2,FALSE)</f>
        <v/>
      </c>
      <c r="P93" s="121" t="str">
        <f>VLOOKUP(tblRiskRegister3234[[#This Row],[Asset Class]],tblInherentImpacts30[],3,FALSE)</f>
        <v/>
      </c>
      <c r="Q93" s="121" t="str">
        <f>VLOOKUP(tblRiskRegister3234[[#This Row],[Asset Class]],tblInherentImpacts30[],4,FALSE)</f>
        <v/>
      </c>
      <c r="R93" s="121" t="str">
        <f>VLOOKUP(tblRiskRegister3234[[#This Row],[Asset Class]],tblInherentImpacts30[],5,FALSE)</f>
        <v/>
      </c>
      <c r="S93" s="121" t="str">
        <f>IFERROR(MAX(tblRiskRegister3234[[#This Row],[Impact to Mission]:[Impact to Obligations]])*tblRiskRegister3234[[#This Row],[Expectancy Score]],"")</f>
        <v/>
      </c>
      <c r="T93" s="121" t="str">
        <f>tblRiskRegister3234[[#This Row],[Risk Score]]</f>
        <v/>
      </c>
      <c r="U93" s="245"/>
      <c r="V93" s="122" t="s">
        <v>577</v>
      </c>
      <c r="W93" s="119" t="s">
        <v>671</v>
      </c>
      <c r="X93" s="119" t="s">
        <v>782</v>
      </c>
      <c r="Y93" s="123"/>
      <c r="Z93" s="120"/>
      <c r="AA93" s="124" t="str">
        <f>IFERROR(VLOOKUP(10*tblRiskRegister3234[[#This Row],[Risk Treatment Safeguard Maturity Score]]+tblRiskRegister3234[[#This Row],[VCDB Index]],tblHITIndexWeightTable[],4,FALSE),"")</f>
        <v/>
      </c>
      <c r="AB93" s="138" t="str">
        <f>VLOOKUP(tblRiskRegister3234[[#This Row],[Asset Class]],tblInherentImpacts30[],2,FALSE)</f>
        <v/>
      </c>
      <c r="AC93" s="138" t="str">
        <f>VLOOKUP(tblRiskRegister3234[[#This Row],[Asset Class]],tblInherentImpacts30[],3,FALSE)</f>
        <v/>
      </c>
      <c r="AD93" s="138" t="str">
        <f>VLOOKUP(tblRiskRegister3234[[#This Row],[Asset Class]],tblInherentImpacts30[],4,FALSE)</f>
        <v/>
      </c>
      <c r="AE93" s="138" t="str">
        <f>VLOOKUP(tblRiskRegister3234[[#This Row],[Asset Class]],tblInherentImpacts30[],5,FALSE)</f>
        <v/>
      </c>
      <c r="AF93" s="140" t="str">
        <f>IFERROR(MAX(tblRiskRegister3234[[#This Row],[Risk Treatment Safeguard Impact to Mission]:[Risk Treatment Safeguard Impact to Obligations]])*tblRiskRegister3234[[#This Row],[Risk Treatment
Safeguard Expectancy Score]],"")</f>
        <v/>
      </c>
      <c r="AG93" s="138" t="str">
        <f>IF(tblRiskRegister3234[[#This Row],[Risk Score]]&gt;AcceptableRisk,IF(tblRiskRegister3234[[#This Row],[Risk Treatment Safeguard Risk Score]]&lt;AcceptableRisk, IF(tblRiskRegister3234[[#This Row],[Risk Treatment Safeguard Risk Score]]&lt;=tblRiskRegister3234[[#This Row],[Risk Score]],"Yes","No"),"No"),"Yes")</f>
        <v>No</v>
      </c>
      <c r="AH93" s="125"/>
      <c r="AI93" s="125"/>
      <c r="AJ93" s="126"/>
    </row>
    <row r="94" spans="2:36" ht="38.25" x14ac:dyDescent="0.2">
      <c r="B94" s="44" t="s">
        <v>133</v>
      </c>
      <c r="C94" s="44"/>
      <c r="D94" s="13">
        <v>6.1</v>
      </c>
      <c r="E94" s="14" t="s">
        <v>598</v>
      </c>
      <c r="F94" s="17"/>
      <c r="G94" s="17" t="s">
        <v>785</v>
      </c>
      <c r="H94" s="17" t="s">
        <v>929</v>
      </c>
      <c r="I94" s="147"/>
      <c r="J94" s="15"/>
      <c r="K94" s="15"/>
      <c r="L94" s="16"/>
      <c r="M94" s="26">
        <f>IFERROR(VLOOKUP(tblRiskRegister3234[[#This Row],[Asset Class]],tblVCDBIndex[],4,FALSE),"")</f>
        <v>1</v>
      </c>
      <c r="N94" s="29" t="str">
        <f>IFERROR(VLOOKUP(10*tblRiskRegister3234[[#This Row],[Safeguard Maturity Score]]+tblRiskRegister3234[[#This Row],[VCDB Index]],tblHITIndexWeightTable[],4,FALSE),"")</f>
        <v/>
      </c>
      <c r="O94" s="29" t="str">
        <f>VLOOKUP(tblRiskRegister3234[[#This Row],[Asset Class]],tblInherentImpacts30[],2,FALSE)</f>
        <v/>
      </c>
      <c r="P94" s="29">
        <f>VLOOKUP(tblRiskRegister3234[[#This Row],[Asset Class]],tblInherentImpacts30[],3,FALSE)</f>
        <v>0</v>
      </c>
      <c r="Q94" s="29">
        <f>VLOOKUP(tblRiskRegister3234[[#This Row],[Asset Class]],tblInherentImpacts30[],4,FALSE)</f>
        <v>0</v>
      </c>
      <c r="R94" s="29">
        <f>VLOOKUP(tblRiskRegister3234[[#This Row],[Asset Class]],tblInherentImpacts30[],5,FALSE)</f>
        <v>0</v>
      </c>
      <c r="S94" s="29" t="str">
        <f>IFERROR(MAX(tblRiskRegister3234[[#This Row],[Impact to Mission]:[Impact to Obligations]])*tblRiskRegister3234[[#This Row],[Expectancy Score]],"")</f>
        <v/>
      </c>
      <c r="T94" s="29" t="str">
        <f>tblRiskRegister3234[[#This Row],[Risk Score]]</f>
        <v/>
      </c>
      <c r="U94" s="100"/>
      <c r="V94" s="112">
        <v>6.1</v>
      </c>
      <c r="W94" s="44" t="s">
        <v>598</v>
      </c>
      <c r="X94" s="44" t="s">
        <v>696</v>
      </c>
      <c r="Y94" s="30"/>
      <c r="Z94" s="16"/>
      <c r="AA94" s="27" t="str">
        <f>IFERROR(VLOOKUP(10*tblRiskRegister3234[[#This Row],[Risk Treatment Safeguard Maturity Score]]+tblRiskRegister3234[[#This Row],[VCDB Index]],tblHITIndexWeightTable[],4,FALSE),"")</f>
        <v/>
      </c>
      <c r="AB94" s="138" t="str">
        <f>VLOOKUP(tblRiskRegister3234[[#This Row],[Asset Class]],tblInherentImpacts30[],2,FALSE)</f>
        <v/>
      </c>
      <c r="AC94" s="138">
        <f>VLOOKUP(tblRiskRegister3234[[#This Row],[Asset Class]],tblInherentImpacts30[],3,FALSE)</f>
        <v>0</v>
      </c>
      <c r="AD94" s="138">
        <f>VLOOKUP(tblRiskRegister3234[[#This Row],[Asset Class]],tblInherentImpacts30[],4,FALSE)</f>
        <v>0</v>
      </c>
      <c r="AE94" s="138">
        <f>VLOOKUP(tblRiskRegister3234[[#This Row],[Asset Class]],tblInherentImpacts30[],5,FALSE)</f>
        <v>0</v>
      </c>
      <c r="AF94" s="138" t="str">
        <f>IFERROR(MAX(tblRiskRegister3234[[#This Row],[Risk Treatment Safeguard Impact to Mission]:[Risk Treatment Safeguard Impact to Obligations]])*tblRiskRegister3234[[#This Row],[Risk Treatment
Safeguard Expectancy Score]],"")</f>
        <v/>
      </c>
      <c r="AG94" s="138" t="str">
        <f>IF(tblRiskRegister3234[[#This Row],[Risk Score]]&gt;AcceptableRisk,IF(tblRiskRegister3234[[#This Row],[Risk Treatment Safeguard Risk Score]]&lt;AcceptableRisk, IF(tblRiskRegister3234[[#This Row],[Risk Treatment Safeguard Risk Score]]&lt;=tblRiskRegister3234[[#This Row],[Risk Score]],"Yes","No"),"No"),"Yes")</f>
        <v>No</v>
      </c>
      <c r="AH94" s="18"/>
      <c r="AI94" s="18"/>
      <c r="AJ94" s="19"/>
    </row>
    <row r="95" spans="2:36" ht="25.5" x14ac:dyDescent="0.2">
      <c r="B95" s="44" t="s">
        <v>133</v>
      </c>
      <c r="C95" s="44"/>
      <c r="D95" s="13">
        <v>6.2</v>
      </c>
      <c r="E95" s="14" t="s">
        <v>66</v>
      </c>
      <c r="F95" s="17" t="s">
        <v>785</v>
      </c>
      <c r="G95" s="17" t="s">
        <v>785</v>
      </c>
      <c r="H95" s="17" t="s">
        <v>929</v>
      </c>
      <c r="I95" s="147"/>
      <c r="J95" s="15"/>
      <c r="K95" s="15"/>
      <c r="L95" s="16"/>
      <c r="M95" s="26">
        <f>IFERROR(VLOOKUP(tblRiskRegister3234[[#This Row],[Asset Class]],tblVCDBIndex[],4,FALSE),"")</f>
        <v>1</v>
      </c>
      <c r="N95" s="29" t="str">
        <f>IFERROR(VLOOKUP(10*tblRiskRegister3234[[#This Row],[Safeguard Maturity Score]]+tblRiskRegister3234[[#This Row],[VCDB Index]],tblHITIndexWeightTable[],4,FALSE),"")</f>
        <v/>
      </c>
      <c r="O95" s="29" t="str">
        <f>VLOOKUP(tblRiskRegister3234[[#This Row],[Asset Class]],tblInherentImpacts30[],2,FALSE)</f>
        <v/>
      </c>
      <c r="P95" s="29">
        <f>VLOOKUP(tblRiskRegister3234[[#This Row],[Asset Class]],tblInherentImpacts30[],3,FALSE)</f>
        <v>0</v>
      </c>
      <c r="Q95" s="29">
        <f>VLOOKUP(tblRiskRegister3234[[#This Row],[Asset Class]],tblInherentImpacts30[],4,FALSE)</f>
        <v>0</v>
      </c>
      <c r="R95" s="29">
        <f>VLOOKUP(tblRiskRegister3234[[#This Row],[Asset Class]],tblInherentImpacts30[],5,FALSE)</f>
        <v>0</v>
      </c>
      <c r="S95" s="29" t="str">
        <f>IFERROR(MAX(tblRiskRegister3234[[#This Row],[Impact to Mission]:[Impact to Obligations]])*tblRiskRegister3234[[#This Row],[Expectancy Score]],"")</f>
        <v/>
      </c>
      <c r="T95" s="29" t="str">
        <f>tblRiskRegister3234[[#This Row],[Risk Score]]</f>
        <v/>
      </c>
      <c r="U95" s="100"/>
      <c r="V95" s="112">
        <v>6.2</v>
      </c>
      <c r="W95" s="44" t="s">
        <v>66</v>
      </c>
      <c r="X95" s="44" t="s">
        <v>161</v>
      </c>
      <c r="Y95" s="30"/>
      <c r="Z95" s="16"/>
      <c r="AA95" s="27" t="str">
        <f>IFERROR(VLOOKUP(10*tblRiskRegister3234[[#This Row],[Risk Treatment Safeguard Maturity Score]]+tblRiskRegister3234[[#This Row],[VCDB Index]],tblHITIndexWeightTable[],4,FALSE),"")</f>
        <v/>
      </c>
      <c r="AB95" s="138" t="str">
        <f>VLOOKUP(tblRiskRegister3234[[#This Row],[Asset Class]],tblInherentImpacts30[],2,FALSE)</f>
        <v/>
      </c>
      <c r="AC95" s="138">
        <f>VLOOKUP(tblRiskRegister3234[[#This Row],[Asset Class]],tblInherentImpacts30[],3,FALSE)</f>
        <v>0</v>
      </c>
      <c r="AD95" s="138">
        <f>VLOOKUP(tblRiskRegister3234[[#This Row],[Asset Class]],tblInherentImpacts30[],4,FALSE)</f>
        <v>0</v>
      </c>
      <c r="AE95" s="138">
        <f>VLOOKUP(tblRiskRegister3234[[#This Row],[Asset Class]],tblInherentImpacts30[],5,FALSE)</f>
        <v>0</v>
      </c>
      <c r="AF95" s="138" t="str">
        <f>IFERROR(MAX(tblRiskRegister3234[[#This Row],[Risk Treatment Safeguard Impact to Mission]:[Risk Treatment Safeguard Impact to Obligations]])*tblRiskRegister3234[[#This Row],[Risk Treatment
Safeguard Expectancy Score]],"")</f>
        <v/>
      </c>
      <c r="AG95" s="138" t="str">
        <f>IF(tblRiskRegister3234[[#This Row],[Risk Score]]&gt;AcceptableRisk,IF(tblRiskRegister3234[[#This Row],[Risk Treatment Safeguard Risk Score]]&lt;AcceptableRisk, IF(tblRiskRegister3234[[#This Row],[Risk Treatment Safeguard Risk Score]]&lt;=tblRiskRegister3234[[#This Row],[Risk Score]],"Yes","No"),"No"),"Yes")</f>
        <v>No</v>
      </c>
      <c r="AH95" s="18"/>
      <c r="AI95" s="18"/>
      <c r="AJ95" s="19"/>
    </row>
    <row r="96" spans="2:36" ht="38.25" x14ac:dyDescent="0.2">
      <c r="B96" s="44" t="s">
        <v>133</v>
      </c>
      <c r="C96" s="44"/>
      <c r="D96" s="13">
        <v>6.3</v>
      </c>
      <c r="E96" s="14" t="s">
        <v>599</v>
      </c>
      <c r="F96" s="17"/>
      <c r="G96" s="17" t="s">
        <v>785</v>
      </c>
      <c r="H96" s="17" t="s">
        <v>929</v>
      </c>
      <c r="I96" s="147"/>
      <c r="J96" s="15"/>
      <c r="K96" s="15"/>
      <c r="L96" s="16"/>
      <c r="M96" s="26">
        <f>IFERROR(VLOOKUP(tblRiskRegister3234[[#This Row],[Asset Class]],tblVCDBIndex[],4,FALSE),"")</f>
        <v>1</v>
      </c>
      <c r="N96" s="29" t="str">
        <f>IFERROR(VLOOKUP(10*tblRiskRegister3234[[#This Row],[Safeguard Maturity Score]]+tblRiskRegister3234[[#This Row],[VCDB Index]],tblHITIndexWeightTable[],4,FALSE),"")</f>
        <v/>
      </c>
      <c r="O96" s="29" t="str">
        <f>VLOOKUP(tblRiskRegister3234[[#This Row],[Asset Class]],tblInherentImpacts30[],2,FALSE)</f>
        <v/>
      </c>
      <c r="P96" s="29">
        <f>VLOOKUP(tblRiskRegister3234[[#This Row],[Asset Class]],tblInherentImpacts30[],3,FALSE)</f>
        <v>0</v>
      </c>
      <c r="Q96" s="29">
        <f>VLOOKUP(tblRiskRegister3234[[#This Row],[Asset Class]],tblInherentImpacts30[],4,FALSE)</f>
        <v>0</v>
      </c>
      <c r="R96" s="29">
        <f>VLOOKUP(tblRiskRegister3234[[#This Row],[Asset Class]],tblInherentImpacts30[],5,FALSE)</f>
        <v>0</v>
      </c>
      <c r="S96" s="29" t="str">
        <f>IFERROR(MAX(tblRiskRegister3234[[#This Row],[Impact to Mission]:[Impact to Obligations]])*tblRiskRegister3234[[#This Row],[Expectancy Score]],"")</f>
        <v/>
      </c>
      <c r="T96" s="29" t="str">
        <f>tblRiskRegister3234[[#This Row],[Risk Score]]</f>
        <v/>
      </c>
      <c r="U96" s="100"/>
      <c r="V96" s="112">
        <v>6.3</v>
      </c>
      <c r="W96" s="44" t="s">
        <v>599</v>
      </c>
      <c r="X96" s="44" t="s">
        <v>697</v>
      </c>
      <c r="Y96" s="30"/>
      <c r="Z96" s="16"/>
      <c r="AA96" s="27" t="str">
        <f>IFERROR(VLOOKUP(10*tblRiskRegister3234[[#This Row],[Risk Treatment Safeguard Maturity Score]]+tblRiskRegister3234[[#This Row],[VCDB Index]],tblHITIndexWeightTable[],4,FALSE),"")</f>
        <v/>
      </c>
      <c r="AB96" s="138" t="str">
        <f>VLOOKUP(tblRiskRegister3234[[#This Row],[Asset Class]],tblInherentImpacts30[],2,FALSE)</f>
        <v/>
      </c>
      <c r="AC96" s="138">
        <f>VLOOKUP(tblRiskRegister3234[[#This Row],[Asset Class]],tblInherentImpacts30[],3,FALSE)</f>
        <v>0</v>
      </c>
      <c r="AD96" s="138">
        <f>VLOOKUP(tblRiskRegister3234[[#This Row],[Asset Class]],tblInherentImpacts30[],4,FALSE)</f>
        <v>0</v>
      </c>
      <c r="AE96" s="138">
        <f>VLOOKUP(tblRiskRegister3234[[#This Row],[Asset Class]],tblInherentImpacts30[],5,FALSE)</f>
        <v>0</v>
      </c>
      <c r="AF96" s="138" t="str">
        <f>IFERROR(MAX(tblRiskRegister3234[[#This Row],[Risk Treatment Safeguard Impact to Mission]:[Risk Treatment Safeguard Impact to Obligations]])*tblRiskRegister3234[[#This Row],[Risk Treatment
Safeguard Expectancy Score]],"")</f>
        <v/>
      </c>
      <c r="AG96" s="138" t="str">
        <f>IF(tblRiskRegister3234[[#This Row],[Risk Score]]&gt;AcceptableRisk,IF(tblRiskRegister3234[[#This Row],[Risk Treatment Safeguard Risk Score]]&lt;AcceptableRisk, IF(tblRiskRegister3234[[#This Row],[Risk Treatment Safeguard Risk Score]]&lt;=tblRiskRegister3234[[#This Row],[Risk Score]],"Yes","No"),"No"),"Yes")</f>
        <v>No</v>
      </c>
      <c r="AH96" s="18"/>
      <c r="AI96" s="18"/>
      <c r="AJ96" s="19"/>
    </row>
    <row r="97" spans="2:36" ht="25.5" x14ac:dyDescent="0.2">
      <c r="B97" s="44" t="s">
        <v>133</v>
      </c>
      <c r="C97" s="44"/>
      <c r="D97" s="13">
        <v>6.4</v>
      </c>
      <c r="E97" s="14" t="s">
        <v>600</v>
      </c>
      <c r="F97" s="17"/>
      <c r="G97" s="17" t="s">
        <v>785</v>
      </c>
      <c r="H97" s="17" t="s">
        <v>929</v>
      </c>
      <c r="I97" s="147"/>
      <c r="J97" s="15"/>
      <c r="K97" s="15"/>
      <c r="L97" s="16"/>
      <c r="M97" s="26">
        <f>IFERROR(VLOOKUP(tblRiskRegister3234[[#This Row],[Asset Class]],tblVCDBIndex[],4,FALSE),"")</f>
        <v>1</v>
      </c>
      <c r="N97" s="29" t="str">
        <f>IFERROR(VLOOKUP(10*tblRiskRegister3234[[#This Row],[Safeguard Maturity Score]]+tblRiskRegister3234[[#This Row],[VCDB Index]],tblHITIndexWeightTable[],4,FALSE),"")</f>
        <v/>
      </c>
      <c r="O97" s="29" t="str">
        <f>VLOOKUP(tblRiskRegister3234[[#This Row],[Asset Class]],tblInherentImpacts30[],2,FALSE)</f>
        <v/>
      </c>
      <c r="P97" s="29">
        <f>VLOOKUP(tblRiskRegister3234[[#This Row],[Asset Class]],tblInherentImpacts30[],3,FALSE)</f>
        <v>0</v>
      </c>
      <c r="Q97" s="29">
        <f>VLOOKUP(tblRiskRegister3234[[#This Row],[Asset Class]],tblInherentImpacts30[],4,FALSE)</f>
        <v>0</v>
      </c>
      <c r="R97" s="29">
        <f>VLOOKUP(tblRiskRegister3234[[#This Row],[Asset Class]],tblInherentImpacts30[],5,FALSE)</f>
        <v>0</v>
      </c>
      <c r="S97" s="29" t="str">
        <f>IFERROR(MAX(tblRiskRegister3234[[#This Row],[Impact to Mission]:[Impact to Obligations]])*tblRiskRegister3234[[#This Row],[Expectancy Score]],"")</f>
        <v/>
      </c>
      <c r="T97" s="29" t="str">
        <f>tblRiskRegister3234[[#This Row],[Risk Score]]</f>
        <v/>
      </c>
      <c r="U97" s="100"/>
      <c r="V97" s="112">
        <v>6.4</v>
      </c>
      <c r="W97" s="44" t="s">
        <v>600</v>
      </c>
      <c r="X97" s="44" t="s">
        <v>698</v>
      </c>
      <c r="Y97" s="30"/>
      <c r="Z97" s="16"/>
      <c r="AA97" s="27" t="str">
        <f>IFERROR(VLOOKUP(10*tblRiskRegister3234[[#This Row],[Risk Treatment Safeguard Maturity Score]]+tblRiskRegister3234[[#This Row],[VCDB Index]],tblHITIndexWeightTable[],4,FALSE),"")</f>
        <v/>
      </c>
      <c r="AB97" s="138" t="str">
        <f>VLOOKUP(tblRiskRegister3234[[#This Row],[Asset Class]],tblInherentImpacts30[],2,FALSE)</f>
        <v/>
      </c>
      <c r="AC97" s="138">
        <f>VLOOKUP(tblRiskRegister3234[[#This Row],[Asset Class]],tblInherentImpacts30[],3,FALSE)</f>
        <v>0</v>
      </c>
      <c r="AD97" s="138">
        <f>VLOOKUP(tblRiskRegister3234[[#This Row],[Asset Class]],tblInherentImpacts30[],4,FALSE)</f>
        <v>0</v>
      </c>
      <c r="AE97" s="138">
        <f>VLOOKUP(tblRiskRegister3234[[#This Row],[Asset Class]],tblInherentImpacts30[],5,FALSE)</f>
        <v>0</v>
      </c>
      <c r="AF97" s="138" t="str">
        <f>IFERROR(MAX(tblRiskRegister3234[[#This Row],[Risk Treatment Safeguard Impact to Mission]:[Risk Treatment Safeguard Impact to Obligations]])*tblRiskRegister3234[[#This Row],[Risk Treatment
Safeguard Expectancy Score]],"")</f>
        <v/>
      </c>
      <c r="AG97" s="138" t="str">
        <f>IF(tblRiskRegister3234[[#This Row],[Risk Score]]&gt;AcceptableRisk,IF(tblRiskRegister3234[[#This Row],[Risk Treatment Safeguard Risk Score]]&lt;AcceptableRisk, IF(tblRiskRegister3234[[#This Row],[Risk Treatment Safeguard Risk Score]]&lt;=tblRiskRegister3234[[#This Row],[Risk Score]],"Yes","No"),"No"),"Yes")</f>
        <v>No</v>
      </c>
      <c r="AH97" s="18"/>
      <c r="AI97" s="18"/>
      <c r="AJ97" s="19"/>
    </row>
    <row r="98" spans="2:36" ht="25.5" x14ac:dyDescent="0.2">
      <c r="B98" s="44" t="s">
        <v>133</v>
      </c>
      <c r="C98" s="44"/>
      <c r="D98" s="13">
        <v>6.5</v>
      </c>
      <c r="E98" s="14" t="s">
        <v>601</v>
      </c>
      <c r="F98" s="17"/>
      <c r="G98" s="17" t="s">
        <v>785</v>
      </c>
      <c r="H98" s="17" t="s">
        <v>929</v>
      </c>
      <c r="I98" s="147"/>
      <c r="J98" s="15"/>
      <c r="K98" s="15"/>
      <c r="L98" s="16"/>
      <c r="M98" s="26">
        <f>IFERROR(VLOOKUP(tblRiskRegister3234[[#This Row],[Asset Class]],tblVCDBIndex[],4,FALSE),"")</f>
        <v>1</v>
      </c>
      <c r="N98" s="29" t="str">
        <f>IFERROR(VLOOKUP(10*tblRiskRegister3234[[#This Row],[Safeguard Maturity Score]]+tblRiskRegister3234[[#This Row],[VCDB Index]],tblHITIndexWeightTable[],4,FALSE),"")</f>
        <v/>
      </c>
      <c r="O98" s="29" t="str">
        <f>VLOOKUP(tblRiskRegister3234[[#This Row],[Asset Class]],tblInherentImpacts30[],2,FALSE)</f>
        <v/>
      </c>
      <c r="P98" s="29">
        <f>VLOOKUP(tblRiskRegister3234[[#This Row],[Asset Class]],tblInherentImpacts30[],3,FALSE)</f>
        <v>0</v>
      </c>
      <c r="Q98" s="29">
        <f>VLOOKUP(tblRiskRegister3234[[#This Row],[Asset Class]],tblInherentImpacts30[],4,FALSE)</f>
        <v>0</v>
      </c>
      <c r="R98" s="29">
        <f>VLOOKUP(tblRiskRegister3234[[#This Row],[Asset Class]],tblInherentImpacts30[],5,FALSE)</f>
        <v>0</v>
      </c>
      <c r="S98" s="29" t="str">
        <f>IFERROR(MAX(tblRiskRegister3234[[#This Row],[Impact to Mission]:[Impact to Obligations]])*tblRiskRegister3234[[#This Row],[Expectancy Score]],"")</f>
        <v/>
      </c>
      <c r="T98" s="29" t="str">
        <f>tblRiskRegister3234[[#This Row],[Risk Score]]</f>
        <v/>
      </c>
      <c r="U98" s="100"/>
      <c r="V98" s="112">
        <v>6.5</v>
      </c>
      <c r="W98" s="44" t="s">
        <v>601</v>
      </c>
      <c r="X98" s="44" t="s">
        <v>699</v>
      </c>
      <c r="Y98" s="30"/>
      <c r="Z98" s="16"/>
      <c r="AA98" s="27" t="str">
        <f>IFERROR(VLOOKUP(10*tblRiskRegister3234[[#This Row],[Risk Treatment Safeguard Maturity Score]]+tblRiskRegister3234[[#This Row],[VCDB Index]],tblHITIndexWeightTable[],4,FALSE),"")</f>
        <v/>
      </c>
      <c r="AB98" s="138" t="str">
        <f>VLOOKUP(tblRiskRegister3234[[#This Row],[Asset Class]],tblInherentImpacts30[],2,FALSE)</f>
        <v/>
      </c>
      <c r="AC98" s="138">
        <f>VLOOKUP(tblRiskRegister3234[[#This Row],[Asset Class]],tblInherentImpacts30[],3,FALSE)</f>
        <v>0</v>
      </c>
      <c r="AD98" s="138">
        <f>VLOOKUP(tblRiskRegister3234[[#This Row],[Asset Class]],tblInherentImpacts30[],4,FALSE)</f>
        <v>0</v>
      </c>
      <c r="AE98" s="138">
        <f>VLOOKUP(tblRiskRegister3234[[#This Row],[Asset Class]],tblInherentImpacts30[],5,FALSE)</f>
        <v>0</v>
      </c>
      <c r="AF98" s="138" t="str">
        <f>IFERROR(MAX(tblRiskRegister3234[[#This Row],[Risk Treatment Safeguard Impact to Mission]:[Risk Treatment Safeguard Impact to Obligations]])*tblRiskRegister3234[[#This Row],[Risk Treatment
Safeguard Expectancy Score]],"")</f>
        <v/>
      </c>
      <c r="AG98" s="138" t="str">
        <f>IF(tblRiskRegister3234[[#This Row],[Risk Score]]&gt;AcceptableRisk,IF(tblRiskRegister3234[[#This Row],[Risk Treatment Safeguard Risk Score]]&lt;AcceptableRisk, IF(tblRiskRegister3234[[#This Row],[Risk Treatment Safeguard Risk Score]]&lt;=tblRiskRegister3234[[#This Row],[Risk Score]],"Yes","No"),"No"),"Yes")</f>
        <v>No</v>
      </c>
      <c r="AH98" s="18"/>
      <c r="AI98" s="18"/>
      <c r="AJ98" s="19"/>
    </row>
    <row r="99" spans="2:36" ht="25.5" x14ac:dyDescent="0.2">
      <c r="B99" s="44" t="s">
        <v>133</v>
      </c>
      <c r="C99" s="44"/>
      <c r="D99" s="13">
        <v>6.6</v>
      </c>
      <c r="E99" s="14" t="s">
        <v>602</v>
      </c>
      <c r="F99" s="17"/>
      <c r="G99" s="17" t="s">
        <v>785</v>
      </c>
      <c r="H99" s="17" t="s">
        <v>929</v>
      </c>
      <c r="I99" s="147"/>
      <c r="J99" s="15"/>
      <c r="K99" s="15"/>
      <c r="L99" s="16"/>
      <c r="M99" s="26">
        <f>IFERROR(VLOOKUP(tblRiskRegister3234[[#This Row],[Asset Class]],tblVCDBIndex[],4,FALSE),"")</f>
        <v>1</v>
      </c>
      <c r="N99" s="29" t="str">
        <f>IFERROR(VLOOKUP(10*tblRiskRegister3234[[#This Row],[Safeguard Maturity Score]]+tblRiskRegister3234[[#This Row],[VCDB Index]],tblHITIndexWeightTable[],4,FALSE),"")</f>
        <v/>
      </c>
      <c r="O99" s="29" t="str">
        <f>VLOOKUP(tblRiskRegister3234[[#This Row],[Asset Class]],tblInherentImpacts30[],2,FALSE)</f>
        <v/>
      </c>
      <c r="P99" s="29">
        <f>VLOOKUP(tblRiskRegister3234[[#This Row],[Asset Class]],tblInherentImpacts30[],3,FALSE)</f>
        <v>0</v>
      </c>
      <c r="Q99" s="29">
        <f>VLOOKUP(tblRiskRegister3234[[#This Row],[Asset Class]],tblInherentImpacts30[],4,FALSE)</f>
        <v>0</v>
      </c>
      <c r="R99" s="29">
        <f>VLOOKUP(tblRiskRegister3234[[#This Row],[Asset Class]],tblInherentImpacts30[],5,FALSE)</f>
        <v>0</v>
      </c>
      <c r="S99" s="29" t="str">
        <f>IFERROR(MAX(tblRiskRegister3234[[#This Row],[Impact to Mission]:[Impact to Obligations]])*tblRiskRegister3234[[#This Row],[Expectancy Score]],"")</f>
        <v/>
      </c>
      <c r="T99" s="29" t="str">
        <f>tblRiskRegister3234[[#This Row],[Risk Score]]</f>
        <v/>
      </c>
      <c r="U99" s="100"/>
      <c r="V99" s="112">
        <v>6.6</v>
      </c>
      <c r="W99" s="44" t="s">
        <v>602</v>
      </c>
      <c r="X99" s="44" t="s">
        <v>700</v>
      </c>
      <c r="Y99" s="30"/>
      <c r="Z99" s="16"/>
      <c r="AA99" s="27" t="str">
        <f>IFERROR(VLOOKUP(10*tblRiskRegister3234[[#This Row],[Risk Treatment Safeguard Maturity Score]]+tblRiskRegister3234[[#This Row],[VCDB Index]],tblHITIndexWeightTable[],4,FALSE),"")</f>
        <v/>
      </c>
      <c r="AB99" s="138" t="str">
        <f>VLOOKUP(tblRiskRegister3234[[#This Row],[Asset Class]],tblInherentImpacts30[],2,FALSE)</f>
        <v/>
      </c>
      <c r="AC99" s="138">
        <f>VLOOKUP(tblRiskRegister3234[[#This Row],[Asset Class]],tblInherentImpacts30[],3,FALSE)</f>
        <v>0</v>
      </c>
      <c r="AD99" s="138">
        <f>VLOOKUP(tblRiskRegister3234[[#This Row],[Asset Class]],tblInherentImpacts30[],4,FALSE)</f>
        <v>0</v>
      </c>
      <c r="AE99" s="138">
        <f>VLOOKUP(tblRiskRegister3234[[#This Row],[Asset Class]],tblInherentImpacts30[],5,FALSE)</f>
        <v>0</v>
      </c>
      <c r="AF99" s="138" t="str">
        <f>IFERROR(MAX(tblRiskRegister3234[[#This Row],[Risk Treatment Safeguard Impact to Mission]:[Risk Treatment Safeguard Impact to Obligations]])*tblRiskRegister3234[[#This Row],[Risk Treatment
Safeguard Expectancy Score]],"")</f>
        <v/>
      </c>
      <c r="AG99" s="138" t="str">
        <f>IF(tblRiskRegister3234[[#This Row],[Risk Score]]&gt;AcceptableRisk,IF(tblRiskRegister3234[[#This Row],[Risk Treatment Safeguard Risk Score]]&lt;AcceptableRisk, IF(tblRiskRegister3234[[#This Row],[Risk Treatment Safeguard Risk Score]]&lt;=tblRiskRegister3234[[#This Row],[Risk Score]],"Yes","No"),"No"),"Yes")</f>
        <v>No</v>
      </c>
      <c r="AH99" s="18"/>
      <c r="AI99" s="18"/>
      <c r="AJ99" s="19"/>
    </row>
    <row r="100" spans="2:36" x14ac:dyDescent="0.2">
      <c r="B100" s="44" t="s">
        <v>133</v>
      </c>
      <c r="C100" s="44"/>
      <c r="D100" s="13">
        <v>6.7</v>
      </c>
      <c r="E100" s="14" t="s">
        <v>603</v>
      </c>
      <c r="F100" s="17"/>
      <c r="G100" s="17" t="s">
        <v>785</v>
      </c>
      <c r="H100" s="17" t="s">
        <v>929</v>
      </c>
      <c r="I100" s="147"/>
      <c r="J100" s="15"/>
      <c r="K100" s="15"/>
      <c r="L100" s="16"/>
      <c r="M100" s="26">
        <f>IFERROR(VLOOKUP(tblRiskRegister3234[[#This Row],[Asset Class]],tblVCDBIndex[],4,FALSE),"")</f>
        <v>1</v>
      </c>
      <c r="N100" s="29" t="str">
        <f>IFERROR(VLOOKUP(10*tblRiskRegister3234[[#This Row],[Safeguard Maturity Score]]+tblRiskRegister3234[[#This Row],[VCDB Index]],tblHITIndexWeightTable[],4,FALSE),"")</f>
        <v/>
      </c>
      <c r="O100" s="29" t="str">
        <f>VLOOKUP(tblRiskRegister3234[[#This Row],[Asset Class]],tblInherentImpacts30[],2,FALSE)</f>
        <v/>
      </c>
      <c r="P100" s="29">
        <f>VLOOKUP(tblRiskRegister3234[[#This Row],[Asset Class]],tblInherentImpacts30[],3,FALSE)</f>
        <v>0</v>
      </c>
      <c r="Q100" s="29">
        <f>VLOOKUP(tblRiskRegister3234[[#This Row],[Asset Class]],tblInherentImpacts30[],4,FALSE)</f>
        <v>0</v>
      </c>
      <c r="R100" s="29">
        <f>VLOOKUP(tblRiskRegister3234[[#This Row],[Asset Class]],tblInherentImpacts30[],5,FALSE)</f>
        <v>0</v>
      </c>
      <c r="S100" s="29" t="str">
        <f>IFERROR(MAX(tblRiskRegister3234[[#This Row],[Impact to Mission]:[Impact to Obligations]])*tblRiskRegister3234[[#This Row],[Expectancy Score]],"")</f>
        <v/>
      </c>
      <c r="T100" s="29" t="str">
        <f>tblRiskRegister3234[[#This Row],[Risk Score]]</f>
        <v/>
      </c>
      <c r="U100" s="100"/>
      <c r="V100" s="112">
        <v>6.7</v>
      </c>
      <c r="W100" s="44" t="s">
        <v>603</v>
      </c>
      <c r="X100" s="44" t="s">
        <v>701</v>
      </c>
      <c r="Y100" s="30"/>
      <c r="Z100" s="16"/>
      <c r="AA100" s="27" t="str">
        <f>IFERROR(VLOOKUP(10*tblRiskRegister3234[[#This Row],[Risk Treatment Safeguard Maturity Score]]+tblRiskRegister3234[[#This Row],[VCDB Index]],tblHITIndexWeightTable[],4,FALSE),"")</f>
        <v/>
      </c>
      <c r="AB100" s="138" t="str">
        <f>VLOOKUP(tblRiskRegister3234[[#This Row],[Asset Class]],tblInherentImpacts30[],2,FALSE)</f>
        <v/>
      </c>
      <c r="AC100" s="138">
        <f>VLOOKUP(tblRiskRegister3234[[#This Row],[Asset Class]],tblInherentImpacts30[],3,FALSE)</f>
        <v>0</v>
      </c>
      <c r="AD100" s="138">
        <f>VLOOKUP(tblRiskRegister3234[[#This Row],[Asset Class]],tblInherentImpacts30[],4,FALSE)</f>
        <v>0</v>
      </c>
      <c r="AE100" s="138">
        <f>VLOOKUP(tblRiskRegister3234[[#This Row],[Asset Class]],tblInherentImpacts30[],5,FALSE)</f>
        <v>0</v>
      </c>
      <c r="AF100" s="138" t="str">
        <f>IFERROR(MAX(tblRiskRegister3234[[#This Row],[Risk Treatment Safeguard Impact to Mission]:[Risk Treatment Safeguard Impact to Obligations]])*tblRiskRegister3234[[#This Row],[Risk Treatment
Safeguard Expectancy Score]],"")</f>
        <v/>
      </c>
      <c r="AG100" s="138" t="str">
        <f>IF(tblRiskRegister3234[[#This Row],[Risk Score]]&gt;AcceptableRisk,IF(tblRiskRegister3234[[#This Row],[Risk Treatment Safeguard Risk Score]]&lt;AcceptableRisk, IF(tblRiskRegister3234[[#This Row],[Risk Treatment Safeguard Risk Score]]&lt;=tblRiskRegister3234[[#This Row],[Risk Score]],"Yes","No"),"No"),"Yes")</f>
        <v>No</v>
      </c>
      <c r="AH100" s="18"/>
      <c r="AI100" s="18"/>
      <c r="AJ100" s="19"/>
    </row>
    <row r="101" spans="2:36" ht="51" x14ac:dyDescent="0.2">
      <c r="B101" s="44" t="s">
        <v>133</v>
      </c>
      <c r="C101" s="44"/>
      <c r="D101" s="13">
        <v>7.4</v>
      </c>
      <c r="E101" s="14" t="s">
        <v>281</v>
      </c>
      <c r="F101" s="17"/>
      <c r="G101" s="17" t="s">
        <v>785</v>
      </c>
      <c r="H101" s="17" t="s">
        <v>928</v>
      </c>
      <c r="I101" s="147"/>
      <c r="J101" s="15"/>
      <c r="K101" s="15"/>
      <c r="L101" s="16"/>
      <c r="M101" s="26">
        <f>IFERROR(VLOOKUP(tblRiskRegister3234[[#This Row],[Asset Class]],tblVCDBIndex[],4,FALSE),"")</f>
        <v>1</v>
      </c>
      <c r="N101" s="29" t="str">
        <f>IFERROR(VLOOKUP(10*tblRiskRegister3234[[#This Row],[Safeguard Maturity Score]]+tblRiskRegister3234[[#This Row],[VCDB Index]],tblHITIndexWeightTable[],4,FALSE),"")</f>
        <v/>
      </c>
      <c r="O101" s="29" t="str">
        <f>VLOOKUP(tblRiskRegister3234[[#This Row],[Asset Class]],tblInherentImpacts30[],2,FALSE)</f>
        <v/>
      </c>
      <c r="P101" s="29">
        <f>VLOOKUP(tblRiskRegister3234[[#This Row],[Asset Class]],tblInherentImpacts30[],3,FALSE)</f>
        <v>0</v>
      </c>
      <c r="Q101" s="29">
        <f>VLOOKUP(tblRiskRegister3234[[#This Row],[Asset Class]],tblInherentImpacts30[],4,FALSE)</f>
        <v>0</v>
      </c>
      <c r="R101" s="29">
        <f>VLOOKUP(tblRiskRegister3234[[#This Row],[Asset Class]],tblInherentImpacts30[],5,FALSE)</f>
        <v>0</v>
      </c>
      <c r="S101" s="29" t="str">
        <f>IFERROR(MAX(tblRiskRegister3234[[#This Row],[Impact to Mission]:[Impact to Obligations]])*tblRiskRegister3234[[#This Row],[Expectancy Score]],"")</f>
        <v/>
      </c>
      <c r="T101" s="29" t="str">
        <f>tblRiskRegister3234[[#This Row],[Risk Score]]</f>
        <v/>
      </c>
      <c r="U101" s="100"/>
      <c r="V101" s="112">
        <v>7.4</v>
      </c>
      <c r="W101" s="44" t="s">
        <v>281</v>
      </c>
      <c r="X101" s="44" t="s">
        <v>704</v>
      </c>
      <c r="Y101" s="30"/>
      <c r="Z101" s="16"/>
      <c r="AA101" s="27" t="str">
        <f>IFERROR(VLOOKUP(10*tblRiskRegister3234[[#This Row],[Risk Treatment Safeguard Maturity Score]]+tblRiskRegister3234[[#This Row],[VCDB Index]],tblHITIndexWeightTable[],4,FALSE),"")</f>
        <v/>
      </c>
      <c r="AB101" s="138" t="str">
        <f>VLOOKUP(tblRiskRegister3234[[#This Row],[Asset Class]],tblInherentImpacts30[],2,FALSE)</f>
        <v/>
      </c>
      <c r="AC101" s="138">
        <f>VLOOKUP(tblRiskRegister3234[[#This Row],[Asset Class]],tblInherentImpacts30[],3,FALSE)</f>
        <v>0</v>
      </c>
      <c r="AD101" s="138">
        <f>VLOOKUP(tblRiskRegister3234[[#This Row],[Asset Class]],tblInherentImpacts30[],4,FALSE)</f>
        <v>0</v>
      </c>
      <c r="AE101" s="138">
        <f>VLOOKUP(tblRiskRegister3234[[#This Row],[Asset Class]],tblInherentImpacts30[],5,FALSE)</f>
        <v>0</v>
      </c>
      <c r="AF101" s="138" t="str">
        <f>IFERROR(MAX(tblRiskRegister3234[[#This Row],[Risk Treatment Safeguard Impact to Mission]:[Risk Treatment Safeguard Impact to Obligations]])*tblRiskRegister3234[[#This Row],[Risk Treatment
Safeguard Expectancy Score]],"")</f>
        <v/>
      </c>
      <c r="AG101" s="138" t="str">
        <f>IF(tblRiskRegister3234[[#This Row],[Risk Score]]&gt;AcceptableRisk,IF(tblRiskRegister3234[[#This Row],[Risk Treatment Safeguard Risk Score]]&lt;AcceptableRisk, IF(tblRiskRegister3234[[#This Row],[Risk Treatment Safeguard Risk Score]]&lt;=tblRiskRegister3234[[#This Row],[Risk Score]],"Yes","No"),"No"),"Yes")</f>
        <v>No</v>
      </c>
      <c r="AH101" s="18"/>
      <c r="AI101" s="18"/>
      <c r="AJ101" s="19"/>
    </row>
    <row r="102" spans="2:36" ht="38.25" x14ac:dyDescent="0.2">
      <c r="B102" s="44" t="s">
        <v>133</v>
      </c>
      <c r="C102" s="44"/>
      <c r="D102" s="13">
        <v>7.5</v>
      </c>
      <c r="E102" s="14" t="s">
        <v>606</v>
      </c>
      <c r="F102" s="17"/>
      <c r="G102" s="17" t="s">
        <v>785</v>
      </c>
      <c r="H102" s="17" t="s">
        <v>928</v>
      </c>
      <c r="I102" s="147"/>
      <c r="J102" s="15"/>
      <c r="K102" s="15"/>
      <c r="L102" s="16"/>
      <c r="M102" s="26">
        <f>IFERROR(VLOOKUP(tblRiskRegister3234[[#This Row],[Asset Class]],tblVCDBIndex[],4,FALSE),"")</f>
        <v>1</v>
      </c>
      <c r="N102" s="29" t="str">
        <f>IFERROR(VLOOKUP(10*tblRiskRegister3234[[#This Row],[Safeguard Maturity Score]]+tblRiskRegister3234[[#This Row],[VCDB Index]],tblHITIndexWeightTable[],4,FALSE),"")</f>
        <v/>
      </c>
      <c r="O102" s="29" t="str">
        <f>VLOOKUP(tblRiskRegister3234[[#This Row],[Asset Class]],tblInherentImpacts30[],2,FALSE)</f>
        <v/>
      </c>
      <c r="P102" s="29">
        <f>VLOOKUP(tblRiskRegister3234[[#This Row],[Asset Class]],tblInherentImpacts30[],3,FALSE)</f>
        <v>0</v>
      </c>
      <c r="Q102" s="29">
        <f>VLOOKUP(tblRiskRegister3234[[#This Row],[Asset Class]],tblInherentImpacts30[],4,FALSE)</f>
        <v>0</v>
      </c>
      <c r="R102" s="29">
        <f>VLOOKUP(tblRiskRegister3234[[#This Row],[Asset Class]],tblInherentImpacts30[],5,FALSE)</f>
        <v>0</v>
      </c>
      <c r="S102" s="29" t="str">
        <f>IFERROR(MAX(tblRiskRegister3234[[#This Row],[Impact to Mission]:[Impact to Obligations]])*tblRiskRegister3234[[#This Row],[Expectancy Score]],"")</f>
        <v/>
      </c>
      <c r="T102" s="29" t="str">
        <f>tblRiskRegister3234[[#This Row],[Risk Score]]</f>
        <v/>
      </c>
      <c r="U102" s="100"/>
      <c r="V102" s="112">
        <v>7.5</v>
      </c>
      <c r="W102" s="44" t="s">
        <v>606</v>
      </c>
      <c r="X102" s="44" t="s">
        <v>705</v>
      </c>
      <c r="Y102" s="30"/>
      <c r="Z102" s="16"/>
      <c r="AA102" s="27" t="str">
        <f>IFERROR(VLOOKUP(10*tblRiskRegister3234[[#This Row],[Risk Treatment Safeguard Maturity Score]]+tblRiskRegister3234[[#This Row],[VCDB Index]],tblHITIndexWeightTable[],4,FALSE),"")</f>
        <v/>
      </c>
      <c r="AB102" s="138" t="str">
        <f>VLOOKUP(tblRiskRegister3234[[#This Row],[Asset Class]],tblInherentImpacts30[],2,FALSE)</f>
        <v/>
      </c>
      <c r="AC102" s="138">
        <f>VLOOKUP(tblRiskRegister3234[[#This Row],[Asset Class]],tblInherentImpacts30[],3,FALSE)</f>
        <v>0</v>
      </c>
      <c r="AD102" s="138">
        <f>VLOOKUP(tblRiskRegister3234[[#This Row],[Asset Class]],tblInherentImpacts30[],4,FALSE)</f>
        <v>0</v>
      </c>
      <c r="AE102" s="138">
        <f>VLOOKUP(tblRiskRegister3234[[#This Row],[Asset Class]],tblInherentImpacts30[],5,FALSE)</f>
        <v>0</v>
      </c>
      <c r="AF102" s="138" t="str">
        <f>IFERROR(MAX(tblRiskRegister3234[[#This Row],[Risk Treatment Safeguard Impact to Mission]:[Risk Treatment Safeguard Impact to Obligations]])*tblRiskRegister3234[[#This Row],[Risk Treatment
Safeguard Expectancy Score]],"")</f>
        <v/>
      </c>
      <c r="AG102" s="138" t="str">
        <f>IF(tblRiskRegister3234[[#This Row],[Risk Score]]&gt;AcceptableRisk,IF(tblRiskRegister3234[[#This Row],[Risk Treatment Safeguard Risk Score]]&lt;AcceptableRisk, IF(tblRiskRegister3234[[#This Row],[Risk Treatment Safeguard Risk Score]]&lt;=tblRiskRegister3234[[#This Row],[Risk Score]],"Yes","No"),"No"),"Yes")</f>
        <v>No</v>
      </c>
      <c r="AH102" s="18"/>
      <c r="AI102" s="18"/>
      <c r="AJ102" s="19"/>
    </row>
    <row r="103" spans="2:36" ht="38.25" x14ac:dyDescent="0.2">
      <c r="B103" s="44" t="s">
        <v>133</v>
      </c>
      <c r="C103" s="44"/>
      <c r="D103" s="13">
        <v>7.6</v>
      </c>
      <c r="E103" s="14" t="s">
        <v>607</v>
      </c>
      <c r="F103" s="17"/>
      <c r="G103" s="17" t="s">
        <v>785</v>
      </c>
      <c r="H103" s="17" t="s">
        <v>929</v>
      </c>
      <c r="I103" s="147"/>
      <c r="J103" s="15"/>
      <c r="K103" s="15"/>
      <c r="L103" s="16"/>
      <c r="M103" s="26">
        <f>IFERROR(VLOOKUP(tblRiskRegister3234[[#This Row],[Asset Class]],tblVCDBIndex[],4,FALSE),"")</f>
        <v>1</v>
      </c>
      <c r="N103" s="29" t="str">
        <f>IFERROR(VLOOKUP(10*tblRiskRegister3234[[#This Row],[Safeguard Maturity Score]]+tblRiskRegister3234[[#This Row],[VCDB Index]],tblHITIndexWeightTable[],4,FALSE),"")</f>
        <v/>
      </c>
      <c r="O103" s="29" t="str">
        <f>VLOOKUP(tblRiskRegister3234[[#This Row],[Asset Class]],tblInherentImpacts30[],2,FALSE)</f>
        <v/>
      </c>
      <c r="P103" s="29">
        <f>VLOOKUP(tblRiskRegister3234[[#This Row],[Asset Class]],tblInherentImpacts30[],3,FALSE)</f>
        <v>0</v>
      </c>
      <c r="Q103" s="29">
        <f>VLOOKUP(tblRiskRegister3234[[#This Row],[Asset Class]],tblInherentImpacts30[],4,FALSE)</f>
        <v>0</v>
      </c>
      <c r="R103" s="29">
        <f>VLOOKUP(tblRiskRegister3234[[#This Row],[Asset Class]],tblInherentImpacts30[],5,FALSE)</f>
        <v>0</v>
      </c>
      <c r="S103" s="29" t="str">
        <f>IFERROR(MAX(tblRiskRegister3234[[#This Row],[Impact to Mission]:[Impact to Obligations]])*tblRiskRegister3234[[#This Row],[Expectancy Score]],"")</f>
        <v/>
      </c>
      <c r="T103" s="29" t="str">
        <f>tblRiskRegister3234[[#This Row],[Risk Score]]</f>
        <v/>
      </c>
      <c r="U103" s="100"/>
      <c r="V103" s="112">
        <v>7.6</v>
      </c>
      <c r="W103" s="44" t="s">
        <v>607</v>
      </c>
      <c r="X103" s="44" t="s">
        <v>706</v>
      </c>
      <c r="Y103" s="30"/>
      <c r="Z103" s="16"/>
      <c r="AA103" s="27" t="str">
        <f>IFERROR(VLOOKUP(10*tblRiskRegister3234[[#This Row],[Risk Treatment Safeguard Maturity Score]]+tblRiskRegister3234[[#This Row],[VCDB Index]],tblHITIndexWeightTable[],4,FALSE),"")</f>
        <v/>
      </c>
      <c r="AB103" s="138" t="str">
        <f>VLOOKUP(tblRiskRegister3234[[#This Row],[Asset Class]],tblInherentImpacts30[],2,FALSE)</f>
        <v/>
      </c>
      <c r="AC103" s="138">
        <f>VLOOKUP(tblRiskRegister3234[[#This Row],[Asset Class]],tblInherentImpacts30[],3,FALSE)</f>
        <v>0</v>
      </c>
      <c r="AD103" s="138">
        <f>VLOOKUP(tblRiskRegister3234[[#This Row],[Asset Class]],tblInherentImpacts30[],4,FALSE)</f>
        <v>0</v>
      </c>
      <c r="AE103" s="138">
        <f>VLOOKUP(tblRiskRegister3234[[#This Row],[Asset Class]],tblInherentImpacts30[],5,FALSE)</f>
        <v>0</v>
      </c>
      <c r="AF103" s="138" t="str">
        <f>IFERROR(MAX(tblRiskRegister3234[[#This Row],[Risk Treatment Safeguard Impact to Mission]:[Risk Treatment Safeguard Impact to Obligations]])*tblRiskRegister3234[[#This Row],[Risk Treatment
Safeguard Expectancy Score]],"")</f>
        <v/>
      </c>
      <c r="AG103" s="138" t="str">
        <f>IF(tblRiskRegister3234[[#This Row],[Risk Score]]&gt;AcceptableRisk,IF(tblRiskRegister3234[[#This Row],[Risk Treatment Safeguard Risk Score]]&lt;AcceptableRisk, IF(tblRiskRegister3234[[#This Row],[Risk Treatment Safeguard Risk Score]]&lt;=tblRiskRegister3234[[#This Row],[Risk Score]],"Yes","No"),"No"),"Yes")</f>
        <v>No</v>
      </c>
      <c r="AH103" s="18"/>
      <c r="AI103" s="18"/>
      <c r="AJ103" s="19"/>
    </row>
    <row r="104" spans="2:36" ht="25.5" x14ac:dyDescent="0.2">
      <c r="B104" s="44" t="s">
        <v>133</v>
      </c>
      <c r="C104" s="44"/>
      <c r="D104" s="13">
        <v>7.7</v>
      </c>
      <c r="E104" s="14" t="s">
        <v>25</v>
      </c>
      <c r="F104" s="17" t="s">
        <v>785</v>
      </c>
      <c r="G104" s="17" t="s">
        <v>785</v>
      </c>
      <c r="H104" s="17" t="s">
        <v>928</v>
      </c>
      <c r="I104" s="147"/>
      <c r="J104" s="15"/>
      <c r="K104" s="15"/>
      <c r="L104" s="16"/>
      <c r="M104" s="26">
        <f>IFERROR(VLOOKUP(tblRiskRegister3234[[#This Row],[Asset Class]],tblVCDBIndex[],4,FALSE),"")</f>
        <v>1</v>
      </c>
      <c r="N104" s="29" t="str">
        <f>IFERROR(VLOOKUP(10*tblRiskRegister3234[[#This Row],[Safeguard Maturity Score]]+tblRiskRegister3234[[#This Row],[VCDB Index]],tblHITIndexWeightTable[],4,FALSE),"")</f>
        <v/>
      </c>
      <c r="O104" s="29" t="str">
        <f>VLOOKUP(tblRiskRegister3234[[#This Row],[Asset Class]],tblInherentImpacts30[],2,FALSE)</f>
        <v/>
      </c>
      <c r="P104" s="29">
        <f>VLOOKUP(tblRiskRegister3234[[#This Row],[Asset Class]],tblInherentImpacts30[],3,FALSE)</f>
        <v>0</v>
      </c>
      <c r="Q104" s="29">
        <f>VLOOKUP(tblRiskRegister3234[[#This Row],[Asset Class]],tblInherentImpacts30[],4,FALSE)</f>
        <v>0</v>
      </c>
      <c r="R104" s="29">
        <f>VLOOKUP(tblRiskRegister3234[[#This Row],[Asset Class]],tblInherentImpacts30[],5,FALSE)</f>
        <v>0</v>
      </c>
      <c r="S104" s="29" t="str">
        <f>IFERROR(MAX(tblRiskRegister3234[[#This Row],[Impact to Mission]:[Impact to Obligations]])*tblRiskRegister3234[[#This Row],[Expectancy Score]],"")</f>
        <v/>
      </c>
      <c r="T104" s="29" t="str">
        <f>tblRiskRegister3234[[#This Row],[Risk Score]]</f>
        <v/>
      </c>
      <c r="U104" s="100"/>
      <c r="V104" s="112">
        <v>7.7</v>
      </c>
      <c r="W104" s="44" t="s">
        <v>25</v>
      </c>
      <c r="X104" s="44" t="s">
        <v>707</v>
      </c>
      <c r="Y104" s="30"/>
      <c r="Z104" s="16"/>
      <c r="AA104" s="27" t="str">
        <f>IFERROR(VLOOKUP(10*tblRiskRegister3234[[#This Row],[Risk Treatment Safeguard Maturity Score]]+tblRiskRegister3234[[#This Row],[VCDB Index]],tblHITIndexWeightTable[],4,FALSE),"")</f>
        <v/>
      </c>
      <c r="AB104" s="138" t="str">
        <f>VLOOKUP(tblRiskRegister3234[[#This Row],[Asset Class]],tblInherentImpacts30[],2,FALSE)</f>
        <v/>
      </c>
      <c r="AC104" s="138">
        <f>VLOOKUP(tblRiskRegister3234[[#This Row],[Asset Class]],tblInherentImpacts30[],3,FALSE)</f>
        <v>0</v>
      </c>
      <c r="AD104" s="138">
        <f>VLOOKUP(tblRiskRegister3234[[#This Row],[Asset Class]],tblInherentImpacts30[],4,FALSE)</f>
        <v>0</v>
      </c>
      <c r="AE104" s="138">
        <f>VLOOKUP(tblRiskRegister3234[[#This Row],[Asset Class]],tblInherentImpacts30[],5,FALSE)</f>
        <v>0</v>
      </c>
      <c r="AF104" s="138" t="str">
        <f>IFERROR(MAX(tblRiskRegister3234[[#This Row],[Risk Treatment Safeguard Impact to Mission]:[Risk Treatment Safeguard Impact to Obligations]])*tblRiskRegister3234[[#This Row],[Risk Treatment
Safeguard Expectancy Score]],"")</f>
        <v/>
      </c>
      <c r="AG104" s="138" t="str">
        <f>IF(tblRiskRegister3234[[#This Row],[Risk Score]]&gt;AcceptableRisk,IF(tblRiskRegister3234[[#This Row],[Risk Treatment Safeguard Risk Score]]&lt;AcceptableRisk, IF(tblRiskRegister3234[[#This Row],[Risk Treatment Safeguard Risk Score]]&lt;=tblRiskRegister3234[[#This Row],[Risk Score]],"Yes","No"),"No"),"Yes")</f>
        <v>No</v>
      </c>
      <c r="AH104" s="18"/>
      <c r="AI104" s="18"/>
      <c r="AJ104" s="19"/>
    </row>
    <row r="105" spans="2:36" ht="51" x14ac:dyDescent="0.2">
      <c r="B105" s="15" t="s">
        <v>133</v>
      </c>
      <c r="C105" s="15"/>
      <c r="D105" s="13">
        <v>7.8</v>
      </c>
      <c r="E105" s="14" t="s">
        <v>608</v>
      </c>
      <c r="F105" s="17"/>
      <c r="G105" s="17" t="s">
        <v>785</v>
      </c>
      <c r="H105" s="17" t="s">
        <v>928</v>
      </c>
      <c r="I105" s="147"/>
      <c r="J105" s="15"/>
      <c r="K105" s="15"/>
      <c r="L105" s="16"/>
      <c r="M105" s="26">
        <f>IFERROR(VLOOKUP(tblRiskRegister3234[[#This Row],[Asset Class]],tblVCDBIndex[],4,FALSE),"")</f>
        <v>1</v>
      </c>
      <c r="N105" s="26" t="str">
        <f>IFERROR(VLOOKUP(10*tblRiskRegister3234[[#This Row],[Safeguard Maturity Score]]+tblRiskRegister3234[[#This Row],[VCDB Index]],tblHITIndexWeightTable[],4,FALSE),"")</f>
        <v/>
      </c>
      <c r="O105" s="26" t="str">
        <f>VLOOKUP(tblRiskRegister3234[[#This Row],[Asset Class]],tblInherentImpacts30[],2,FALSE)</f>
        <v/>
      </c>
      <c r="P105" s="26">
        <f>VLOOKUP(tblRiskRegister3234[[#This Row],[Asset Class]],tblInherentImpacts30[],3,FALSE)</f>
        <v>0</v>
      </c>
      <c r="Q105" s="26">
        <f>VLOOKUP(tblRiskRegister3234[[#This Row],[Asset Class]],tblInherentImpacts30[],4,FALSE)</f>
        <v>0</v>
      </c>
      <c r="R105" s="26">
        <f>VLOOKUP(tblRiskRegister3234[[#This Row],[Asset Class]],tblInherentImpacts30[],5,FALSE)</f>
        <v>0</v>
      </c>
      <c r="S105" s="26" t="str">
        <f>IFERROR(MAX(tblRiskRegister3234[[#This Row],[Impact to Mission]:[Impact to Obligations]])*tblRiskRegister3234[[#This Row],[Expectancy Score]],"")</f>
        <v/>
      </c>
      <c r="T105" s="26" t="str">
        <f>tblRiskRegister3234[[#This Row],[Risk Score]]</f>
        <v/>
      </c>
      <c r="U105" s="100"/>
      <c r="V105" s="100">
        <v>7.8</v>
      </c>
      <c r="W105" s="15" t="s">
        <v>608</v>
      </c>
      <c r="X105" s="15" t="s">
        <v>708</v>
      </c>
      <c r="Y105" s="15"/>
      <c r="Z105" s="16"/>
      <c r="AA105" s="27" t="str">
        <f>IFERROR(VLOOKUP(10*tblRiskRegister3234[[#This Row],[Risk Treatment Safeguard Maturity Score]]+tblRiskRegister3234[[#This Row],[VCDB Index]],tblHITIndexWeightTable[],4,FALSE),"")</f>
        <v/>
      </c>
      <c r="AB105" s="138" t="str">
        <f>VLOOKUP(tblRiskRegister3234[[#This Row],[Asset Class]],tblInherentImpacts30[],2,FALSE)</f>
        <v/>
      </c>
      <c r="AC105" s="138">
        <f>VLOOKUP(tblRiskRegister3234[[#This Row],[Asset Class]],tblInherentImpacts30[],3,FALSE)</f>
        <v>0</v>
      </c>
      <c r="AD105" s="138">
        <f>VLOOKUP(tblRiskRegister3234[[#This Row],[Asset Class]],tblInherentImpacts30[],4,FALSE)</f>
        <v>0</v>
      </c>
      <c r="AE105" s="138">
        <f>VLOOKUP(tblRiskRegister3234[[#This Row],[Asset Class]],tblInherentImpacts30[],5,FALSE)</f>
        <v>0</v>
      </c>
      <c r="AF105" s="138" t="str">
        <f>IFERROR(MAX(tblRiskRegister3234[[#This Row],[Risk Treatment Safeguard Impact to Mission]:[Risk Treatment Safeguard Impact to Obligations]])*tblRiskRegister3234[[#This Row],[Risk Treatment
Safeguard Expectancy Score]],"")</f>
        <v/>
      </c>
      <c r="AG105" s="138" t="str">
        <f>IF(tblRiskRegister3234[[#This Row],[Risk Score]]&gt;AcceptableRisk,IF(tblRiskRegister3234[[#This Row],[Risk Treatment Safeguard Risk Score]]&lt;AcceptableRisk, IF(tblRiskRegister3234[[#This Row],[Risk Treatment Safeguard Risk Score]]&lt;=tblRiskRegister3234[[#This Row],[Risk Score]],"Yes","No"),"No"),"Yes")</f>
        <v>No</v>
      </c>
      <c r="AH105" s="18"/>
      <c r="AI105" s="18"/>
      <c r="AJ105" s="19"/>
    </row>
    <row r="106" spans="2:36" ht="25.5" x14ac:dyDescent="0.2">
      <c r="B106" s="15" t="s">
        <v>133</v>
      </c>
      <c r="C106" s="15"/>
      <c r="D106" s="13">
        <v>7.9</v>
      </c>
      <c r="E106" s="14" t="s">
        <v>283</v>
      </c>
      <c r="F106" s="17"/>
      <c r="G106" s="17" t="s">
        <v>785</v>
      </c>
      <c r="H106" s="17" t="s">
        <v>928</v>
      </c>
      <c r="I106" s="147"/>
      <c r="J106" s="15"/>
      <c r="K106" s="15"/>
      <c r="L106" s="16"/>
      <c r="M106" s="26">
        <f>IFERROR(VLOOKUP(tblRiskRegister3234[[#This Row],[Asset Class]],tblVCDBIndex[],4,FALSE),"")</f>
        <v>1</v>
      </c>
      <c r="N106" s="26" t="str">
        <f>IFERROR(VLOOKUP(10*tblRiskRegister3234[[#This Row],[Safeguard Maturity Score]]+tblRiskRegister3234[[#This Row],[VCDB Index]],tblHITIndexWeightTable[],4,FALSE),"")</f>
        <v/>
      </c>
      <c r="O106" s="26" t="str">
        <f>VLOOKUP(tblRiskRegister3234[[#This Row],[Asset Class]],tblInherentImpacts30[],2,FALSE)</f>
        <v/>
      </c>
      <c r="P106" s="26">
        <f>VLOOKUP(tblRiskRegister3234[[#This Row],[Asset Class]],tblInherentImpacts30[],3,FALSE)</f>
        <v>0</v>
      </c>
      <c r="Q106" s="26">
        <f>VLOOKUP(tblRiskRegister3234[[#This Row],[Asset Class]],tblInherentImpacts30[],4,FALSE)</f>
        <v>0</v>
      </c>
      <c r="R106" s="26">
        <f>VLOOKUP(tblRiskRegister3234[[#This Row],[Asset Class]],tblInherentImpacts30[],5,FALSE)</f>
        <v>0</v>
      </c>
      <c r="S106" s="26" t="str">
        <f>IFERROR(MAX(tblRiskRegister3234[[#This Row],[Impact to Mission]:[Impact to Obligations]])*tblRiskRegister3234[[#This Row],[Expectancy Score]],"")</f>
        <v/>
      </c>
      <c r="T106" s="26" t="str">
        <f>tblRiskRegister3234[[#This Row],[Risk Score]]</f>
        <v/>
      </c>
      <c r="U106" s="100"/>
      <c r="V106" s="100">
        <v>7.9</v>
      </c>
      <c r="W106" s="15" t="s">
        <v>283</v>
      </c>
      <c r="X106" s="15" t="s">
        <v>709</v>
      </c>
      <c r="Y106" s="15"/>
      <c r="Z106" s="16"/>
      <c r="AA106" s="27" t="str">
        <f>IFERROR(VLOOKUP(10*tblRiskRegister3234[[#This Row],[Risk Treatment Safeguard Maturity Score]]+tblRiskRegister3234[[#This Row],[VCDB Index]],tblHITIndexWeightTable[],4,FALSE),"")</f>
        <v/>
      </c>
      <c r="AB106" s="138" t="str">
        <f>VLOOKUP(tblRiskRegister3234[[#This Row],[Asset Class]],tblInherentImpacts30[],2,FALSE)</f>
        <v/>
      </c>
      <c r="AC106" s="138">
        <f>VLOOKUP(tblRiskRegister3234[[#This Row],[Asset Class]],tblInherentImpacts30[],3,FALSE)</f>
        <v>0</v>
      </c>
      <c r="AD106" s="138">
        <f>VLOOKUP(tblRiskRegister3234[[#This Row],[Asset Class]],tblInherentImpacts30[],4,FALSE)</f>
        <v>0</v>
      </c>
      <c r="AE106" s="138">
        <f>VLOOKUP(tblRiskRegister3234[[#This Row],[Asset Class]],tblInherentImpacts30[],5,FALSE)</f>
        <v>0</v>
      </c>
      <c r="AF106" s="138" t="str">
        <f>IFERROR(MAX(tblRiskRegister3234[[#This Row],[Risk Treatment Safeguard Impact to Mission]:[Risk Treatment Safeguard Impact to Obligations]])*tblRiskRegister3234[[#This Row],[Risk Treatment
Safeguard Expectancy Score]],"")</f>
        <v/>
      </c>
      <c r="AG106" s="138" t="str">
        <f>IF(tblRiskRegister3234[[#This Row],[Risk Score]]&gt;AcceptableRisk,IF(tblRiskRegister3234[[#This Row],[Risk Treatment Safeguard Risk Score]]&lt;AcceptableRisk, IF(tblRiskRegister3234[[#This Row],[Risk Treatment Safeguard Risk Score]]&lt;=tblRiskRegister3234[[#This Row],[Risk Score]],"Yes","No"),"No"),"Yes")</f>
        <v>No</v>
      </c>
      <c r="AH106" s="18"/>
      <c r="AI106" s="18"/>
      <c r="AJ106" s="19"/>
    </row>
    <row r="107" spans="2:36" ht="25.5" x14ac:dyDescent="0.2">
      <c r="B107" s="44" t="s">
        <v>133</v>
      </c>
      <c r="C107" s="44"/>
      <c r="D107" s="13">
        <v>8.6999999999999993</v>
      </c>
      <c r="E107" s="14" t="s">
        <v>612</v>
      </c>
      <c r="F107" s="17"/>
      <c r="G107" s="17" t="s">
        <v>785</v>
      </c>
      <c r="H107" s="17" t="s">
        <v>929</v>
      </c>
      <c r="I107" s="147"/>
      <c r="J107" s="15"/>
      <c r="K107" s="15"/>
      <c r="L107" s="16"/>
      <c r="M107" s="26">
        <f>IFERROR(VLOOKUP(tblRiskRegister3234[[#This Row],[Asset Class]],tblVCDBIndex[],4,FALSE),"")</f>
        <v>1</v>
      </c>
      <c r="N107" s="29" t="str">
        <f>IFERROR(VLOOKUP(10*tblRiskRegister3234[[#This Row],[Safeguard Maturity Score]]+tblRiskRegister3234[[#This Row],[VCDB Index]],tblHITIndexWeightTable[],4,FALSE),"")</f>
        <v/>
      </c>
      <c r="O107" s="29" t="str">
        <f>VLOOKUP(tblRiskRegister3234[[#This Row],[Asset Class]],tblInherentImpacts30[],2,FALSE)</f>
        <v/>
      </c>
      <c r="P107" s="29">
        <f>VLOOKUP(tblRiskRegister3234[[#This Row],[Asset Class]],tblInherentImpacts30[],3,FALSE)</f>
        <v>0</v>
      </c>
      <c r="Q107" s="29">
        <f>VLOOKUP(tblRiskRegister3234[[#This Row],[Asset Class]],tblInherentImpacts30[],4,FALSE)</f>
        <v>0</v>
      </c>
      <c r="R107" s="29">
        <f>VLOOKUP(tblRiskRegister3234[[#This Row],[Asset Class]],tblInherentImpacts30[],5,FALSE)</f>
        <v>0</v>
      </c>
      <c r="S107" s="29" t="str">
        <f>IFERROR(MAX(tblRiskRegister3234[[#This Row],[Impact to Mission]:[Impact to Obligations]])*tblRiskRegister3234[[#This Row],[Expectancy Score]],"")</f>
        <v/>
      </c>
      <c r="T107" s="29" t="str">
        <f>tblRiskRegister3234[[#This Row],[Risk Score]]</f>
        <v/>
      </c>
      <c r="U107" s="100"/>
      <c r="V107" s="112">
        <v>8.6999999999999993</v>
      </c>
      <c r="W107" s="44" t="s">
        <v>612</v>
      </c>
      <c r="X107" s="44" t="s">
        <v>713</v>
      </c>
      <c r="Y107" s="30"/>
      <c r="Z107" s="16"/>
      <c r="AA107" s="27" t="str">
        <f>IFERROR(VLOOKUP(10*tblRiskRegister3234[[#This Row],[Risk Treatment Safeguard Maturity Score]]+tblRiskRegister3234[[#This Row],[VCDB Index]],tblHITIndexWeightTable[],4,FALSE),"")</f>
        <v/>
      </c>
      <c r="AB107" s="138" t="str">
        <f>VLOOKUP(tblRiskRegister3234[[#This Row],[Asset Class]],tblInherentImpacts30[],2,FALSE)</f>
        <v/>
      </c>
      <c r="AC107" s="138">
        <f>VLOOKUP(tblRiskRegister3234[[#This Row],[Asset Class]],tblInherentImpacts30[],3,FALSE)</f>
        <v>0</v>
      </c>
      <c r="AD107" s="138">
        <f>VLOOKUP(tblRiskRegister3234[[#This Row],[Asset Class]],tblInherentImpacts30[],4,FALSE)</f>
        <v>0</v>
      </c>
      <c r="AE107" s="138">
        <f>VLOOKUP(tblRiskRegister3234[[#This Row],[Asset Class]],tblInherentImpacts30[],5,FALSE)</f>
        <v>0</v>
      </c>
      <c r="AF107" s="138" t="str">
        <f>IFERROR(MAX(tblRiskRegister3234[[#This Row],[Risk Treatment Safeguard Impact to Mission]:[Risk Treatment Safeguard Impact to Obligations]])*tblRiskRegister3234[[#This Row],[Risk Treatment
Safeguard Expectancy Score]],"")</f>
        <v/>
      </c>
      <c r="AG107" s="138" t="str">
        <f>IF(tblRiskRegister3234[[#This Row],[Risk Score]]&gt;AcceptableRisk,IF(tblRiskRegister3234[[#This Row],[Risk Treatment Safeguard Risk Score]]&lt;AcceptableRisk, IF(tblRiskRegister3234[[#This Row],[Risk Treatment Safeguard Risk Score]]&lt;=tblRiskRegister3234[[#This Row],[Risk Score]],"Yes","No"),"No"),"Yes")</f>
        <v>No</v>
      </c>
      <c r="AH107" s="18"/>
      <c r="AI107" s="18"/>
      <c r="AJ107" s="19"/>
    </row>
    <row r="108" spans="2:36" ht="25.5" x14ac:dyDescent="0.2">
      <c r="B108" s="44" t="s">
        <v>133</v>
      </c>
      <c r="C108" s="44"/>
      <c r="D108" s="13">
        <v>11.1</v>
      </c>
      <c r="E108" s="14" t="s">
        <v>618</v>
      </c>
      <c r="F108" s="17"/>
      <c r="G108" s="17" t="s">
        <v>785</v>
      </c>
      <c r="H108" s="17" t="s">
        <v>926</v>
      </c>
      <c r="I108" s="147"/>
      <c r="J108" s="15"/>
      <c r="K108" s="15"/>
      <c r="L108" s="16"/>
      <c r="M108" s="26">
        <f>IFERROR(VLOOKUP(tblRiskRegister3234[[#This Row],[Asset Class]],tblVCDBIndex[],4,FALSE),"")</f>
        <v>1</v>
      </c>
      <c r="N108" s="29" t="str">
        <f>IFERROR(VLOOKUP(10*tblRiskRegister3234[[#This Row],[Safeguard Maturity Score]]+tblRiskRegister3234[[#This Row],[VCDB Index]],tblHITIndexWeightTable[],4,FALSE),"")</f>
        <v/>
      </c>
      <c r="O108" s="29" t="str">
        <f>VLOOKUP(tblRiskRegister3234[[#This Row],[Asset Class]],tblInherentImpacts30[],2,FALSE)</f>
        <v/>
      </c>
      <c r="P108" s="29">
        <f>VLOOKUP(tblRiskRegister3234[[#This Row],[Asset Class]],tblInherentImpacts30[],3,FALSE)</f>
        <v>0</v>
      </c>
      <c r="Q108" s="29">
        <f>VLOOKUP(tblRiskRegister3234[[#This Row],[Asset Class]],tblInherentImpacts30[],4,FALSE)</f>
        <v>0</v>
      </c>
      <c r="R108" s="29">
        <f>VLOOKUP(tblRiskRegister3234[[#This Row],[Asset Class]],tblInherentImpacts30[],5,FALSE)</f>
        <v>0</v>
      </c>
      <c r="S108" s="29" t="str">
        <f>IFERROR(MAX(tblRiskRegister3234[[#This Row],[Impact to Mission]:[Impact to Obligations]])*tblRiskRegister3234[[#This Row],[Expectancy Score]],"")</f>
        <v/>
      </c>
      <c r="T108" s="29" t="str">
        <f>tblRiskRegister3234[[#This Row],[Risk Score]]</f>
        <v/>
      </c>
      <c r="U108" s="100"/>
      <c r="V108" s="112">
        <v>11.1</v>
      </c>
      <c r="W108" s="44" t="s">
        <v>618</v>
      </c>
      <c r="X108" s="44" t="s">
        <v>721</v>
      </c>
      <c r="Y108" s="30"/>
      <c r="Z108" s="16"/>
      <c r="AA108" s="27" t="str">
        <f>IFERROR(VLOOKUP(10*tblRiskRegister3234[[#This Row],[Risk Treatment Safeguard Maturity Score]]+tblRiskRegister3234[[#This Row],[VCDB Index]],tblHITIndexWeightTable[],4,FALSE),"")</f>
        <v/>
      </c>
      <c r="AB108" s="138" t="str">
        <f>VLOOKUP(tblRiskRegister3234[[#This Row],[Asset Class]],tblInherentImpacts30[],2,FALSE)</f>
        <v/>
      </c>
      <c r="AC108" s="138">
        <f>VLOOKUP(tblRiskRegister3234[[#This Row],[Asset Class]],tblInherentImpacts30[],3,FALSE)</f>
        <v>0</v>
      </c>
      <c r="AD108" s="138">
        <f>VLOOKUP(tblRiskRegister3234[[#This Row],[Asset Class]],tblInherentImpacts30[],4,FALSE)</f>
        <v>0</v>
      </c>
      <c r="AE108" s="138">
        <f>VLOOKUP(tblRiskRegister3234[[#This Row],[Asset Class]],tblInherentImpacts30[],5,FALSE)</f>
        <v>0</v>
      </c>
      <c r="AF108" s="138" t="str">
        <f>IFERROR(MAX(tblRiskRegister3234[[#This Row],[Risk Treatment Safeguard Impact to Mission]:[Risk Treatment Safeguard Impact to Obligations]])*tblRiskRegister3234[[#This Row],[Risk Treatment
Safeguard Expectancy Score]],"")</f>
        <v/>
      </c>
      <c r="AG108" s="138" t="str">
        <f>IF(tblRiskRegister3234[[#This Row],[Risk Score]]&gt;AcceptableRisk,IF(tblRiskRegister3234[[#This Row],[Risk Treatment Safeguard Risk Score]]&lt;AcceptableRisk, IF(tblRiskRegister3234[[#This Row],[Risk Treatment Safeguard Risk Score]]&lt;=tblRiskRegister3234[[#This Row],[Risk Score]],"Yes","No"),"No"),"Yes")</f>
        <v>No</v>
      </c>
      <c r="AH108" s="18"/>
      <c r="AI108" s="18"/>
      <c r="AJ108" s="19"/>
    </row>
    <row r="109" spans="2:36" ht="51" x14ac:dyDescent="0.2">
      <c r="B109" s="44" t="s">
        <v>133</v>
      </c>
      <c r="C109" s="44"/>
      <c r="D109" s="13">
        <v>11.2</v>
      </c>
      <c r="E109" s="14" t="s">
        <v>619</v>
      </c>
      <c r="F109" s="17"/>
      <c r="G109" s="17" t="s">
        <v>785</v>
      </c>
      <c r="H109" s="17" t="s">
        <v>926</v>
      </c>
      <c r="I109" s="147"/>
      <c r="J109" s="15"/>
      <c r="K109" s="15"/>
      <c r="L109" s="16"/>
      <c r="M109" s="26">
        <f>IFERROR(VLOOKUP(tblRiskRegister3234[[#This Row],[Asset Class]],tblVCDBIndex[],4,FALSE),"")</f>
        <v>1</v>
      </c>
      <c r="N109" s="29" t="str">
        <f>IFERROR(VLOOKUP(10*tblRiskRegister3234[[#This Row],[Safeguard Maturity Score]]+tblRiskRegister3234[[#This Row],[VCDB Index]],tblHITIndexWeightTable[],4,FALSE),"")</f>
        <v/>
      </c>
      <c r="O109" s="29" t="str">
        <f>VLOOKUP(tblRiskRegister3234[[#This Row],[Asset Class]],tblInherentImpacts30[],2,FALSE)</f>
        <v/>
      </c>
      <c r="P109" s="29">
        <f>VLOOKUP(tblRiskRegister3234[[#This Row],[Asset Class]],tblInherentImpacts30[],3,FALSE)</f>
        <v>0</v>
      </c>
      <c r="Q109" s="29">
        <f>VLOOKUP(tblRiskRegister3234[[#This Row],[Asset Class]],tblInherentImpacts30[],4,FALSE)</f>
        <v>0</v>
      </c>
      <c r="R109" s="29">
        <f>VLOOKUP(tblRiskRegister3234[[#This Row],[Asset Class]],tblInherentImpacts30[],5,FALSE)</f>
        <v>0</v>
      </c>
      <c r="S109" s="29" t="str">
        <f>IFERROR(MAX(tblRiskRegister3234[[#This Row],[Impact to Mission]:[Impact to Obligations]])*tblRiskRegister3234[[#This Row],[Expectancy Score]],"")</f>
        <v/>
      </c>
      <c r="T109" s="29" t="str">
        <f>tblRiskRegister3234[[#This Row],[Risk Score]]</f>
        <v/>
      </c>
      <c r="U109" s="100"/>
      <c r="V109" s="112">
        <v>11.2</v>
      </c>
      <c r="W109" s="44" t="s">
        <v>619</v>
      </c>
      <c r="X109" s="44" t="s">
        <v>722</v>
      </c>
      <c r="Y109" s="30"/>
      <c r="Z109" s="16"/>
      <c r="AA109" s="27" t="str">
        <f>IFERROR(VLOOKUP(10*tblRiskRegister3234[[#This Row],[Risk Treatment Safeguard Maturity Score]]+tblRiskRegister3234[[#This Row],[VCDB Index]],tblHITIndexWeightTable[],4,FALSE),"")</f>
        <v/>
      </c>
      <c r="AB109" s="138" t="str">
        <f>VLOOKUP(tblRiskRegister3234[[#This Row],[Asset Class]],tblInherentImpacts30[],2,FALSE)</f>
        <v/>
      </c>
      <c r="AC109" s="138">
        <f>VLOOKUP(tblRiskRegister3234[[#This Row],[Asset Class]],tblInherentImpacts30[],3,FALSE)</f>
        <v>0</v>
      </c>
      <c r="AD109" s="138">
        <f>VLOOKUP(tblRiskRegister3234[[#This Row],[Asset Class]],tblInherentImpacts30[],4,FALSE)</f>
        <v>0</v>
      </c>
      <c r="AE109" s="138">
        <f>VLOOKUP(tblRiskRegister3234[[#This Row],[Asset Class]],tblInherentImpacts30[],5,FALSE)</f>
        <v>0</v>
      </c>
      <c r="AF109" s="138" t="str">
        <f>IFERROR(MAX(tblRiskRegister3234[[#This Row],[Risk Treatment Safeguard Impact to Mission]:[Risk Treatment Safeguard Impact to Obligations]])*tblRiskRegister3234[[#This Row],[Risk Treatment
Safeguard Expectancy Score]],"")</f>
        <v/>
      </c>
      <c r="AG109" s="138" t="str">
        <f>IF(tblRiskRegister3234[[#This Row],[Risk Score]]&gt;AcceptableRisk,IF(tblRiskRegister3234[[#This Row],[Risk Treatment Safeguard Risk Score]]&lt;AcceptableRisk, IF(tblRiskRegister3234[[#This Row],[Risk Treatment Safeguard Risk Score]]&lt;=tblRiskRegister3234[[#This Row],[Risk Score]],"Yes","No"),"No"),"Yes")</f>
        <v>No</v>
      </c>
      <c r="AH109" s="18"/>
      <c r="AI109" s="18"/>
      <c r="AJ109" s="19"/>
    </row>
    <row r="110" spans="2:36" ht="38.25" x14ac:dyDescent="0.2">
      <c r="B110" s="15" t="s">
        <v>133</v>
      </c>
      <c r="C110" s="15"/>
      <c r="D110" s="13">
        <v>11.3</v>
      </c>
      <c r="E110" s="14" t="s">
        <v>620</v>
      </c>
      <c r="F110" s="17"/>
      <c r="G110" s="17" t="s">
        <v>785</v>
      </c>
      <c r="H110" s="17" t="s">
        <v>929</v>
      </c>
      <c r="I110" s="147"/>
      <c r="J110" s="15"/>
      <c r="K110" s="15"/>
      <c r="L110" s="16"/>
      <c r="M110" s="26">
        <f>IFERROR(VLOOKUP(tblRiskRegister3234[[#This Row],[Asset Class]],tblVCDBIndex[],4,FALSE),"")</f>
        <v>1</v>
      </c>
      <c r="N110" s="26" t="str">
        <f>IFERROR(VLOOKUP(10*tblRiskRegister3234[[#This Row],[Safeguard Maturity Score]]+tblRiskRegister3234[[#This Row],[VCDB Index]],tblHITIndexWeightTable[],4,FALSE),"")</f>
        <v/>
      </c>
      <c r="O110" s="26" t="str">
        <f>VLOOKUP(tblRiskRegister3234[[#This Row],[Asset Class]],tblInherentImpacts30[],2,FALSE)</f>
        <v/>
      </c>
      <c r="P110" s="26">
        <f>VLOOKUP(tblRiskRegister3234[[#This Row],[Asset Class]],tblInherentImpacts30[],3,FALSE)</f>
        <v>0</v>
      </c>
      <c r="Q110" s="26">
        <f>VLOOKUP(tblRiskRegister3234[[#This Row],[Asset Class]],tblInherentImpacts30[],4,FALSE)</f>
        <v>0</v>
      </c>
      <c r="R110" s="26">
        <f>VLOOKUP(tblRiskRegister3234[[#This Row],[Asset Class]],tblInherentImpacts30[],5,FALSE)</f>
        <v>0</v>
      </c>
      <c r="S110" s="26" t="str">
        <f>IFERROR(MAX(tblRiskRegister3234[[#This Row],[Impact to Mission]:[Impact to Obligations]])*tblRiskRegister3234[[#This Row],[Expectancy Score]],"")</f>
        <v/>
      </c>
      <c r="T110" s="26" t="str">
        <f>tblRiskRegister3234[[#This Row],[Risk Score]]</f>
        <v/>
      </c>
      <c r="U110" s="100"/>
      <c r="V110" s="100">
        <v>11.3</v>
      </c>
      <c r="W110" s="15" t="s">
        <v>620</v>
      </c>
      <c r="X110" s="15" t="s">
        <v>723</v>
      </c>
      <c r="Y110" s="15"/>
      <c r="Z110" s="16"/>
      <c r="AA110" s="27" t="str">
        <f>IFERROR(VLOOKUP(10*tblRiskRegister3234[[#This Row],[Risk Treatment Safeguard Maturity Score]]+tblRiskRegister3234[[#This Row],[VCDB Index]],tblHITIndexWeightTable[],4,FALSE),"")</f>
        <v/>
      </c>
      <c r="AB110" s="138" t="str">
        <f>VLOOKUP(tblRiskRegister3234[[#This Row],[Asset Class]],tblInherentImpacts30[],2,FALSE)</f>
        <v/>
      </c>
      <c r="AC110" s="138">
        <f>VLOOKUP(tblRiskRegister3234[[#This Row],[Asset Class]],tblInherentImpacts30[],3,FALSE)</f>
        <v>0</v>
      </c>
      <c r="AD110" s="138">
        <f>VLOOKUP(tblRiskRegister3234[[#This Row],[Asset Class]],tblInherentImpacts30[],4,FALSE)</f>
        <v>0</v>
      </c>
      <c r="AE110" s="138">
        <f>VLOOKUP(tblRiskRegister3234[[#This Row],[Asset Class]],tblInherentImpacts30[],5,FALSE)</f>
        <v>0</v>
      </c>
      <c r="AF110" s="138" t="str">
        <f>IFERROR(MAX(tblRiskRegister3234[[#This Row],[Risk Treatment Safeguard Impact to Mission]:[Risk Treatment Safeguard Impact to Obligations]])*tblRiskRegister3234[[#This Row],[Risk Treatment
Safeguard Expectancy Score]],"")</f>
        <v/>
      </c>
      <c r="AG110" s="138" t="str">
        <f>IF(tblRiskRegister3234[[#This Row],[Risk Score]]&gt;AcceptableRisk,IF(tblRiskRegister3234[[#This Row],[Risk Treatment Safeguard Risk Score]]&lt;AcceptableRisk, IF(tblRiskRegister3234[[#This Row],[Risk Treatment Safeguard Risk Score]]&lt;=tblRiskRegister3234[[#This Row],[Risk Score]],"Yes","No"),"No"),"Yes")</f>
        <v>No</v>
      </c>
      <c r="AH110" s="18"/>
      <c r="AI110" s="18"/>
      <c r="AJ110" s="19"/>
    </row>
    <row r="111" spans="2:36" ht="38.25" x14ac:dyDescent="0.2">
      <c r="B111" s="44" t="s">
        <v>133</v>
      </c>
      <c r="C111" s="44"/>
      <c r="D111" s="13">
        <v>11.4</v>
      </c>
      <c r="E111" s="14" t="s">
        <v>73</v>
      </c>
      <c r="F111" s="17" t="s">
        <v>785</v>
      </c>
      <c r="G111" s="17" t="s">
        <v>785</v>
      </c>
      <c r="H111" s="17" t="s">
        <v>928</v>
      </c>
      <c r="I111" s="147"/>
      <c r="J111" s="15"/>
      <c r="K111" s="15"/>
      <c r="L111" s="16"/>
      <c r="M111" s="26">
        <f>IFERROR(VLOOKUP(tblRiskRegister3234[[#This Row],[Asset Class]],tblVCDBIndex[],4,FALSE),"")</f>
        <v>1</v>
      </c>
      <c r="N111" s="29" t="str">
        <f>IFERROR(VLOOKUP(10*tblRiskRegister3234[[#This Row],[Safeguard Maturity Score]]+tblRiskRegister3234[[#This Row],[VCDB Index]],tblHITIndexWeightTable[],4,FALSE),"")</f>
        <v/>
      </c>
      <c r="O111" s="29" t="str">
        <f>VLOOKUP(tblRiskRegister3234[[#This Row],[Asset Class]],tblInherentImpacts30[],2,FALSE)</f>
        <v/>
      </c>
      <c r="P111" s="29">
        <f>VLOOKUP(tblRiskRegister3234[[#This Row],[Asset Class]],tblInherentImpacts30[],3,FALSE)</f>
        <v>0</v>
      </c>
      <c r="Q111" s="29">
        <f>VLOOKUP(tblRiskRegister3234[[#This Row],[Asset Class]],tblInherentImpacts30[],4,FALSE)</f>
        <v>0</v>
      </c>
      <c r="R111" s="29">
        <f>VLOOKUP(tblRiskRegister3234[[#This Row],[Asset Class]],tblInherentImpacts30[],5,FALSE)</f>
        <v>0</v>
      </c>
      <c r="S111" s="29" t="str">
        <f>IFERROR(MAX(tblRiskRegister3234[[#This Row],[Impact to Mission]:[Impact to Obligations]])*tblRiskRegister3234[[#This Row],[Expectancy Score]],"")</f>
        <v/>
      </c>
      <c r="T111" s="29" t="str">
        <f>tblRiskRegister3234[[#This Row],[Risk Score]]</f>
        <v/>
      </c>
      <c r="U111" s="100"/>
      <c r="V111" s="112">
        <v>11.4</v>
      </c>
      <c r="W111" s="44" t="s">
        <v>73</v>
      </c>
      <c r="X111" s="44" t="s">
        <v>167</v>
      </c>
      <c r="Y111" s="30"/>
      <c r="Z111" s="16"/>
      <c r="AA111" s="27" t="str">
        <f>IFERROR(VLOOKUP(10*tblRiskRegister3234[[#This Row],[Risk Treatment Safeguard Maturity Score]]+tblRiskRegister3234[[#This Row],[VCDB Index]],tblHITIndexWeightTable[],4,FALSE),"")</f>
        <v/>
      </c>
      <c r="AB111" s="138" t="str">
        <f>VLOOKUP(tblRiskRegister3234[[#This Row],[Asset Class]],tblInherentImpacts30[],2,FALSE)</f>
        <v/>
      </c>
      <c r="AC111" s="138">
        <f>VLOOKUP(tblRiskRegister3234[[#This Row],[Asset Class]],tblInherentImpacts30[],3,FALSE)</f>
        <v>0</v>
      </c>
      <c r="AD111" s="138">
        <f>VLOOKUP(tblRiskRegister3234[[#This Row],[Asset Class]],tblInherentImpacts30[],4,FALSE)</f>
        <v>0</v>
      </c>
      <c r="AE111" s="138">
        <f>VLOOKUP(tblRiskRegister3234[[#This Row],[Asset Class]],tblInherentImpacts30[],5,FALSE)</f>
        <v>0</v>
      </c>
      <c r="AF111" s="138" t="str">
        <f>IFERROR(MAX(tblRiskRegister3234[[#This Row],[Risk Treatment Safeguard Impact to Mission]:[Risk Treatment Safeguard Impact to Obligations]])*tblRiskRegister3234[[#This Row],[Risk Treatment
Safeguard Expectancy Score]],"")</f>
        <v/>
      </c>
      <c r="AG111" s="138" t="str">
        <f>IF(tblRiskRegister3234[[#This Row],[Risk Score]]&gt;AcceptableRisk,IF(tblRiskRegister3234[[#This Row],[Risk Treatment Safeguard Risk Score]]&lt;AcceptableRisk, IF(tblRiskRegister3234[[#This Row],[Risk Treatment Safeguard Risk Score]]&lt;=tblRiskRegister3234[[#This Row],[Risk Score]],"Yes","No"),"No"),"Yes")</f>
        <v>No</v>
      </c>
      <c r="AH111" s="18"/>
      <c r="AI111" s="18"/>
      <c r="AJ111" s="19"/>
    </row>
    <row r="112" spans="2:36" ht="38.25" x14ac:dyDescent="0.2">
      <c r="B112" s="44" t="s">
        <v>133</v>
      </c>
      <c r="C112" s="44"/>
      <c r="D112" s="13">
        <v>11.5</v>
      </c>
      <c r="E112" s="14" t="s">
        <v>621</v>
      </c>
      <c r="F112" s="17"/>
      <c r="G112" s="17" t="s">
        <v>785</v>
      </c>
      <c r="H112" s="17" t="s">
        <v>928</v>
      </c>
      <c r="I112" s="147"/>
      <c r="J112" s="15"/>
      <c r="K112" s="15"/>
      <c r="L112" s="16"/>
      <c r="M112" s="26">
        <f>IFERROR(VLOOKUP(tblRiskRegister3234[[#This Row],[Asset Class]],tblVCDBIndex[],4,FALSE),"")</f>
        <v>1</v>
      </c>
      <c r="N112" s="29" t="str">
        <f>IFERROR(VLOOKUP(10*tblRiskRegister3234[[#This Row],[Safeguard Maturity Score]]+tblRiskRegister3234[[#This Row],[VCDB Index]],tblHITIndexWeightTable[],4,FALSE),"")</f>
        <v/>
      </c>
      <c r="O112" s="29" t="str">
        <f>VLOOKUP(tblRiskRegister3234[[#This Row],[Asset Class]],tblInherentImpacts30[],2,FALSE)</f>
        <v/>
      </c>
      <c r="P112" s="29">
        <f>VLOOKUP(tblRiskRegister3234[[#This Row],[Asset Class]],tblInherentImpacts30[],3,FALSE)</f>
        <v>0</v>
      </c>
      <c r="Q112" s="29">
        <f>VLOOKUP(tblRiskRegister3234[[#This Row],[Asset Class]],tblInherentImpacts30[],4,FALSE)</f>
        <v>0</v>
      </c>
      <c r="R112" s="29">
        <f>VLOOKUP(tblRiskRegister3234[[#This Row],[Asset Class]],tblInherentImpacts30[],5,FALSE)</f>
        <v>0</v>
      </c>
      <c r="S112" s="29" t="str">
        <f>IFERROR(MAX(tblRiskRegister3234[[#This Row],[Impact to Mission]:[Impact to Obligations]])*tblRiskRegister3234[[#This Row],[Expectancy Score]],"")</f>
        <v/>
      </c>
      <c r="T112" s="29" t="str">
        <f>tblRiskRegister3234[[#This Row],[Risk Score]]</f>
        <v/>
      </c>
      <c r="U112" s="100"/>
      <c r="V112" s="112">
        <v>11.5</v>
      </c>
      <c r="W112" s="44" t="s">
        <v>621</v>
      </c>
      <c r="X112" s="44" t="s">
        <v>724</v>
      </c>
      <c r="Y112" s="30"/>
      <c r="Z112" s="16"/>
      <c r="AA112" s="27" t="str">
        <f>IFERROR(VLOOKUP(10*tblRiskRegister3234[[#This Row],[Risk Treatment Safeguard Maturity Score]]+tblRiskRegister3234[[#This Row],[VCDB Index]],tblHITIndexWeightTable[],4,FALSE),"")</f>
        <v/>
      </c>
      <c r="AB112" s="138" t="str">
        <f>VLOOKUP(tblRiskRegister3234[[#This Row],[Asset Class]],tblInherentImpacts30[],2,FALSE)</f>
        <v/>
      </c>
      <c r="AC112" s="138">
        <f>VLOOKUP(tblRiskRegister3234[[#This Row],[Asset Class]],tblInherentImpacts30[],3,FALSE)</f>
        <v>0</v>
      </c>
      <c r="AD112" s="138">
        <f>VLOOKUP(tblRiskRegister3234[[#This Row],[Asset Class]],tblInherentImpacts30[],4,FALSE)</f>
        <v>0</v>
      </c>
      <c r="AE112" s="138">
        <f>VLOOKUP(tblRiskRegister3234[[#This Row],[Asset Class]],tblInherentImpacts30[],5,FALSE)</f>
        <v>0</v>
      </c>
      <c r="AF112" s="138" t="str">
        <f>IFERROR(MAX(tblRiskRegister3234[[#This Row],[Risk Treatment Safeguard Impact to Mission]:[Risk Treatment Safeguard Impact to Obligations]])*tblRiskRegister3234[[#This Row],[Risk Treatment
Safeguard Expectancy Score]],"")</f>
        <v/>
      </c>
      <c r="AG112" s="138" t="str">
        <f>IF(tblRiskRegister3234[[#This Row],[Risk Score]]&gt;AcceptableRisk,IF(tblRiskRegister3234[[#This Row],[Risk Treatment Safeguard Risk Score]]&lt;AcceptableRisk, IF(tblRiskRegister3234[[#This Row],[Risk Treatment Safeguard Risk Score]]&lt;=tblRiskRegister3234[[#This Row],[Risk Score]],"Yes","No"),"No"),"Yes")</f>
        <v>No</v>
      </c>
      <c r="AH112" s="18"/>
      <c r="AI112" s="18"/>
      <c r="AJ112" s="19"/>
    </row>
    <row r="113" spans="2:36" ht="63.75" x14ac:dyDescent="0.2">
      <c r="B113" s="44" t="s">
        <v>133</v>
      </c>
      <c r="C113" s="44"/>
      <c r="D113" s="13">
        <v>11.6</v>
      </c>
      <c r="E113" s="14" t="s">
        <v>622</v>
      </c>
      <c r="F113" s="17"/>
      <c r="G113" s="17" t="s">
        <v>785</v>
      </c>
      <c r="H113" s="17" t="s">
        <v>928</v>
      </c>
      <c r="I113" s="147"/>
      <c r="J113" s="15"/>
      <c r="K113" s="15"/>
      <c r="L113" s="16"/>
      <c r="M113" s="26">
        <f>IFERROR(VLOOKUP(tblRiskRegister3234[[#This Row],[Asset Class]],tblVCDBIndex[],4,FALSE),"")</f>
        <v>1</v>
      </c>
      <c r="N113" s="29" t="str">
        <f>IFERROR(VLOOKUP(10*tblRiskRegister3234[[#This Row],[Safeguard Maturity Score]]+tblRiskRegister3234[[#This Row],[VCDB Index]],tblHITIndexWeightTable[],4,FALSE),"")</f>
        <v/>
      </c>
      <c r="O113" s="29" t="str">
        <f>VLOOKUP(tblRiskRegister3234[[#This Row],[Asset Class]],tblInherentImpacts30[],2,FALSE)</f>
        <v/>
      </c>
      <c r="P113" s="29">
        <f>VLOOKUP(tblRiskRegister3234[[#This Row],[Asset Class]],tblInherentImpacts30[],3,FALSE)</f>
        <v>0</v>
      </c>
      <c r="Q113" s="29">
        <f>VLOOKUP(tblRiskRegister3234[[#This Row],[Asset Class]],tblInherentImpacts30[],4,FALSE)</f>
        <v>0</v>
      </c>
      <c r="R113" s="29">
        <f>VLOOKUP(tblRiskRegister3234[[#This Row],[Asset Class]],tblInherentImpacts30[],5,FALSE)</f>
        <v>0</v>
      </c>
      <c r="S113" s="29" t="str">
        <f>IFERROR(MAX(tblRiskRegister3234[[#This Row],[Impact to Mission]:[Impact to Obligations]])*tblRiskRegister3234[[#This Row],[Expectancy Score]],"")</f>
        <v/>
      </c>
      <c r="T113" s="29" t="str">
        <f>tblRiskRegister3234[[#This Row],[Risk Score]]</f>
        <v/>
      </c>
      <c r="U113" s="100"/>
      <c r="V113" s="112">
        <v>11.6</v>
      </c>
      <c r="W113" s="44" t="s">
        <v>622</v>
      </c>
      <c r="X113" s="44" t="s">
        <v>725</v>
      </c>
      <c r="Y113" s="30"/>
      <c r="Z113" s="16"/>
      <c r="AA113" s="27" t="str">
        <f>IFERROR(VLOOKUP(10*tblRiskRegister3234[[#This Row],[Risk Treatment Safeguard Maturity Score]]+tblRiskRegister3234[[#This Row],[VCDB Index]],tblHITIndexWeightTable[],4,FALSE),"")</f>
        <v/>
      </c>
      <c r="AB113" s="138" t="str">
        <f>VLOOKUP(tblRiskRegister3234[[#This Row],[Asset Class]],tblInherentImpacts30[],2,FALSE)</f>
        <v/>
      </c>
      <c r="AC113" s="138">
        <f>VLOOKUP(tblRiskRegister3234[[#This Row],[Asset Class]],tblInherentImpacts30[],3,FALSE)</f>
        <v>0</v>
      </c>
      <c r="AD113" s="138">
        <f>VLOOKUP(tblRiskRegister3234[[#This Row],[Asset Class]],tblInherentImpacts30[],4,FALSE)</f>
        <v>0</v>
      </c>
      <c r="AE113" s="138">
        <f>VLOOKUP(tblRiskRegister3234[[#This Row],[Asset Class]],tblInherentImpacts30[],5,FALSE)</f>
        <v>0</v>
      </c>
      <c r="AF113" s="138" t="str">
        <f>IFERROR(MAX(tblRiskRegister3234[[#This Row],[Risk Treatment Safeguard Impact to Mission]:[Risk Treatment Safeguard Impact to Obligations]])*tblRiskRegister3234[[#This Row],[Risk Treatment
Safeguard Expectancy Score]],"")</f>
        <v/>
      </c>
      <c r="AG113" s="138" t="str">
        <f>IF(tblRiskRegister3234[[#This Row],[Risk Score]]&gt;AcceptableRisk,IF(tblRiskRegister3234[[#This Row],[Risk Treatment Safeguard Risk Score]]&lt;AcceptableRisk, IF(tblRiskRegister3234[[#This Row],[Risk Treatment Safeguard Risk Score]]&lt;=tblRiskRegister3234[[#This Row],[Risk Score]],"Yes","No"),"No"),"Yes")</f>
        <v>No</v>
      </c>
      <c r="AH113" s="18"/>
      <c r="AI113" s="18"/>
      <c r="AJ113" s="19"/>
    </row>
    <row r="114" spans="2:36" ht="51" x14ac:dyDescent="0.2">
      <c r="B114" s="44" t="s">
        <v>133</v>
      </c>
      <c r="C114" s="44"/>
      <c r="D114" s="13">
        <v>11.7</v>
      </c>
      <c r="E114" s="14" t="s">
        <v>623</v>
      </c>
      <c r="F114" s="17"/>
      <c r="G114" s="17" t="s">
        <v>785</v>
      </c>
      <c r="H114" s="17" t="s">
        <v>928</v>
      </c>
      <c r="I114" s="147"/>
      <c r="J114" s="15"/>
      <c r="K114" s="15"/>
      <c r="L114" s="16"/>
      <c r="M114" s="26">
        <f>IFERROR(VLOOKUP(tblRiskRegister3234[[#This Row],[Asset Class]],tblVCDBIndex[],4,FALSE),"")</f>
        <v>1</v>
      </c>
      <c r="N114" s="29" t="str">
        <f>IFERROR(VLOOKUP(10*tblRiskRegister3234[[#This Row],[Safeguard Maturity Score]]+tblRiskRegister3234[[#This Row],[VCDB Index]],tblHITIndexWeightTable[],4,FALSE),"")</f>
        <v/>
      </c>
      <c r="O114" s="29" t="str">
        <f>VLOOKUP(tblRiskRegister3234[[#This Row],[Asset Class]],tblInherentImpacts30[],2,FALSE)</f>
        <v/>
      </c>
      <c r="P114" s="29">
        <f>VLOOKUP(tblRiskRegister3234[[#This Row],[Asset Class]],tblInherentImpacts30[],3,FALSE)</f>
        <v>0</v>
      </c>
      <c r="Q114" s="29">
        <f>VLOOKUP(tblRiskRegister3234[[#This Row],[Asset Class]],tblInherentImpacts30[],4,FALSE)</f>
        <v>0</v>
      </c>
      <c r="R114" s="29">
        <f>VLOOKUP(tblRiskRegister3234[[#This Row],[Asset Class]],tblInherentImpacts30[],5,FALSE)</f>
        <v>0</v>
      </c>
      <c r="S114" s="29" t="str">
        <f>IFERROR(MAX(tblRiskRegister3234[[#This Row],[Impact to Mission]:[Impact to Obligations]])*tblRiskRegister3234[[#This Row],[Expectancy Score]],"")</f>
        <v/>
      </c>
      <c r="T114" s="29" t="str">
        <f>tblRiskRegister3234[[#This Row],[Risk Score]]</f>
        <v/>
      </c>
      <c r="U114" s="100"/>
      <c r="V114" s="112">
        <v>11.7</v>
      </c>
      <c r="W114" s="44" t="s">
        <v>623</v>
      </c>
      <c r="X114" s="44" t="s">
        <v>726</v>
      </c>
      <c r="Y114" s="30"/>
      <c r="Z114" s="16"/>
      <c r="AA114" s="27" t="str">
        <f>IFERROR(VLOOKUP(10*tblRiskRegister3234[[#This Row],[Risk Treatment Safeguard Maturity Score]]+tblRiskRegister3234[[#This Row],[VCDB Index]],tblHITIndexWeightTable[],4,FALSE),"")</f>
        <v/>
      </c>
      <c r="AB114" s="138" t="str">
        <f>VLOOKUP(tblRiskRegister3234[[#This Row],[Asset Class]],tblInherentImpacts30[],2,FALSE)</f>
        <v/>
      </c>
      <c r="AC114" s="138">
        <f>VLOOKUP(tblRiskRegister3234[[#This Row],[Asset Class]],tblInherentImpacts30[],3,FALSE)</f>
        <v>0</v>
      </c>
      <c r="AD114" s="138">
        <f>VLOOKUP(tblRiskRegister3234[[#This Row],[Asset Class]],tblInherentImpacts30[],4,FALSE)</f>
        <v>0</v>
      </c>
      <c r="AE114" s="138">
        <f>VLOOKUP(tblRiskRegister3234[[#This Row],[Asset Class]],tblInherentImpacts30[],5,FALSE)</f>
        <v>0</v>
      </c>
      <c r="AF114" s="138" t="str">
        <f>IFERROR(MAX(tblRiskRegister3234[[#This Row],[Risk Treatment Safeguard Impact to Mission]:[Risk Treatment Safeguard Impact to Obligations]])*tblRiskRegister3234[[#This Row],[Risk Treatment
Safeguard Expectancy Score]],"")</f>
        <v/>
      </c>
      <c r="AG114" s="138" t="str">
        <f>IF(tblRiskRegister3234[[#This Row],[Risk Score]]&gt;AcceptableRisk,IF(tblRiskRegister3234[[#This Row],[Risk Treatment Safeguard Risk Score]]&lt;AcceptableRisk, IF(tblRiskRegister3234[[#This Row],[Risk Treatment Safeguard Risk Score]]&lt;=tblRiskRegister3234[[#This Row],[Risk Score]],"Yes","No"),"No"),"Yes")</f>
        <v>No</v>
      </c>
      <c r="AH114" s="18"/>
      <c r="AI114" s="18"/>
      <c r="AJ114" s="19"/>
    </row>
    <row r="115" spans="2:36" ht="25.5" x14ac:dyDescent="0.2">
      <c r="B115" s="44" t="s">
        <v>133</v>
      </c>
      <c r="C115" s="44"/>
      <c r="D115" s="13">
        <v>12.1</v>
      </c>
      <c r="E115" s="14" t="s">
        <v>28</v>
      </c>
      <c r="F115" s="17" t="s">
        <v>785</v>
      </c>
      <c r="G115" s="17" t="s">
        <v>785</v>
      </c>
      <c r="H115" s="17" t="s">
        <v>926</v>
      </c>
      <c r="I115" s="147"/>
      <c r="J115" s="15"/>
      <c r="K115" s="15"/>
      <c r="L115" s="16"/>
      <c r="M115" s="26">
        <f>IFERROR(VLOOKUP(tblRiskRegister3234[[#This Row],[Asset Class]],tblVCDBIndex[],4,FALSE),"")</f>
        <v>1</v>
      </c>
      <c r="N115" s="29" t="str">
        <f>IFERROR(VLOOKUP(10*tblRiskRegister3234[[#This Row],[Safeguard Maturity Score]]+tblRiskRegister3234[[#This Row],[VCDB Index]],tblHITIndexWeightTable[],4,FALSE),"")</f>
        <v/>
      </c>
      <c r="O115" s="29" t="str">
        <f>VLOOKUP(tblRiskRegister3234[[#This Row],[Asset Class]],tblInherentImpacts30[],2,FALSE)</f>
        <v/>
      </c>
      <c r="P115" s="29">
        <f>VLOOKUP(tblRiskRegister3234[[#This Row],[Asset Class]],tblInherentImpacts30[],3,FALSE)</f>
        <v>0</v>
      </c>
      <c r="Q115" s="29">
        <f>VLOOKUP(tblRiskRegister3234[[#This Row],[Asset Class]],tblInherentImpacts30[],4,FALSE)</f>
        <v>0</v>
      </c>
      <c r="R115" s="29">
        <f>VLOOKUP(tblRiskRegister3234[[#This Row],[Asset Class]],tblInherentImpacts30[],5,FALSE)</f>
        <v>0</v>
      </c>
      <c r="S115" s="29" t="str">
        <f>IFERROR(MAX(tblRiskRegister3234[[#This Row],[Impact to Mission]:[Impact to Obligations]])*tblRiskRegister3234[[#This Row],[Expectancy Score]],"")</f>
        <v/>
      </c>
      <c r="T115" s="29" t="str">
        <f>tblRiskRegister3234[[#This Row],[Risk Score]]</f>
        <v/>
      </c>
      <c r="U115" s="100"/>
      <c r="V115" s="112">
        <v>12.1</v>
      </c>
      <c r="W115" s="44" t="s">
        <v>28</v>
      </c>
      <c r="X115" s="44" t="s">
        <v>168</v>
      </c>
      <c r="Y115" s="30"/>
      <c r="Z115" s="16"/>
      <c r="AA115" s="27" t="str">
        <f>IFERROR(VLOOKUP(10*tblRiskRegister3234[[#This Row],[Risk Treatment Safeguard Maturity Score]]+tblRiskRegister3234[[#This Row],[VCDB Index]],tblHITIndexWeightTable[],4,FALSE),"")</f>
        <v/>
      </c>
      <c r="AB115" s="138" t="str">
        <f>VLOOKUP(tblRiskRegister3234[[#This Row],[Asset Class]],tblInherentImpacts30[],2,FALSE)</f>
        <v/>
      </c>
      <c r="AC115" s="138">
        <f>VLOOKUP(tblRiskRegister3234[[#This Row],[Asset Class]],tblInherentImpacts30[],3,FALSE)</f>
        <v>0</v>
      </c>
      <c r="AD115" s="138">
        <f>VLOOKUP(tblRiskRegister3234[[#This Row],[Asset Class]],tblInherentImpacts30[],4,FALSE)</f>
        <v>0</v>
      </c>
      <c r="AE115" s="138">
        <f>VLOOKUP(tblRiskRegister3234[[#This Row],[Asset Class]],tblInherentImpacts30[],5,FALSE)</f>
        <v>0</v>
      </c>
      <c r="AF115" s="138" t="str">
        <f>IFERROR(MAX(tblRiskRegister3234[[#This Row],[Risk Treatment Safeguard Impact to Mission]:[Risk Treatment Safeguard Impact to Obligations]])*tblRiskRegister3234[[#This Row],[Risk Treatment
Safeguard Expectancy Score]],"")</f>
        <v/>
      </c>
      <c r="AG115" s="138" t="str">
        <f>IF(tblRiskRegister3234[[#This Row],[Risk Score]]&gt;AcceptableRisk,IF(tblRiskRegister3234[[#This Row],[Risk Treatment Safeguard Risk Score]]&lt;AcceptableRisk, IF(tblRiskRegister3234[[#This Row],[Risk Treatment Safeguard Risk Score]]&lt;=tblRiskRegister3234[[#This Row],[Risk Score]],"Yes","No"),"No"),"Yes")</f>
        <v>No</v>
      </c>
      <c r="AH115" s="18"/>
      <c r="AI115" s="18"/>
      <c r="AJ115" s="19"/>
    </row>
    <row r="116" spans="2:36" ht="38.25" x14ac:dyDescent="0.2">
      <c r="B116" s="44" t="s">
        <v>133</v>
      </c>
      <c r="C116" s="44"/>
      <c r="D116" s="13">
        <v>12.2</v>
      </c>
      <c r="E116" s="14" t="s">
        <v>624</v>
      </c>
      <c r="F116" s="17"/>
      <c r="G116" s="17" t="s">
        <v>785</v>
      </c>
      <c r="H116" s="17" t="s">
        <v>928</v>
      </c>
      <c r="I116" s="147"/>
      <c r="J116" s="15"/>
      <c r="K116" s="15"/>
      <c r="L116" s="16"/>
      <c r="M116" s="26">
        <f>IFERROR(VLOOKUP(tblRiskRegister3234[[#This Row],[Asset Class]],tblVCDBIndex[],4,FALSE),"")</f>
        <v>1</v>
      </c>
      <c r="N116" s="29" t="str">
        <f>IFERROR(VLOOKUP(10*tblRiskRegister3234[[#This Row],[Safeguard Maturity Score]]+tblRiskRegister3234[[#This Row],[VCDB Index]],tblHITIndexWeightTable[],4,FALSE),"")</f>
        <v/>
      </c>
      <c r="O116" s="29" t="str">
        <f>VLOOKUP(tblRiskRegister3234[[#This Row],[Asset Class]],tblInherentImpacts30[],2,FALSE)</f>
        <v/>
      </c>
      <c r="P116" s="29">
        <f>VLOOKUP(tblRiskRegister3234[[#This Row],[Asset Class]],tblInherentImpacts30[],3,FALSE)</f>
        <v>0</v>
      </c>
      <c r="Q116" s="29">
        <f>VLOOKUP(tblRiskRegister3234[[#This Row],[Asset Class]],tblInherentImpacts30[],4,FALSE)</f>
        <v>0</v>
      </c>
      <c r="R116" s="29">
        <f>VLOOKUP(tblRiskRegister3234[[#This Row],[Asset Class]],tblInherentImpacts30[],5,FALSE)</f>
        <v>0</v>
      </c>
      <c r="S116" s="29" t="str">
        <f>IFERROR(MAX(tblRiskRegister3234[[#This Row],[Impact to Mission]:[Impact to Obligations]])*tblRiskRegister3234[[#This Row],[Expectancy Score]],"")</f>
        <v/>
      </c>
      <c r="T116" s="29" t="str">
        <f>tblRiskRegister3234[[#This Row],[Risk Score]]</f>
        <v/>
      </c>
      <c r="U116" s="100"/>
      <c r="V116" s="112">
        <v>12.2</v>
      </c>
      <c r="W116" s="44" t="s">
        <v>624</v>
      </c>
      <c r="X116" s="44" t="s">
        <v>727</v>
      </c>
      <c r="Y116" s="30"/>
      <c r="Z116" s="16"/>
      <c r="AA116" s="27" t="str">
        <f>IFERROR(VLOOKUP(10*tblRiskRegister3234[[#This Row],[Risk Treatment Safeguard Maturity Score]]+tblRiskRegister3234[[#This Row],[VCDB Index]],tblHITIndexWeightTable[],4,FALSE),"")</f>
        <v/>
      </c>
      <c r="AB116" s="138" t="str">
        <f>VLOOKUP(tblRiskRegister3234[[#This Row],[Asset Class]],tblInherentImpacts30[],2,FALSE)</f>
        <v/>
      </c>
      <c r="AC116" s="138">
        <f>VLOOKUP(tblRiskRegister3234[[#This Row],[Asset Class]],tblInherentImpacts30[],3,FALSE)</f>
        <v>0</v>
      </c>
      <c r="AD116" s="138">
        <f>VLOOKUP(tblRiskRegister3234[[#This Row],[Asset Class]],tblInherentImpacts30[],4,FALSE)</f>
        <v>0</v>
      </c>
      <c r="AE116" s="138">
        <f>VLOOKUP(tblRiskRegister3234[[#This Row],[Asset Class]],tblInherentImpacts30[],5,FALSE)</f>
        <v>0</v>
      </c>
      <c r="AF116" s="138" t="str">
        <f>IFERROR(MAX(tblRiskRegister3234[[#This Row],[Risk Treatment Safeguard Impact to Mission]:[Risk Treatment Safeguard Impact to Obligations]])*tblRiskRegister3234[[#This Row],[Risk Treatment
Safeguard Expectancy Score]],"")</f>
        <v/>
      </c>
      <c r="AG116" s="138" t="str">
        <f>IF(tblRiskRegister3234[[#This Row],[Risk Score]]&gt;AcceptableRisk,IF(tblRiskRegister3234[[#This Row],[Risk Treatment Safeguard Risk Score]]&lt;AcceptableRisk, IF(tblRiskRegister3234[[#This Row],[Risk Treatment Safeguard Risk Score]]&lt;=tblRiskRegister3234[[#This Row],[Risk Score]],"Yes","No"),"No"),"Yes")</f>
        <v>No</v>
      </c>
      <c r="AH116" s="18"/>
      <c r="AI116" s="18"/>
      <c r="AJ116" s="19"/>
    </row>
    <row r="117" spans="2:36" ht="38.25" x14ac:dyDescent="0.2">
      <c r="B117" s="44" t="s">
        <v>133</v>
      </c>
      <c r="C117" s="44"/>
      <c r="D117" s="13">
        <v>12.3</v>
      </c>
      <c r="E117" s="14" t="s">
        <v>625</v>
      </c>
      <c r="F117" s="17"/>
      <c r="G117" s="17" t="s">
        <v>785</v>
      </c>
      <c r="H117" s="17" t="s">
        <v>928</v>
      </c>
      <c r="I117" s="147"/>
      <c r="J117" s="15"/>
      <c r="K117" s="15"/>
      <c r="L117" s="16"/>
      <c r="M117" s="26">
        <f>IFERROR(VLOOKUP(tblRiskRegister3234[[#This Row],[Asset Class]],tblVCDBIndex[],4,FALSE),"")</f>
        <v>1</v>
      </c>
      <c r="N117" s="29" t="str">
        <f>IFERROR(VLOOKUP(10*tblRiskRegister3234[[#This Row],[Safeguard Maturity Score]]+tblRiskRegister3234[[#This Row],[VCDB Index]],tblHITIndexWeightTable[],4,FALSE),"")</f>
        <v/>
      </c>
      <c r="O117" s="29" t="str">
        <f>VLOOKUP(tblRiskRegister3234[[#This Row],[Asset Class]],tblInherentImpacts30[],2,FALSE)</f>
        <v/>
      </c>
      <c r="P117" s="29">
        <f>VLOOKUP(tblRiskRegister3234[[#This Row],[Asset Class]],tblInherentImpacts30[],3,FALSE)</f>
        <v>0</v>
      </c>
      <c r="Q117" s="29">
        <f>VLOOKUP(tblRiskRegister3234[[#This Row],[Asset Class]],tblInherentImpacts30[],4,FALSE)</f>
        <v>0</v>
      </c>
      <c r="R117" s="29">
        <f>VLOOKUP(tblRiskRegister3234[[#This Row],[Asset Class]],tblInherentImpacts30[],5,FALSE)</f>
        <v>0</v>
      </c>
      <c r="S117" s="29" t="str">
        <f>IFERROR(MAX(tblRiskRegister3234[[#This Row],[Impact to Mission]:[Impact to Obligations]])*tblRiskRegister3234[[#This Row],[Expectancy Score]],"")</f>
        <v/>
      </c>
      <c r="T117" s="29" t="str">
        <f>tblRiskRegister3234[[#This Row],[Risk Score]]</f>
        <v/>
      </c>
      <c r="U117" s="100"/>
      <c r="V117" s="112">
        <v>12.3</v>
      </c>
      <c r="W117" s="44" t="s">
        <v>625</v>
      </c>
      <c r="X117" s="44" t="s">
        <v>728</v>
      </c>
      <c r="Y117" s="30"/>
      <c r="Z117" s="16"/>
      <c r="AA117" s="27" t="str">
        <f>IFERROR(VLOOKUP(10*tblRiskRegister3234[[#This Row],[Risk Treatment Safeguard Maturity Score]]+tblRiskRegister3234[[#This Row],[VCDB Index]],tblHITIndexWeightTable[],4,FALSE),"")</f>
        <v/>
      </c>
      <c r="AB117" s="138" t="str">
        <f>VLOOKUP(tblRiskRegister3234[[#This Row],[Asset Class]],tblInherentImpacts30[],2,FALSE)</f>
        <v/>
      </c>
      <c r="AC117" s="138">
        <f>VLOOKUP(tblRiskRegister3234[[#This Row],[Asset Class]],tblInherentImpacts30[],3,FALSE)</f>
        <v>0</v>
      </c>
      <c r="AD117" s="138">
        <f>VLOOKUP(tblRiskRegister3234[[#This Row],[Asset Class]],tblInherentImpacts30[],4,FALSE)</f>
        <v>0</v>
      </c>
      <c r="AE117" s="138">
        <f>VLOOKUP(tblRiskRegister3234[[#This Row],[Asset Class]],tblInherentImpacts30[],5,FALSE)</f>
        <v>0</v>
      </c>
      <c r="AF117" s="138" t="str">
        <f>IFERROR(MAX(tblRiskRegister3234[[#This Row],[Risk Treatment Safeguard Impact to Mission]:[Risk Treatment Safeguard Impact to Obligations]])*tblRiskRegister3234[[#This Row],[Risk Treatment
Safeguard Expectancy Score]],"")</f>
        <v/>
      </c>
      <c r="AG117" s="138" t="str">
        <f>IF(tblRiskRegister3234[[#This Row],[Risk Score]]&gt;AcceptableRisk,IF(tblRiskRegister3234[[#This Row],[Risk Treatment Safeguard Risk Score]]&lt;AcceptableRisk, IF(tblRiskRegister3234[[#This Row],[Risk Treatment Safeguard Risk Score]]&lt;=tblRiskRegister3234[[#This Row],[Risk Score]],"Yes","No"),"No"),"Yes")</f>
        <v>No</v>
      </c>
      <c r="AH117" s="18"/>
      <c r="AI117" s="18"/>
      <c r="AJ117" s="19"/>
    </row>
    <row r="118" spans="2:36" ht="38.25" x14ac:dyDescent="0.2">
      <c r="B118" s="44" t="s">
        <v>133</v>
      </c>
      <c r="C118" s="44"/>
      <c r="D118" s="13">
        <v>12.4</v>
      </c>
      <c r="E118" s="14" t="s">
        <v>74</v>
      </c>
      <c r="F118" s="17" t="s">
        <v>785</v>
      </c>
      <c r="G118" s="17" t="s">
        <v>785</v>
      </c>
      <c r="H118" s="17" t="s">
        <v>929</v>
      </c>
      <c r="I118" s="147"/>
      <c r="J118" s="15"/>
      <c r="K118" s="15"/>
      <c r="L118" s="16"/>
      <c r="M118" s="26">
        <f>IFERROR(VLOOKUP(tblRiskRegister3234[[#This Row],[Asset Class]],tblVCDBIndex[],4,FALSE),"")</f>
        <v>1</v>
      </c>
      <c r="N118" s="29" t="str">
        <f>IFERROR(VLOOKUP(10*tblRiskRegister3234[[#This Row],[Safeguard Maturity Score]]+tblRiskRegister3234[[#This Row],[VCDB Index]],tblHITIndexWeightTable[],4,FALSE),"")</f>
        <v/>
      </c>
      <c r="O118" s="29" t="str">
        <f>VLOOKUP(tblRiskRegister3234[[#This Row],[Asset Class]],tblInherentImpacts30[],2,FALSE)</f>
        <v/>
      </c>
      <c r="P118" s="29">
        <f>VLOOKUP(tblRiskRegister3234[[#This Row],[Asset Class]],tblInherentImpacts30[],3,FALSE)</f>
        <v>0</v>
      </c>
      <c r="Q118" s="29">
        <f>VLOOKUP(tblRiskRegister3234[[#This Row],[Asset Class]],tblInherentImpacts30[],4,FALSE)</f>
        <v>0</v>
      </c>
      <c r="R118" s="29">
        <f>VLOOKUP(tblRiskRegister3234[[#This Row],[Asset Class]],tblInherentImpacts30[],5,FALSE)</f>
        <v>0</v>
      </c>
      <c r="S118" s="29" t="str">
        <f>IFERROR(MAX(tblRiskRegister3234[[#This Row],[Impact to Mission]:[Impact to Obligations]])*tblRiskRegister3234[[#This Row],[Expectancy Score]],"")</f>
        <v/>
      </c>
      <c r="T118" s="29" t="str">
        <f>tblRiskRegister3234[[#This Row],[Risk Score]]</f>
        <v/>
      </c>
      <c r="U118" s="100"/>
      <c r="V118" s="112">
        <v>12.4</v>
      </c>
      <c r="W118" s="44" t="s">
        <v>74</v>
      </c>
      <c r="X118" s="44" t="s">
        <v>169</v>
      </c>
      <c r="Y118" s="30"/>
      <c r="Z118" s="16"/>
      <c r="AA118" s="27" t="str">
        <f>IFERROR(VLOOKUP(10*tblRiskRegister3234[[#This Row],[Risk Treatment Safeguard Maturity Score]]+tblRiskRegister3234[[#This Row],[VCDB Index]],tblHITIndexWeightTable[],4,FALSE),"")</f>
        <v/>
      </c>
      <c r="AB118" s="138" t="str">
        <f>VLOOKUP(tblRiskRegister3234[[#This Row],[Asset Class]],tblInherentImpacts30[],2,FALSE)</f>
        <v/>
      </c>
      <c r="AC118" s="138">
        <f>VLOOKUP(tblRiskRegister3234[[#This Row],[Asset Class]],tblInherentImpacts30[],3,FALSE)</f>
        <v>0</v>
      </c>
      <c r="AD118" s="138">
        <f>VLOOKUP(tblRiskRegister3234[[#This Row],[Asset Class]],tblInherentImpacts30[],4,FALSE)</f>
        <v>0</v>
      </c>
      <c r="AE118" s="138">
        <f>VLOOKUP(tblRiskRegister3234[[#This Row],[Asset Class]],tblInherentImpacts30[],5,FALSE)</f>
        <v>0</v>
      </c>
      <c r="AF118" s="138" t="str">
        <f>IFERROR(MAX(tblRiskRegister3234[[#This Row],[Risk Treatment Safeguard Impact to Mission]:[Risk Treatment Safeguard Impact to Obligations]])*tblRiskRegister3234[[#This Row],[Risk Treatment
Safeguard Expectancy Score]],"")</f>
        <v/>
      </c>
      <c r="AG118" s="138" t="str">
        <f>IF(tblRiskRegister3234[[#This Row],[Risk Score]]&gt;AcceptableRisk,IF(tblRiskRegister3234[[#This Row],[Risk Treatment Safeguard Risk Score]]&lt;AcceptableRisk, IF(tblRiskRegister3234[[#This Row],[Risk Treatment Safeguard Risk Score]]&lt;=tblRiskRegister3234[[#This Row],[Risk Score]],"Yes","No"),"No"),"Yes")</f>
        <v>No</v>
      </c>
      <c r="AH118" s="18"/>
      <c r="AI118" s="18"/>
      <c r="AJ118" s="19"/>
    </row>
    <row r="119" spans="2:36" ht="25.5" x14ac:dyDescent="0.2">
      <c r="B119" s="44" t="s">
        <v>133</v>
      </c>
      <c r="C119" s="44"/>
      <c r="D119" s="13">
        <v>12.5</v>
      </c>
      <c r="E119" s="14" t="s">
        <v>626</v>
      </c>
      <c r="F119" s="17"/>
      <c r="G119" s="17" t="s">
        <v>785</v>
      </c>
      <c r="H119" s="17" t="s">
        <v>929</v>
      </c>
      <c r="I119" s="147"/>
      <c r="J119" s="15"/>
      <c r="K119" s="15"/>
      <c r="L119" s="16"/>
      <c r="M119" s="26">
        <f>IFERROR(VLOOKUP(tblRiskRegister3234[[#This Row],[Asset Class]],tblVCDBIndex[],4,FALSE),"")</f>
        <v>1</v>
      </c>
      <c r="N119" s="29" t="str">
        <f>IFERROR(VLOOKUP(10*tblRiskRegister3234[[#This Row],[Safeguard Maturity Score]]+tblRiskRegister3234[[#This Row],[VCDB Index]],tblHITIndexWeightTable[],4,FALSE),"")</f>
        <v/>
      </c>
      <c r="O119" s="29" t="str">
        <f>VLOOKUP(tblRiskRegister3234[[#This Row],[Asset Class]],tblInherentImpacts30[],2,FALSE)</f>
        <v/>
      </c>
      <c r="P119" s="29">
        <f>VLOOKUP(tblRiskRegister3234[[#This Row],[Asset Class]],tblInherentImpacts30[],3,FALSE)</f>
        <v>0</v>
      </c>
      <c r="Q119" s="29">
        <f>VLOOKUP(tblRiskRegister3234[[#This Row],[Asset Class]],tblInherentImpacts30[],4,FALSE)</f>
        <v>0</v>
      </c>
      <c r="R119" s="29">
        <f>VLOOKUP(tblRiskRegister3234[[#This Row],[Asset Class]],tblInherentImpacts30[],5,FALSE)</f>
        <v>0</v>
      </c>
      <c r="S119" s="29" t="str">
        <f>IFERROR(MAX(tblRiskRegister3234[[#This Row],[Impact to Mission]:[Impact to Obligations]])*tblRiskRegister3234[[#This Row],[Expectancy Score]],"")</f>
        <v/>
      </c>
      <c r="T119" s="29" t="str">
        <f>tblRiskRegister3234[[#This Row],[Risk Score]]</f>
        <v/>
      </c>
      <c r="U119" s="100"/>
      <c r="V119" s="112">
        <v>12.5</v>
      </c>
      <c r="W119" s="44" t="s">
        <v>626</v>
      </c>
      <c r="X119" s="44" t="s">
        <v>729</v>
      </c>
      <c r="Y119" s="30"/>
      <c r="Z119" s="16"/>
      <c r="AA119" s="27" t="str">
        <f>IFERROR(VLOOKUP(10*tblRiskRegister3234[[#This Row],[Risk Treatment Safeguard Maturity Score]]+tblRiskRegister3234[[#This Row],[VCDB Index]],tblHITIndexWeightTable[],4,FALSE),"")</f>
        <v/>
      </c>
      <c r="AB119" s="138" t="str">
        <f>VLOOKUP(tblRiskRegister3234[[#This Row],[Asset Class]],tblInherentImpacts30[],2,FALSE)</f>
        <v/>
      </c>
      <c r="AC119" s="138">
        <f>VLOOKUP(tblRiskRegister3234[[#This Row],[Asset Class]],tblInherentImpacts30[],3,FALSE)</f>
        <v>0</v>
      </c>
      <c r="AD119" s="138">
        <f>VLOOKUP(tblRiskRegister3234[[#This Row],[Asset Class]],tblInherentImpacts30[],4,FALSE)</f>
        <v>0</v>
      </c>
      <c r="AE119" s="138">
        <f>VLOOKUP(tblRiskRegister3234[[#This Row],[Asset Class]],tblInherentImpacts30[],5,FALSE)</f>
        <v>0</v>
      </c>
      <c r="AF119" s="138" t="str">
        <f>IFERROR(MAX(tblRiskRegister3234[[#This Row],[Risk Treatment Safeguard Impact to Mission]:[Risk Treatment Safeguard Impact to Obligations]])*tblRiskRegister3234[[#This Row],[Risk Treatment
Safeguard Expectancy Score]],"")</f>
        <v/>
      </c>
      <c r="AG119" s="138" t="str">
        <f>IF(tblRiskRegister3234[[#This Row],[Risk Score]]&gt;AcceptableRisk,IF(tblRiskRegister3234[[#This Row],[Risk Treatment Safeguard Risk Score]]&lt;AcceptableRisk, IF(tblRiskRegister3234[[#This Row],[Risk Treatment Safeguard Risk Score]]&lt;=tblRiskRegister3234[[#This Row],[Risk Score]],"Yes","No"),"No"),"Yes")</f>
        <v>No</v>
      </c>
      <c r="AH119" s="18"/>
      <c r="AI119" s="18"/>
      <c r="AJ119" s="19"/>
    </row>
    <row r="120" spans="2:36" ht="38.25" x14ac:dyDescent="0.2">
      <c r="B120" s="15" t="s">
        <v>133</v>
      </c>
      <c r="C120" s="15"/>
      <c r="D120" s="13">
        <v>12.6</v>
      </c>
      <c r="E120" s="14" t="s">
        <v>627</v>
      </c>
      <c r="F120" s="17"/>
      <c r="G120" s="17" t="s">
        <v>785</v>
      </c>
      <c r="H120" s="17" t="s">
        <v>929</v>
      </c>
      <c r="I120" s="147"/>
      <c r="J120" s="15"/>
      <c r="K120" s="15"/>
      <c r="L120" s="16"/>
      <c r="M120" s="26">
        <f>IFERROR(VLOOKUP(tblRiskRegister3234[[#This Row],[Asset Class]],tblVCDBIndex[],4,FALSE),"")</f>
        <v>1</v>
      </c>
      <c r="N120" s="26" t="str">
        <f>IFERROR(VLOOKUP(10*tblRiskRegister3234[[#This Row],[Safeguard Maturity Score]]+tblRiskRegister3234[[#This Row],[VCDB Index]],tblHITIndexWeightTable[],4,FALSE),"")</f>
        <v/>
      </c>
      <c r="O120" s="26" t="str">
        <f>VLOOKUP(tblRiskRegister3234[[#This Row],[Asset Class]],tblInherentImpacts30[],2,FALSE)</f>
        <v/>
      </c>
      <c r="P120" s="26">
        <f>VLOOKUP(tblRiskRegister3234[[#This Row],[Asset Class]],tblInherentImpacts30[],3,FALSE)</f>
        <v>0</v>
      </c>
      <c r="Q120" s="26">
        <f>VLOOKUP(tblRiskRegister3234[[#This Row],[Asset Class]],tblInherentImpacts30[],4,FALSE)</f>
        <v>0</v>
      </c>
      <c r="R120" s="26">
        <f>VLOOKUP(tblRiskRegister3234[[#This Row],[Asset Class]],tblInherentImpacts30[],5,FALSE)</f>
        <v>0</v>
      </c>
      <c r="S120" s="26" t="str">
        <f>IFERROR(MAX(tblRiskRegister3234[[#This Row],[Impact to Mission]:[Impact to Obligations]])*tblRiskRegister3234[[#This Row],[Expectancy Score]],"")</f>
        <v/>
      </c>
      <c r="T120" s="26" t="str">
        <f>tblRiskRegister3234[[#This Row],[Risk Score]]</f>
        <v/>
      </c>
      <c r="U120" s="100"/>
      <c r="V120" s="100">
        <v>12.6</v>
      </c>
      <c r="W120" s="15" t="s">
        <v>627</v>
      </c>
      <c r="X120" s="15" t="s">
        <v>730</v>
      </c>
      <c r="Y120" s="15"/>
      <c r="Z120" s="16"/>
      <c r="AA120" s="27" t="str">
        <f>IFERROR(VLOOKUP(10*tblRiskRegister3234[[#This Row],[Risk Treatment Safeguard Maturity Score]]+tblRiskRegister3234[[#This Row],[VCDB Index]],tblHITIndexWeightTable[],4,FALSE),"")</f>
        <v/>
      </c>
      <c r="AB120" s="138" t="str">
        <f>VLOOKUP(tblRiskRegister3234[[#This Row],[Asset Class]],tblInherentImpacts30[],2,FALSE)</f>
        <v/>
      </c>
      <c r="AC120" s="138">
        <f>VLOOKUP(tblRiskRegister3234[[#This Row],[Asset Class]],tblInherentImpacts30[],3,FALSE)</f>
        <v>0</v>
      </c>
      <c r="AD120" s="138">
        <f>VLOOKUP(tblRiskRegister3234[[#This Row],[Asset Class]],tblInherentImpacts30[],4,FALSE)</f>
        <v>0</v>
      </c>
      <c r="AE120" s="138">
        <f>VLOOKUP(tblRiskRegister3234[[#This Row],[Asset Class]],tblInherentImpacts30[],5,FALSE)</f>
        <v>0</v>
      </c>
      <c r="AF120" s="138" t="str">
        <f>IFERROR(MAX(tblRiskRegister3234[[#This Row],[Risk Treatment Safeguard Impact to Mission]:[Risk Treatment Safeguard Impact to Obligations]])*tblRiskRegister3234[[#This Row],[Risk Treatment
Safeguard Expectancy Score]],"")</f>
        <v/>
      </c>
      <c r="AG120" s="138" t="str">
        <f>IF(tblRiskRegister3234[[#This Row],[Risk Score]]&gt;AcceptableRisk,IF(tblRiskRegister3234[[#This Row],[Risk Treatment Safeguard Risk Score]]&lt;AcceptableRisk, IF(tblRiskRegister3234[[#This Row],[Risk Treatment Safeguard Risk Score]]&lt;=tblRiskRegister3234[[#This Row],[Risk Score]],"Yes","No"),"No"),"Yes")</f>
        <v>No</v>
      </c>
      <c r="AH120" s="18"/>
      <c r="AI120" s="18"/>
      <c r="AJ120" s="19"/>
    </row>
    <row r="121" spans="2:36" ht="25.5" x14ac:dyDescent="0.2">
      <c r="B121" s="15" t="s">
        <v>133</v>
      </c>
      <c r="C121" s="15"/>
      <c r="D121" s="13">
        <v>12.8</v>
      </c>
      <c r="E121" s="14" t="s">
        <v>628</v>
      </c>
      <c r="F121" s="17"/>
      <c r="G121" s="17" t="s">
        <v>785</v>
      </c>
      <c r="H121" s="17" t="s">
        <v>928</v>
      </c>
      <c r="I121" s="147"/>
      <c r="J121" s="15"/>
      <c r="K121" s="15"/>
      <c r="L121" s="16"/>
      <c r="M121" s="26">
        <f>IFERROR(VLOOKUP(tblRiskRegister3234[[#This Row],[Asset Class]],tblVCDBIndex[],4,FALSE),"")</f>
        <v>1</v>
      </c>
      <c r="N121" s="26" t="str">
        <f>IFERROR(VLOOKUP(10*tblRiskRegister3234[[#This Row],[Safeguard Maturity Score]]+tblRiskRegister3234[[#This Row],[VCDB Index]],tblHITIndexWeightTable[],4,FALSE),"")</f>
        <v/>
      </c>
      <c r="O121" s="26" t="str">
        <f>VLOOKUP(tblRiskRegister3234[[#This Row],[Asset Class]],tblInherentImpacts30[],2,FALSE)</f>
        <v/>
      </c>
      <c r="P121" s="26">
        <f>VLOOKUP(tblRiskRegister3234[[#This Row],[Asset Class]],tblInherentImpacts30[],3,FALSE)</f>
        <v>0</v>
      </c>
      <c r="Q121" s="26">
        <f>VLOOKUP(tblRiskRegister3234[[#This Row],[Asset Class]],tblInherentImpacts30[],4,FALSE)</f>
        <v>0</v>
      </c>
      <c r="R121" s="26">
        <f>VLOOKUP(tblRiskRegister3234[[#This Row],[Asset Class]],tblInherentImpacts30[],5,FALSE)</f>
        <v>0</v>
      </c>
      <c r="S121" s="26" t="str">
        <f>IFERROR(MAX(tblRiskRegister3234[[#This Row],[Impact to Mission]:[Impact to Obligations]])*tblRiskRegister3234[[#This Row],[Expectancy Score]],"")</f>
        <v/>
      </c>
      <c r="T121" s="26" t="str">
        <f>tblRiskRegister3234[[#This Row],[Risk Score]]</f>
        <v/>
      </c>
      <c r="U121" s="100"/>
      <c r="V121" s="100">
        <v>12.8</v>
      </c>
      <c r="W121" s="15" t="s">
        <v>628</v>
      </c>
      <c r="X121" s="15" t="s">
        <v>731</v>
      </c>
      <c r="Y121" s="15"/>
      <c r="Z121" s="16"/>
      <c r="AA121" s="27" t="str">
        <f>IFERROR(VLOOKUP(10*tblRiskRegister3234[[#This Row],[Risk Treatment Safeguard Maturity Score]]+tblRiskRegister3234[[#This Row],[VCDB Index]],tblHITIndexWeightTable[],4,FALSE),"")</f>
        <v/>
      </c>
      <c r="AB121" s="138" t="str">
        <f>VLOOKUP(tblRiskRegister3234[[#This Row],[Asset Class]],tblInherentImpacts30[],2,FALSE)</f>
        <v/>
      </c>
      <c r="AC121" s="138">
        <f>VLOOKUP(tblRiskRegister3234[[#This Row],[Asset Class]],tblInherentImpacts30[],3,FALSE)</f>
        <v>0</v>
      </c>
      <c r="AD121" s="138">
        <f>VLOOKUP(tblRiskRegister3234[[#This Row],[Asset Class]],tblInherentImpacts30[],4,FALSE)</f>
        <v>0</v>
      </c>
      <c r="AE121" s="138">
        <f>VLOOKUP(tblRiskRegister3234[[#This Row],[Asset Class]],tblInherentImpacts30[],5,FALSE)</f>
        <v>0</v>
      </c>
      <c r="AF121" s="138" t="str">
        <f>IFERROR(MAX(tblRiskRegister3234[[#This Row],[Risk Treatment Safeguard Impact to Mission]:[Risk Treatment Safeguard Impact to Obligations]])*tblRiskRegister3234[[#This Row],[Risk Treatment
Safeguard Expectancy Score]],"")</f>
        <v/>
      </c>
      <c r="AG121" s="138" t="str">
        <f>IF(tblRiskRegister3234[[#This Row],[Risk Score]]&gt;AcceptableRisk,IF(tblRiskRegister3234[[#This Row],[Risk Treatment Safeguard Risk Score]]&lt;AcceptableRisk, IF(tblRiskRegister3234[[#This Row],[Risk Treatment Safeguard Risk Score]]&lt;=tblRiskRegister3234[[#This Row],[Risk Score]],"Yes","No"),"No"),"Yes")</f>
        <v>No</v>
      </c>
      <c r="AH121" s="18"/>
      <c r="AI121" s="18"/>
      <c r="AJ121" s="19"/>
    </row>
    <row r="122" spans="2:36" ht="38.25" x14ac:dyDescent="0.2">
      <c r="B122" s="44" t="s">
        <v>133</v>
      </c>
      <c r="C122" s="44"/>
      <c r="D122" s="13">
        <v>14.1</v>
      </c>
      <c r="E122" s="14" t="s">
        <v>632</v>
      </c>
      <c r="F122" s="17"/>
      <c r="G122" s="17" t="s">
        <v>785</v>
      </c>
      <c r="H122" s="17" t="s">
        <v>928</v>
      </c>
      <c r="I122" s="147"/>
      <c r="J122" s="15"/>
      <c r="K122" s="15"/>
      <c r="L122" s="16"/>
      <c r="M122" s="26">
        <f>IFERROR(VLOOKUP(tblRiskRegister3234[[#This Row],[Asset Class]],tblVCDBIndex[],4,FALSE),"")</f>
        <v>1</v>
      </c>
      <c r="N122" s="29" t="str">
        <f>IFERROR(VLOOKUP(10*tblRiskRegister3234[[#This Row],[Safeguard Maturity Score]]+tblRiskRegister3234[[#This Row],[VCDB Index]],tblHITIndexWeightTable[],4,FALSE),"")</f>
        <v/>
      </c>
      <c r="O122" s="29" t="str">
        <f>VLOOKUP(tblRiskRegister3234[[#This Row],[Asset Class]],tblInherentImpacts30[],2,FALSE)</f>
        <v/>
      </c>
      <c r="P122" s="29">
        <f>VLOOKUP(tblRiskRegister3234[[#This Row],[Asset Class]],tblInherentImpacts30[],3,FALSE)</f>
        <v>0</v>
      </c>
      <c r="Q122" s="29">
        <f>VLOOKUP(tblRiskRegister3234[[#This Row],[Asset Class]],tblInherentImpacts30[],4,FALSE)</f>
        <v>0</v>
      </c>
      <c r="R122" s="29">
        <f>VLOOKUP(tblRiskRegister3234[[#This Row],[Asset Class]],tblInherentImpacts30[],5,FALSE)</f>
        <v>0</v>
      </c>
      <c r="S122" s="29" t="str">
        <f>IFERROR(MAX(tblRiskRegister3234[[#This Row],[Impact to Mission]:[Impact to Obligations]])*tblRiskRegister3234[[#This Row],[Expectancy Score]],"")</f>
        <v/>
      </c>
      <c r="T122" s="29" t="str">
        <f>tblRiskRegister3234[[#This Row],[Risk Score]]</f>
        <v/>
      </c>
      <c r="U122" s="100"/>
      <c r="V122" s="112">
        <v>14.1</v>
      </c>
      <c r="W122" s="44" t="s">
        <v>632</v>
      </c>
      <c r="X122" s="44" t="s">
        <v>738</v>
      </c>
      <c r="Y122" s="30"/>
      <c r="Z122" s="16"/>
      <c r="AA122" s="27" t="str">
        <f>IFERROR(VLOOKUP(10*tblRiskRegister3234[[#This Row],[Risk Treatment Safeguard Maturity Score]]+tblRiskRegister3234[[#This Row],[VCDB Index]],tblHITIndexWeightTable[],4,FALSE),"")</f>
        <v/>
      </c>
      <c r="AB122" s="138" t="str">
        <f>VLOOKUP(tblRiskRegister3234[[#This Row],[Asset Class]],tblInherentImpacts30[],2,FALSE)</f>
        <v/>
      </c>
      <c r="AC122" s="138">
        <f>VLOOKUP(tblRiskRegister3234[[#This Row],[Asset Class]],tblInherentImpacts30[],3,FALSE)</f>
        <v>0</v>
      </c>
      <c r="AD122" s="138">
        <f>VLOOKUP(tblRiskRegister3234[[#This Row],[Asset Class]],tblInherentImpacts30[],4,FALSE)</f>
        <v>0</v>
      </c>
      <c r="AE122" s="138">
        <f>VLOOKUP(tblRiskRegister3234[[#This Row],[Asset Class]],tblInherentImpacts30[],5,FALSE)</f>
        <v>0</v>
      </c>
      <c r="AF122" s="138" t="str">
        <f>IFERROR(MAX(tblRiskRegister3234[[#This Row],[Risk Treatment Safeguard Impact to Mission]:[Risk Treatment Safeguard Impact to Obligations]])*tblRiskRegister3234[[#This Row],[Risk Treatment
Safeguard Expectancy Score]],"")</f>
        <v/>
      </c>
      <c r="AG122" s="138" t="str">
        <f>IF(tblRiskRegister3234[[#This Row],[Risk Score]]&gt;AcceptableRisk,IF(tblRiskRegister3234[[#This Row],[Risk Treatment Safeguard Risk Score]]&lt;AcceptableRisk, IF(tblRiskRegister3234[[#This Row],[Risk Treatment Safeguard Risk Score]]&lt;=tblRiskRegister3234[[#This Row],[Risk Score]],"Yes","No"),"No"),"Yes")</f>
        <v>No</v>
      </c>
      <c r="AH122" s="18"/>
      <c r="AI122" s="18"/>
      <c r="AJ122" s="19"/>
    </row>
    <row r="123" spans="2:36" ht="38.25" x14ac:dyDescent="0.2">
      <c r="B123" s="44" t="s">
        <v>133</v>
      </c>
      <c r="C123" s="44"/>
      <c r="D123" s="13">
        <v>14.2</v>
      </c>
      <c r="E123" s="14" t="s">
        <v>633</v>
      </c>
      <c r="F123" s="17"/>
      <c r="G123" s="17" t="s">
        <v>785</v>
      </c>
      <c r="H123" s="17" t="s">
        <v>928</v>
      </c>
      <c r="I123" s="147"/>
      <c r="J123" s="15"/>
      <c r="K123" s="15"/>
      <c r="L123" s="16"/>
      <c r="M123" s="26">
        <f>IFERROR(VLOOKUP(tblRiskRegister3234[[#This Row],[Asset Class]],tblVCDBIndex[],4,FALSE),"")</f>
        <v>1</v>
      </c>
      <c r="N123" s="29" t="str">
        <f>IFERROR(VLOOKUP(10*tblRiskRegister3234[[#This Row],[Safeguard Maturity Score]]+tblRiskRegister3234[[#This Row],[VCDB Index]],tblHITIndexWeightTable[],4,FALSE),"")</f>
        <v/>
      </c>
      <c r="O123" s="29" t="str">
        <f>VLOOKUP(tblRiskRegister3234[[#This Row],[Asset Class]],tblInherentImpacts30[],2,FALSE)</f>
        <v/>
      </c>
      <c r="P123" s="29">
        <f>VLOOKUP(tblRiskRegister3234[[#This Row],[Asset Class]],tblInherentImpacts30[],3,FALSE)</f>
        <v>0</v>
      </c>
      <c r="Q123" s="29">
        <f>VLOOKUP(tblRiskRegister3234[[#This Row],[Asset Class]],tblInherentImpacts30[],4,FALSE)</f>
        <v>0</v>
      </c>
      <c r="R123" s="29">
        <f>VLOOKUP(tblRiskRegister3234[[#This Row],[Asset Class]],tblInherentImpacts30[],5,FALSE)</f>
        <v>0</v>
      </c>
      <c r="S123" s="29" t="str">
        <f>IFERROR(MAX(tblRiskRegister3234[[#This Row],[Impact to Mission]:[Impact to Obligations]])*tblRiskRegister3234[[#This Row],[Expectancy Score]],"")</f>
        <v/>
      </c>
      <c r="T123" s="29" t="str">
        <f>tblRiskRegister3234[[#This Row],[Risk Score]]</f>
        <v/>
      </c>
      <c r="U123" s="100"/>
      <c r="V123" s="112">
        <v>14.2</v>
      </c>
      <c r="W123" s="44" t="s">
        <v>633</v>
      </c>
      <c r="X123" s="44" t="s">
        <v>739</v>
      </c>
      <c r="Y123" s="30"/>
      <c r="Z123" s="16"/>
      <c r="AA123" s="27" t="str">
        <f>IFERROR(VLOOKUP(10*tblRiskRegister3234[[#This Row],[Risk Treatment Safeguard Maturity Score]]+tblRiskRegister3234[[#This Row],[VCDB Index]],tblHITIndexWeightTable[],4,FALSE),"")</f>
        <v/>
      </c>
      <c r="AB123" s="138" t="str">
        <f>VLOOKUP(tblRiskRegister3234[[#This Row],[Asset Class]],tblInherentImpacts30[],2,FALSE)</f>
        <v/>
      </c>
      <c r="AC123" s="138">
        <f>VLOOKUP(tblRiskRegister3234[[#This Row],[Asset Class]],tblInherentImpacts30[],3,FALSE)</f>
        <v>0</v>
      </c>
      <c r="AD123" s="138">
        <f>VLOOKUP(tblRiskRegister3234[[#This Row],[Asset Class]],tblInherentImpacts30[],4,FALSE)</f>
        <v>0</v>
      </c>
      <c r="AE123" s="138">
        <f>VLOOKUP(tblRiskRegister3234[[#This Row],[Asset Class]],tblInherentImpacts30[],5,FALSE)</f>
        <v>0</v>
      </c>
      <c r="AF123" s="138" t="str">
        <f>IFERROR(MAX(tblRiskRegister3234[[#This Row],[Risk Treatment Safeguard Impact to Mission]:[Risk Treatment Safeguard Impact to Obligations]])*tblRiskRegister3234[[#This Row],[Risk Treatment
Safeguard Expectancy Score]],"")</f>
        <v/>
      </c>
      <c r="AG123" s="138" t="str">
        <f>IF(tblRiskRegister3234[[#This Row],[Risk Score]]&gt;AcceptableRisk,IF(tblRiskRegister3234[[#This Row],[Risk Treatment Safeguard Risk Score]]&lt;AcceptableRisk, IF(tblRiskRegister3234[[#This Row],[Risk Treatment Safeguard Risk Score]]&lt;=tblRiskRegister3234[[#This Row],[Risk Score]],"Yes","No"),"No"),"Yes")</f>
        <v>No</v>
      </c>
      <c r="AH123" s="18"/>
      <c r="AI123" s="18"/>
      <c r="AJ123" s="19"/>
    </row>
    <row r="124" spans="2:36" ht="38.25" x14ac:dyDescent="0.2">
      <c r="B124" s="44" t="s">
        <v>133</v>
      </c>
      <c r="C124" s="44"/>
      <c r="D124" s="13">
        <v>14.3</v>
      </c>
      <c r="E124" s="14" t="s">
        <v>634</v>
      </c>
      <c r="F124" s="17"/>
      <c r="G124" s="17" t="s">
        <v>785</v>
      </c>
      <c r="H124" s="17" t="s">
        <v>928</v>
      </c>
      <c r="I124" s="147"/>
      <c r="J124" s="15"/>
      <c r="K124" s="15"/>
      <c r="L124" s="16"/>
      <c r="M124" s="26">
        <f>IFERROR(VLOOKUP(tblRiskRegister3234[[#This Row],[Asset Class]],tblVCDBIndex[],4,FALSE),"")</f>
        <v>1</v>
      </c>
      <c r="N124" s="29" t="str">
        <f>IFERROR(VLOOKUP(10*tblRiskRegister3234[[#This Row],[Safeguard Maturity Score]]+tblRiskRegister3234[[#This Row],[VCDB Index]],tblHITIndexWeightTable[],4,FALSE),"")</f>
        <v/>
      </c>
      <c r="O124" s="29" t="str">
        <f>VLOOKUP(tblRiskRegister3234[[#This Row],[Asset Class]],tblInherentImpacts30[],2,FALSE)</f>
        <v/>
      </c>
      <c r="P124" s="29">
        <f>VLOOKUP(tblRiskRegister3234[[#This Row],[Asset Class]],tblInherentImpacts30[],3,FALSE)</f>
        <v>0</v>
      </c>
      <c r="Q124" s="29">
        <f>VLOOKUP(tblRiskRegister3234[[#This Row],[Asset Class]],tblInherentImpacts30[],4,FALSE)</f>
        <v>0</v>
      </c>
      <c r="R124" s="29">
        <f>VLOOKUP(tblRiskRegister3234[[#This Row],[Asset Class]],tblInherentImpacts30[],5,FALSE)</f>
        <v>0</v>
      </c>
      <c r="S124" s="29" t="str">
        <f>IFERROR(MAX(tblRiskRegister3234[[#This Row],[Impact to Mission]:[Impact to Obligations]])*tblRiskRegister3234[[#This Row],[Expectancy Score]],"")</f>
        <v/>
      </c>
      <c r="T124" s="29" t="str">
        <f>tblRiskRegister3234[[#This Row],[Risk Score]]</f>
        <v/>
      </c>
      <c r="U124" s="100"/>
      <c r="V124" s="112">
        <v>14.3</v>
      </c>
      <c r="W124" s="44" t="s">
        <v>634</v>
      </c>
      <c r="X124" s="44" t="s">
        <v>740</v>
      </c>
      <c r="Y124" s="30"/>
      <c r="Z124" s="16"/>
      <c r="AA124" s="27" t="str">
        <f>IFERROR(VLOOKUP(10*tblRiskRegister3234[[#This Row],[Risk Treatment Safeguard Maturity Score]]+tblRiskRegister3234[[#This Row],[VCDB Index]],tblHITIndexWeightTable[],4,FALSE),"")</f>
        <v/>
      </c>
      <c r="AB124" s="138" t="str">
        <f>VLOOKUP(tblRiskRegister3234[[#This Row],[Asset Class]],tblInherentImpacts30[],2,FALSE)</f>
        <v/>
      </c>
      <c r="AC124" s="138">
        <f>VLOOKUP(tblRiskRegister3234[[#This Row],[Asset Class]],tblInherentImpacts30[],3,FALSE)</f>
        <v>0</v>
      </c>
      <c r="AD124" s="138">
        <f>VLOOKUP(tblRiskRegister3234[[#This Row],[Asset Class]],tblInherentImpacts30[],4,FALSE)</f>
        <v>0</v>
      </c>
      <c r="AE124" s="138">
        <f>VLOOKUP(tblRiskRegister3234[[#This Row],[Asset Class]],tblInherentImpacts30[],5,FALSE)</f>
        <v>0</v>
      </c>
      <c r="AF124" s="138" t="str">
        <f>IFERROR(MAX(tblRiskRegister3234[[#This Row],[Risk Treatment Safeguard Impact to Mission]:[Risk Treatment Safeguard Impact to Obligations]])*tblRiskRegister3234[[#This Row],[Risk Treatment
Safeguard Expectancy Score]],"")</f>
        <v/>
      </c>
      <c r="AG124" s="138" t="str">
        <f>IF(tblRiskRegister3234[[#This Row],[Risk Score]]&gt;AcceptableRisk,IF(tblRiskRegister3234[[#This Row],[Risk Treatment Safeguard Risk Score]]&lt;AcceptableRisk, IF(tblRiskRegister3234[[#This Row],[Risk Treatment Safeguard Risk Score]]&lt;=tblRiskRegister3234[[#This Row],[Risk Score]],"Yes","No"),"No"),"Yes")</f>
        <v>No</v>
      </c>
      <c r="AH124" s="18"/>
      <c r="AI124" s="18"/>
      <c r="AJ124" s="19"/>
    </row>
    <row r="125" spans="2:36" ht="38.25" x14ac:dyDescent="0.2">
      <c r="B125" s="44" t="s">
        <v>133</v>
      </c>
      <c r="C125" s="44"/>
      <c r="D125" s="13">
        <v>15.1</v>
      </c>
      <c r="E125" s="14" t="s">
        <v>636</v>
      </c>
      <c r="F125" s="17"/>
      <c r="G125" s="17" t="s">
        <v>785</v>
      </c>
      <c r="H125" s="17" t="s">
        <v>926</v>
      </c>
      <c r="I125" s="147"/>
      <c r="J125" s="15"/>
      <c r="K125" s="15"/>
      <c r="L125" s="16"/>
      <c r="M125" s="26">
        <f>IFERROR(VLOOKUP(tblRiskRegister3234[[#This Row],[Asset Class]],tblVCDBIndex[],4,FALSE),"")</f>
        <v>1</v>
      </c>
      <c r="N125" s="29" t="str">
        <f>IFERROR(VLOOKUP(10*tblRiskRegister3234[[#This Row],[Safeguard Maturity Score]]+tblRiskRegister3234[[#This Row],[VCDB Index]],tblHITIndexWeightTable[],4,FALSE),"")</f>
        <v/>
      </c>
      <c r="O125" s="29" t="str">
        <f>VLOOKUP(tblRiskRegister3234[[#This Row],[Asset Class]],tblInherentImpacts30[],2,FALSE)</f>
        <v/>
      </c>
      <c r="P125" s="29">
        <f>VLOOKUP(tblRiskRegister3234[[#This Row],[Asset Class]],tblInherentImpacts30[],3,FALSE)</f>
        <v>0</v>
      </c>
      <c r="Q125" s="29">
        <f>VLOOKUP(tblRiskRegister3234[[#This Row],[Asset Class]],tblInherentImpacts30[],4,FALSE)</f>
        <v>0</v>
      </c>
      <c r="R125" s="29">
        <f>VLOOKUP(tblRiskRegister3234[[#This Row],[Asset Class]],tblInherentImpacts30[],5,FALSE)</f>
        <v>0</v>
      </c>
      <c r="S125" s="29" t="str">
        <f>IFERROR(MAX(tblRiskRegister3234[[#This Row],[Impact to Mission]:[Impact to Obligations]])*tblRiskRegister3234[[#This Row],[Expectancy Score]],"")</f>
        <v/>
      </c>
      <c r="T125" s="29" t="str">
        <f>tblRiskRegister3234[[#This Row],[Risk Score]]</f>
        <v/>
      </c>
      <c r="U125" s="100"/>
      <c r="V125" s="112">
        <v>15.1</v>
      </c>
      <c r="W125" s="44" t="s">
        <v>636</v>
      </c>
      <c r="X125" s="44" t="s">
        <v>171</v>
      </c>
      <c r="Y125" s="30"/>
      <c r="Z125" s="16"/>
      <c r="AA125" s="27" t="str">
        <f>IFERROR(VLOOKUP(10*tblRiskRegister3234[[#This Row],[Risk Treatment Safeguard Maturity Score]]+tblRiskRegister3234[[#This Row],[VCDB Index]],tblHITIndexWeightTable[],4,FALSE),"")</f>
        <v/>
      </c>
      <c r="AB125" s="138" t="str">
        <f>VLOOKUP(tblRiskRegister3234[[#This Row],[Asset Class]],tblInherentImpacts30[],2,FALSE)</f>
        <v/>
      </c>
      <c r="AC125" s="138">
        <f>VLOOKUP(tblRiskRegister3234[[#This Row],[Asset Class]],tblInherentImpacts30[],3,FALSE)</f>
        <v>0</v>
      </c>
      <c r="AD125" s="138">
        <f>VLOOKUP(tblRiskRegister3234[[#This Row],[Asset Class]],tblInherentImpacts30[],4,FALSE)</f>
        <v>0</v>
      </c>
      <c r="AE125" s="138">
        <f>VLOOKUP(tblRiskRegister3234[[#This Row],[Asset Class]],tblInherentImpacts30[],5,FALSE)</f>
        <v>0</v>
      </c>
      <c r="AF125" s="138" t="str">
        <f>IFERROR(MAX(tblRiskRegister3234[[#This Row],[Risk Treatment Safeguard Impact to Mission]:[Risk Treatment Safeguard Impact to Obligations]])*tblRiskRegister3234[[#This Row],[Risk Treatment
Safeguard Expectancy Score]],"")</f>
        <v/>
      </c>
      <c r="AG125" s="138" t="str">
        <f>IF(tblRiskRegister3234[[#This Row],[Risk Score]]&gt;AcceptableRisk,IF(tblRiskRegister3234[[#This Row],[Risk Treatment Safeguard Risk Score]]&lt;AcceptableRisk, IF(tblRiskRegister3234[[#This Row],[Risk Treatment Safeguard Risk Score]]&lt;=tblRiskRegister3234[[#This Row],[Risk Score]],"Yes","No"),"No"),"Yes")</f>
        <v>No</v>
      </c>
      <c r="AH125" s="18"/>
      <c r="AI125" s="18"/>
      <c r="AJ125" s="19"/>
    </row>
    <row r="126" spans="2:36" ht="25.5" x14ac:dyDescent="0.2">
      <c r="B126" s="44" t="s">
        <v>133</v>
      </c>
      <c r="C126" s="44"/>
      <c r="D126" s="13">
        <v>15.2</v>
      </c>
      <c r="E126" s="14" t="s">
        <v>637</v>
      </c>
      <c r="F126" s="17"/>
      <c r="G126" s="17" t="s">
        <v>785</v>
      </c>
      <c r="H126" s="17" t="s">
        <v>929</v>
      </c>
      <c r="I126" s="147"/>
      <c r="J126" s="15"/>
      <c r="K126" s="15"/>
      <c r="L126" s="16"/>
      <c r="M126" s="26">
        <f>IFERROR(VLOOKUP(tblRiskRegister3234[[#This Row],[Asset Class]],tblVCDBIndex[],4,FALSE),"")</f>
        <v>1</v>
      </c>
      <c r="N126" s="29" t="str">
        <f>IFERROR(VLOOKUP(10*tblRiskRegister3234[[#This Row],[Safeguard Maturity Score]]+tblRiskRegister3234[[#This Row],[VCDB Index]],tblHITIndexWeightTable[],4,FALSE),"")</f>
        <v/>
      </c>
      <c r="O126" s="29" t="str">
        <f>VLOOKUP(tblRiskRegister3234[[#This Row],[Asset Class]],tblInherentImpacts30[],2,FALSE)</f>
        <v/>
      </c>
      <c r="P126" s="29">
        <f>VLOOKUP(tblRiskRegister3234[[#This Row],[Asset Class]],tblInherentImpacts30[],3,FALSE)</f>
        <v>0</v>
      </c>
      <c r="Q126" s="29">
        <f>VLOOKUP(tblRiskRegister3234[[#This Row],[Asset Class]],tblInherentImpacts30[],4,FALSE)</f>
        <v>0</v>
      </c>
      <c r="R126" s="29">
        <f>VLOOKUP(tblRiskRegister3234[[#This Row],[Asset Class]],tblInherentImpacts30[],5,FALSE)</f>
        <v>0</v>
      </c>
      <c r="S126" s="29" t="str">
        <f>IFERROR(MAX(tblRiskRegister3234[[#This Row],[Impact to Mission]:[Impact to Obligations]])*tblRiskRegister3234[[#This Row],[Expectancy Score]],"")</f>
        <v/>
      </c>
      <c r="T126" s="29" t="str">
        <f>tblRiskRegister3234[[#This Row],[Risk Score]]</f>
        <v/>
      </c>
      <c r="U126" s="100"/>
      <c r="V126" s="112">
        <v>15.2</v>
      </c>
      <c r="W126" s="44" t="s">
        <v>637</v>
      </c>
      <c r="X126" s="44" t="s">
        <v>742</v>
      </c>
      <c r="Y126" s="30"/>
      <c r="Z126" s="16"/>
      <c r="AA126" s="27" t="str">
        <f>IFERROR(VLOOKUP(10*tblRiskRegister3234[[#This Row],[Risk Treatment Safeguard Maturity Score]]+tblRiskRegister3234[[#This Row],[VCDB Index]],tblHITIndexWeightTable[],4,FALSE),"")</f>
        <v/>
      </c>
      <c r="AB126" s="138" t="str">
        <f>VLOOKUP(tblRiskRegister3234[[#This Row],[Asset Class]],tblInherentImpacts30[],2,FALSE)</f>
        <v/>
      </c>
      <c r="AC126" s="138">
        <f>VLOOKUP(tblRiskRegister3234[[#This Row],[Asset Class]],tblInherentImpacts30[],3,FALSE)</f>
        <v>0</v>
      </c>
      <c r="AD126" s="138">
        <f>VLOOKUP(tblRiskRegister3234[[#This Row],[Asset Class]],tblInherentImpacts30[],4,FALSE)</f>
        <v>0</v>
      </c>
      <c r="AE126" s="138">
        <f>VLOOKUP(tblRiskRegister3234[[#This Row],[Asset Class]],tblInherentImpacts30[],5,FALSE)</f>
        <v>0</v>
      </c>
      <c r="AF126" s="138" t="str">
        <f>IFERROR(MAX(tblRiskRegister3234[[#This Row],[Risk Treatment Safeguard Impact to Mission]:[Risk Treatment Safeguard Impact to Obligations]])*tblRiskRegister3234[[#This Row],[Risk Treatment
Safeguard Expectancy Score]],"")</f>
        <v/>
      </c>
      <c r="AG126" s="138" t="str">
        <f>IF(tblRiskRegister3234[[#This Row],[Risk Score]]&gt;AcceptableRisk,IF(tblRiskRegister3234[[#This Row],[Risk Treatment Safeguard Risk Score]]&lt;AcceptableRisk, IF(tblRiskRegister3234[[#This Row],[Risk Treatment Safeguard Risk Score]]&lt;=tblRiskRegister3234[[#This Row],[Risk Score]],"Yes","No"),"No"),"Yes")</f>
        <v>No</v>
      </c>
      <c r="AH126" s="18"/>
      <c r="AI126" s="18"/>
      <c r="AJ126" s="19"/>
    </row>
    <row r="127" spans="2:36" ht="25.5" x14ac:dyDescent="0.2">
      <c r="B127" s="44" t="s">
        <v>133</v>
      </c>
      <c r="C127" s="44"/>
      <c r="D127" s="13">
        <v>15.3</v>
      </c>
      <c r="E127" s="14" t="s">
        <v>638</v>
      </c>
      <c r="F127" s="17"/>
      <c r="G127" s="17" t="s">
        <v>785</v>
      </c>
      <c r="H127" s="17" t="s">
        <v>929</v>
      </c>
      <c r="I127" s="147"/>
      <c r="J127" s="15"/>
      <c r="K127" s="15"/>
      <c r="L127" s="16"/>
      <c r="M127" s="26">
        <f>IFERROR(VLOOKUP(tblRiskRegister3234[[#This Row],[Asset Class]],tblVCDBIndex[],4,FALSE),"")</f>
        <v>1</v>
      </c>
      <c r="N127" s="29" t="str">
        <f>IFERROR(VLOOKUP(10*tblRiskRegister3234[[#This Row],[Safeguard Maturity Score]]+tblRiskRegister3234[[#This Row],[VCDB Index]],tblHITIndexWeightTable[],4,FALSE),"")</f>
        <v/>
      </c>
      <c r="O127" s="29" t="str">
        <f>VLOOKUP(tblRiskRegister3234[[#This Row],[Asset Class]],tblInherentImpacts30[],2,FALSE)</f>
        <v/>
      </c>
      <c r="P127" s="29">
        <f>VLOOKUP(tblRiskRegister3234[[#This Row],[Asset Class]],tblInherentImpacts30[],3,FALSE)</f>
        <v>0</v>
      </c>
      <c r="Q127" s="29">
        <f>VLOOKUP(tblRiskRegister3234[[#This Row],[Asset Class]],tblInherentImpacts30[],4,FALSE)</f>
        <v>0</v>
      </c>
      <c r="R127" s="29">
        <f>VLOOKUP(tblRiskRegister3234[[#This Row],[Asset Class]],tblInherentImpacts30[],5,FALSE)</f>
        <v>0</v>
      </c>
      <c r="S127" s="29" t="str">
        <f>IFERROR(MAX(tblRiskRegister3234[[#This Row],[Impact to Mission]:[Impact to Obligations]])*tblRiskRegister3234[[#This Row],[Expectancy Score]],"")</f>
        <v/>
      </c>
      <c r="T127" s="29" t="str">
        <f>tblRiskRegister3234[[#This Row],[Risk Score]]</f>
        <v/>
      </c>
      <c r="U127" s="100"/>
      <c r="V127" s="112">
        <v>15.3</v>
      </c>
      <c r="W127" s="44" t="s">
        <v>638</v>
      </c>
      <c r="X127" s="44" t="s">
        <v>743</v>
      </c>
      <c r="Y127" s="30"/>
      <c r="Z127" s="16"/>
      <c r="AA127" s="27" t="str">
        <f>IFERROR(VLOOKUP(10*tblRiskRegister3234[[#This Row],[Risk Treatment Safeguard Maturity Score]]+tblRiskRegister3234[[#This Row],[VCDB Index]],tblHITIndexWeightTable[],4,FALSE),"")</f>
        <v/>
      </c>
      <c r="AB127" s="138" t="str">
        <f>VLOOKUP(tblRiskRegister3234[[#This Row],[Asset Class]],tblInherentImpacts30[],2,FALSE)</f>
        <v/>
      </c>
      <c r="AC127" s="138">
        <f>VLOOKUP(tblRiskRegister3234[[#This Row],[Asset Class]],tblInherentImpacts30[],3,FALSE)</f>
        <v>0</v>
      </c>
      <c r="AD127" s="138">
        <f>VLOOKUP(tblRiskRegister3234[[#This Row],[Asset Class]],tblInherentImpacts30[],4,FALSE)</f>
        <v>0</v>
      </c>
      <c r="AE127" s="138">
        <f>VLOOKUP(tblRiskRegister3234[[#This Row],[Asset Class]],tblInherentImpacts30[],5,FALSE)</f>
        <v>0</v>
      </c>
      <c r="AF127" s="138" t="str">
        <f>IFERROR(MAX(tblRiskRegister3234[[#This Row],[Risk Treatment Safeguard Impact to Mission]:[Risk Treatment Safeguard Impact to Obligations]])*tblRiskRegister3234[[#This Row],[Risk Treatment
Safeguard Expectancy Score]],"")</f>
        <v/>
      </c>
      <c r="AG127" s="138" t="str">
        <f>IF(tblRiskRegister3234[[#This Row],[Risk Score]]&gt;AcceptableRisk,IF(tblRiskRegister3234[[#This Row],[Risk Treatment Safeguard Risk Score]]&lt;AcceptableRisk, IF(tblRiskRegister3234[[#This Row],[Risk Treatment Safeguard Risk Score]]&lt;=tblRiskRegister3234[[#This Row],[Risk Score]],"Yes","No"),"No"),"Yes")</f>
        <v>No</v>
      </c>
      <c r="AH127" s="18"/>
      <c r="AI127" s="18"/>
      <c r="AJ127" s="19"/>
    </row>
    <row r="128" spans="2:36" ht="38.25" x14ac:dyDescent="0.2">
      <c r="B128" s="44" t="s">
        <v>133</v>
      </c>
      <c r="C128" s="44"/>
      <c r="D128" s="13">
        <v>15.7</v>
      </c>
      <c r="E128" s="14" t="s">
        <v>30</v>
      </c>
      <c r="F128" s="17" t="s">
        <v>785</v>
      </c>
      <c r="G128" s="17" t="s">
        <v>785</v>
      </c>
      <c r="H128" s="17" t="s">
        <v>928</v>
      </c>
      <c r="I128" s="147"/>
      <c r="J128" s="15"/>
      <c r="K128" s="15"/>
      <c r="L128" s="16"/>
      <c r="M128" s="26">
        <f>IFERROR(VLOOKUP(tblRiskRegister3234[[#This Row],[Asset Class]],tblVCDBIndex[],4,FALSE),"")</f>
        <v>1</v>
      </c>
      <c r="N128" s="29" t="str">
        <f>IFERROR(VLOOKUP(10*tblRiskRegister3234[[#This Row],[Safeguard Maturity Score]]+tblRiskRegister3234[[#This Row],[VCDB Index]],tblHITIndexWeightTable[],4,FALSE),"")</f>
        <v/>
      </c>
      <c r="O128" s="29" t="str">
        <f>VLOOKUP(tblRiskRegister3234[[#This Row],[Asset Class]],tblInherentImpacts30[],2,FALSE)</f>
        <v/>
      </c>
      <c r="P128" s="29">
        <f>VLOOKUP(tblRiskRegister3234[[#This Row],[Asset Class]],tblInherentImpacts30[],3,FALSE)</f>
        <v>0</v>
      </c>
      <c r="Q128" s="29">
        <f>VLOOKUP(tblRiskRegister3234[[#This Row],[Asset Class]],tblInherentImpacts30[],4,FALSE)</f>
        <v>0</v>
      </c>
      <c r="R128" s="29">
        <f>VLOOKUP(tblRiskRegister3234[[#This Row],[Asset Class]],tblInherentImpacts30[],5,FALSE)</f>
        <v>0</v>
      </c>
      <c r="S128" s="29" t="str">
        <f>IFERROR(MAX(tblRiskRegister3234[[#This Row],[Impact to Mission]:[Impact to Obligations]])*tblRiskRegister3234[[#This Row],[Expectancy Score]],"")</f>
        <v/>
      </c>
      <c r="T128" s="29" t="str">
        <f>tblRiskRegister3234[[#This Row],[Risk Score]]</f>
        <v/>
      </c>
      <c r="U128" s="100"/>
      <c r="V128" s="112">
        <v>15.7</v>
      </c>
      <c r="W128" s="44" t="s">
        <v>30</v>
      </c>
      <c r="X128" s="44" t="s">
        <v>172</v>
      </c>
      <c r="Y128" s="30"/>
      <c r="Z128" s="16"/>
      <c r="AA128" s="27" t="str">
        <f>IFERROR(VLOOKUP(10*tblRiskRegister3234[[#This Row],[Risk Treatment Safeguard Maturity Score]]+tblRiskRegister3234[[#This Row],[VCDB Index]],tblHITIndexWeightTable[],4,FALSE),"")</f>
        <v/>
      </c>
      <c r="AB128" s="138" t="str">
        <f>VLOOKUP(tblRiskRegister3234[[#This Row],[Asset Class]],tblInherentImpacts30[],2,FALSE)</f>
        <v/>
      </c>
      <c r="AC128" s="138">
        <f>VLOOKUP(tblRiskRegister3234[[#This Row],[Asset Class]],tblInherentImpacts30[],3,FALSE)</f>
        <v>0</v>
      </c>
      <c r="AD128" s="138">
        <f>VLOOKUP(tblRiskRegister3234[[#This Row],[Asset Class]],tblInherentImpacts30[],4,FALSE)</f>
        <v>0</v>
      </c>
      <c r="AE128" s="138">
        <f>VLOOKUP(tblRiskRegister3234[[#This Row],[Asset Class]],tblInherentImpacts30[],5,FALSE)</f>
        <v>0</v>
      </c>
      <c r="AF128" s="138" t="str">
        <f>IFERROR(MAX(tblRiskRegister3234[[#This Row],[Risk Treatment Safeguard Impact to Mission]:[Risk Treatment Safeguard Impact to Obligations]])*tblRiskRegister3234[[#This Row],[Risk Treatment
Safeguard Expectancy Score]],"")</f>
        <v/>
      </c>
      <c r="AG128" s="138" t="str">
        <f>IF(tblRiskRegister3234[[#This Row],[Risk Score]]&gt;AcceptableRisk,IF(tblRiskRegister3234[[#This Row],[Risk Treatment Safeguard Risk Score]]&lt;AcceptableRisk, IF(tblRiskRegister3234[[#This Row],[Risk Treatment Safeguard Risk Score]]&lt;=tblRiskRegister3234[[#This Row],[Risk Score]],"Yes","No"),"No"),"Yes")</f>
        <v>No</v>
      </c>
      <c r="AH128" s="18"/>
      <c r="AI128" s="18"/>
      <c r="AJ128" s="19"/>
    </row>
    <row r="129" spans="2:36" ht="38.25" x14ac:dyDescent="0.2">
      <c r="B129" s="44" t="s">
        <v>133</v>
      </c>
      <c r="C129" s="44"/>
      <c r="D129" s="13" t="s">
        <v>545</v>
      </c>
      <c r="E129" s="14" t="s">
        <v>31</v>
      </c>
      <c r="F129" s="17" t="s">
        <v>785</v>
      </c>
      <c r="G129" s="17" t="s">
        <v>785</v>
      </c>
      <c r="H129" s="17" t="s">
        <v>928</v>
      </c>
      <c r="I129" s="147"/>
      <c r="J129" s="15"/>
      <c r="K129" s="15"/>
      <c r="L129" s="16"/>
      <c r="M129" s="26">
        <f>IFERROR(VLOOKUP(tblRiskRegister3234[[#This Row],[Asset Class]],tblVCDBIndex[],4,FALSE),"")</f>
        <v>1</v>
      </c>
      <c r="N129" s="29" t="str">
        <f>IFERROR(VLOOKUP(10*tblRiskRegister3234[[#This Row],[Safeguard Maturity Score]]+tblRiskRegister3234[[#This Row],[VCDB Index]],tblHITIndexWeightTable[],4,FALSE),"")</f>
        <v/>
      </c>
      <c r="O129" s="29" t="str">
        <f>VLOOKUP(tblRiskRegister3234[[#This Row],[Asset Class]],tblInherentImpacts30[],2,FALSE)</f>
        <v/>
      </c>
      <c r="P129" s="29">
        <f>VLOOKUP(tblRiskRegister3234[[#This Row],[Asset Class]],tblInherentImpacts30[],3,FALSE)</f>
        <v>0</v>
      </c>
      <c r="Q129" s="29">
        <f>VLOOKUP(tblRiskRegister3234[[#This Row],[Asset Class]],tblInherentImpacts30[],4,FALSE)</f>
        <v>0</v>
      </c>
      <c r="R129" s="29">
        <f>VLOOKUP(tblRiskRegister3234[[#This Row],[Asset Class]],tblInherentImpacts30[],5,FALSE)</f>
        <v>0</v>
      </c>
      <c r="S129" s="29" t="str">
        <f>IFERROR(MAX(tblRiskRegister3234[[#This Row],[Impact to Mission]:[Impact to Obligations]])*tblRiskRegister3234[[#This Row],[Expectancy Score]],"")</f>
        <v/>
      </c>
      <c r="T129" s="29" t="str">
        <f>tblRiskRegister3234[[#This Row],[Risk Score]]</f>
        <v/>
      </c>
      <c r="U129" s="100"/>
      <c r="V129" s="112" t="s">
        <v>545</v>
      </c>
      <c r="W129" s="44" t="s">
        <v>31</v>
      </c>
      <c r="X129" s="44" t="s">
        <v>746</v>
      </c>
      <c r="Y129" s="30"/>
      <c r="Z129" s="16"/>
      <c r="AA129" s="27" t="str">
        <f>IFERROR(VLOOKUP(10*tblRiskRegister3234[[#This Row],[Risk Treatment Safeguard Maturity Score]]+tblRiskRegister3234[[#This Row],[VCDB Index]],tblHITIndexWeightTable[],4,FALSE),"")</f>
        <v/>
      </c>
      <c r="AB129" s="138" t="str">
        <f>VLOOKUP(tblRiskRegister3234[[#This Row],[Asset Class]],tblInherentImpacts30[],2,FALSE)</f>
        <v/>
      </c>
      <c r="AC129" s="138">
        <f>VLOOKUP(tblRiskRegister3234[[#This Row],[Asset Class]],tblInherentImpacts30[],3,FALSE)</f>
        <v>0</v>
      </c>
      <c r="AD129" s="138">
        <f>VLOOKUP(tblRiskRegister3234[[#This Row],[Asset Class]],tblInherentImpacts30[],4,FALSE)</f>
        <v>0</v>
      </c>
      <c r="AE129" s="138">
        <f>VLOOKUP(tblRiskRegister3234[[#This Row],[Asset Class]],tblInherentImpacts30[],5,FALSE)</f>
        <v>0</v>
      </c>
      <c r="AF129" s="138" t="str">
        <f>IFERROR(MAX(tblRiskRegister3234[[#This Row],[Risk Treatment Safeguard Impact to Mission]:[Risk Treatment Safeguard Impact to Obligations]])*tblRiskRegister3234[[#This Row],[Risk Treatment
Safeguard Expectancy Score]],"")</f>
        <v/>
      </c>
      <c r="AG129" s="138" t="str">
        <f>IF(tblRiskRegister3234[[#This Row],[Risk Score]]&gt;AcceptableRisk,IF(tblRiskRegister3234[[#This Row],[Risk Treatment Safeguard Risk Score]]&lt;AcceptableRisk, IF(tblRiskRegister3234[[#This Row],[Risk Treatment Safeguard Risk Score]]&lt;=tblRiskRegister3234[[#This Row],[Risk Score]],"Yes","No"),"No"),"Yes")</f>
        <v>No</v>
      </c>
      <c r="AH129" s="18"/>
      <c r="AI129" s="18"/>
      <c r="AJ129" s="19"/>
    </row>
    <row r="130" spans="2:36" ht="38.25" x14ac:dyDescent="0.2">
      <c r="B130" s="15" t="s">
        <v>134</v>
      </c>
      <c r="C130" s="15"/>
      <c r="D130" s="13">
        <v>3.3</v>
      </c>
      <c r="E130" s="14" t="s">
        <v>585</v>
      </c>
      <c r="F130" s="17"/>
      <c r="G130" s="17" t="s">
        <v>785</v>
      </c>
      <c r="H130" s="17" t="s">
        <v>928</v>
      </c>
      <c r="I130" s="147"/>
      <c r="J130" s="15"/>
      <c r="K130" s="15"/>
      <c r="L130" s="16"/>
      <c r="M130" s="26">
        <f>IFERROR(VLOOKUP(tblRiskRegister3234[[#This Row],[Asset Class]],tblVCDBIndex[],4,FALSE),"")</f>
        <v>3</v>
      </c>
      <c r="N130" s="26" t="str">
        <f>IFERROR(VLOOKUP(10*tblRiskRegister3234[[#This Row],[Safeguard Maturity Score]]+tblRiskRegister3234[[#This Row],[VCDB Index]],tblHITIndexWeightTable[],4,FALSE),"")</f>
        <v/>
      </c>
      <c r="O130" s="26" t="str">
        <f>VLOOKUP(tblRiskRegister3234[[#This Row],[Asset Class]],tblInherentImpacts30[],2,FALSE)</f>
        <v/>
      </c>
      <c r="P130" s="26">
        <f>VLOOKUP(tblRiskRegister3234[[#This Row],[Asset Class]],tblInherentImpacts30[],3,FALSE)</f>
        <v>0</v>
      </c>
      <c r="Q130" s="26">
        <f>VLOOKUP(tblRiskRegister3234[[#This Row],[Asset Class]],tblInherentImpacts30[],4,FALSE)</f>
        <v>0</v>
      </c>
      <c r="R130" s="26">
        <f>VLOOKUP(tblRiskRegister3234[[#This Row],[Asset Class]],tblInherentImpacts30[],5,FALSE)</f>
        <v>0</v>
      </c>
      <c r="S130" s="26" t="str">
        <f>IFERROR(MAX(tblRiskRegister3234[[#This Row],[Impact to Mission]:[Impact to Obligations]])*tblRiskRegister3234[[#This Row],[Expectancy Score]],"")</f>
        <v/>
      </c>
      <c r="T130" s="26" t="str">
        <f>tblRiskRegister3234[[#This Row],[Risk Score]]</f>
        <v/>
      </c>
      <c r="U130" s="100"/>
      <c r="V130" s="100">
        <v>3.3</v>
      </c>
      <c r="W130" s="15" t="s">
        <v>585</v>
      </c>
      <c r="X130" s="15" t="s">
        <v>681</v>
      </c>
      <c r="Y130" s="15"/>
      <c r="Z130" s="16"/>
      <c r="AA130" s="27" t="str">
        <f>IFERROR(VLOOKUP(10*tblRiskRegister3234[[#This Row],[Risk Treatment Safeguard Maturity Score]]+tblRiskRegister3234[[#This Row],[VCDB Index]],tblHITIndexWeightTable[],4,FALSE),"")</f>
        <v/>
      </c>
      <c r="AB130" s="138" t="str">
        <f>VLOOKUP(tblRiskRegister3234[[#This Row],[Asset Class]],tblInherentImpacts30[],2,FALSE)</f>
        <v/>
      </c>
      <c r="AC130" s="138">
        <f>VLOOKUP(tblRiskRegister3234[[#This Row],[Asset Class]],tblInherentImpacts30[],3,FALSE)</f>
        <v>0</v>
      </c>
      <c r="AD130" s="138">
        <f>VLOOKUP(tblRiskRegister3234[[#This Row],[Asset Class]],tblInherentImpacts30[],4,FALSE)</f>
        <v>0</v>
      </c>
      <c r="AE130" s="138">
        <f>VLOOKUP(tblRiskRegister3234[[#This Row],[Asset Class]],tblInherentImpacts30[],5,FALSE)</f>
        <v>0</v>
      </c>
      <c r="AF130" s="138" t="str">
        <f>IFERROR(MAX(tblRiskRegister3234[[#This Row],[Risk Treatment Safeguard Impact to Mission]:[Risk Treatment Safeguard Impact to Obligations]])*tblRiskRegister3234[[#This Row],[Risk Treatment
Safeguard Expectancy Score]],"")</f>
        <v/>
      </c>
      <c r="AG130" s="138" t="str">
        <f>IF(tblRiskRegister3234[[#This Row],[Risk Score]]&gt;AcceptableRisk,IF(tblRiskRegister3234[[#This Row],[Risk Treatment Safeguard Risk Score]]&lt;AcceptableRisk, IF(tblRiskRegister3234[[#This Row],[Risk Treatment Safeguard Risk Score]]&lt;=tblRiskRegister3234[[#This Row],[Risk Score]],"Yes","No"),"No"),"Yes")</f>
        <v>No</v>
      </c>
      <c r="AH130" s="18"/>
      <c r="AI130" s="18"/>
      <c r="AJ130" s="19"/>
    </row>
    <row r="131" spans="2:36" ht="38.25" x14ac:dyDescent="0.2">
      <c r="B131" s="15" t="s">
        <v>134</v>
      </c>
      <c r="C131" s="15"/>
      <c r="D131" s="13">
        <v>4.0999999999999996</v>
      </c>
      <c r="E131" s="14" t="s">
        <v>588</v>
      </c>
      <c r="F131" s="17"/>
      <c r="G131" s="17" t="s">
        <v>785</v>
      </c>
      <c r="H131" s="17" t="s">
        <v>929</v>
      </c>
      <c r="I131" s="147"/>
      <c r="J131" s="15"/>
      <c r="K131" s="15"/>
      <c r="L131" s="16"/>
      <c r="M131" s="26">
        <f>IFERROR(VLOOKUP(tblRiskRegister3234[[#This Row],[Asset Class]],tblVCDBIndex[],4,FALSE),"")</f>
        <v>3</v>
      </c>
      <c r="N131" s="26" t="str">
        <f>IFERROR(VLOOKUP(10*tblRiskRegister3234[[#This Row],[Safeguard Maturity Score]]+tblRiskRegister3234[[#This Row],[VCDB Index]],tblHITIndexWeightTable[],4,FALSE),"")</f>
        <v/>
      </c>
      <c r="O131" s="26" t="str">
        <f>VLOOKUP(tblRiskRegister3234[[#This Row],[Asset Class]],tblInherentImpacts30[],2,FALSE)</f>
        <v/>
      </c>
      <c r="P131" s="26">
        <f>VLOOKUP(tblRiskRegister3234[[#This Row],[Asset Class]],tblInherentImpacts30[],3,FALSE)</f>
        <v>0</v>
      </c>
      <c r="Q131" s="26">
        <f>VLOOKUP(tblRiskRegister3234[[#This Row],[Asset Class]],tblInherentImpacts30[],4,FALSE)</f>
        <v>0</v>
      </c>
      <c r="R131" s="26">
        <f>VLOOKUP(tblRiskRegister3234[[#This Row],[Asset Class]],tblInherentImpacts30[],5,FALSE)</f>
        <v>0</v>
      </c>
      <c r="S131" s="26" t="str">
        <f>IFERROR(MAX(tblRiskRegister3234[[#This Row],[Impact to Mission]:[Impact to Obligations]])*tblRiskRegister3234[[#This Row],[Expectancy Score]],"")</f>
        <v/>
      </c>
      <c r="T131" s="26" t="str">
        <f>tblRiskRegister3234[[#This Row],[Risk Score]]</f>
        <v/>
      </c>
      <c r="U131" s="100"/>
      <c r="V131" s="100">
        <v>4.0999999999999996</v>
      </c>
      <c r="W131" s="15" t="s">
        <v>588</v>
      </c>
      <c r="X131" s="15" t="s">
        <v>684</v>
      </c>
      <c r="Y131" s="15"/>
      <c r="Z131" s="16"/>
      <c r="AA131" s="27" t="str">
        <f>IFERROR(VLOOKUP(10*tblRiskRegister3234[[#This Row],[Risk Treatment Safeguard Maturity Score]]+tblRiskRegister3234[[#This Row],[VCDB Index]],tblHITIndexWeightTable[],4,FALSE),"")</f>
        <v/>
      </c>
      <c r="AB131" s="138" t="str">
        <f>VLOOKUP(tblRiskRegister3234[[#This Row],[Asset Class]],tblInherentImpacts30[],2,FALSE)</f>
        <v/>
      </c>
      <c r="AC131" s="138">
        <f>VLOOKUP(tblRiskRegister3234[[#This Row],[Asset Class]],tblInherentImpacts30[],3,FALSE)</f>
        <v>0</v>
      </c>
      <c r="AD131" s="138">
        <f>VLOOKUP(tblRiskRegister3234[[#This Row],[Asset Class]],tblInherentImpacts30[],4,FALSE)</f>
        <v>0</v>
      </c>
      <c r="AE131" s="138">
        <f>VLOOKUP(tblRiskRegister3234[[#This Row],[Asset Class]],tblInherentImpacts30[],5,FALSE)</f>
        <v>0</v>
      </c>
      <c r="AF131" s="138" t="str">
        <f>IFERROR(MAX(tblRiskRegister3234[[#This Row],[Risk Treatment Safeguard Impact to Mission]:[Risk Treatment Safeguard Impact to Obligations]])*tblRiskRegister3234[[#This Row],[Risk Treatment
Safeguard Expectancy Score]],"")</f>
        <v/>
      </c>
      <c r="AG131" s="138" t="str">
        <f>IF(tblRiskRegister3234[[#This Row],[Risk Score]]&gt;AcceptableRisk,IF(tblRiskRegister3234[[#This Row],[Risk Treatment Safeguard Risk Score]]&lt;AcceptableRisk, IF(tblRiskRegister3234[[#This Row],[Risk Treatment Safeguard Risk Score]]&lt;=tblRiskRegister3234[[#This Row],[Risk Score]],"Yes","No"),"No"),"Yes")</f>
        <v>No</v>
      </c>
      <c r="AH131" s="18"/>
      <c r="AI131" s="18"/>
      <c r="AJ131" s="19"/>
    </row>
    <row r="132" spans="2:36" ht="25.5" x14ac:dyDescent="0.2">
      <c r="B132" s="15" t="s">
        <v>134</v>
      </c>
      <c r="C132" s="15"/>
      <c r="D132" s="13">
        <v>4.2</v>
      </c>
      <c r="E132" s="14" t="s">
        <v>20</v>
      </c>
      <c r="F132" s="17" t="s">
        <v>785</v>
      </c>
      <c r="G132" s="17" t="s">
        <v>785</v>
      </c>
      <c r="H132" s="17" t="s">
        <v>928</v>
      </c>
      <c r="I132" s="147"/>
      <c r="J132" s="15"/>
      <c r="K132" s="15"/>
      <c r="L132" s="16"/>
      <c r="M132" s="26">
        <f>IFERROR(VLOOKUP(tblRiskRegister3234[[#This Row],[Asset Class]],tblVCDBIndex[],4,FALSE),"")</f>
        <v>3</v>
      </c>
      <c r="N132" s="26" t="str">
        <f>IFERROR(VLOOKUP(10*tblRiskRegister3234[[#This Row],[Safeguard Maturity Score]]+tblRiskRegister3234[[#This Row],[VCDB Index]],tblHITIndexWeightTable[],4,FALSE),"")</f>
        <v/>
      </c>
      <c r="O132" s="26" t="str">
        <f>VLOOKUP(tblRiskRegister3234[[#This Row],[Asset Class]],tblInherentImpacts30[],2,FALSE)</f>
        <v/>
      </c>
      <c r="P132" s="26">
        <f>VLOOKUP(tblRiskRegister3234[[#This Row],[Asset Class]],tblInherentImpacts30[],3,FALSE)</f>
        <v>0</v>
      </c>
      <c r="Q132" s="26">
        <f>VLOOKUP(tblRiskRegister3234[[#This Row],[Asset Class]],tblInherentImpacts30[],4,FALSE)</f>
        <v>0</v>
      </c>
      <c r="R132" s="26">
        <f>VLOOKUP(tblRiskRegister3234[[#This Row],[Asset Class]],tblInherentImpacts30[],5,FALSE)</f>
        <v>0</v>
      </c>
      <c r="S132" s="26" t="str">
        <f>IFERROR(MAX(tblRiskRegister3234[[#This Row],[Impact to Mission]:[Impact to Obligations]])*tblRiskRegister3234[[#This Row],[Expectancy Score]],"")</f>
        <v/>
      </c>
      <c r="T132" s="26" t="str">
        <f>tblRiskRegister3234[[#This Row],[Risk Score]]</f>
        <v/>
      </c>
      <c r="U132" s="100"/>
      <c r="V132" s="100">
        <v>4.2</v>
      </c>
      <c r="W132" s="15" t="s">
        <v>20</v>
      </c>
      <c r="X132" s="15" t="s">
        <v>159</v>
      </c>
      <c r="Y132" s="15"/>
      <c r="Z132" s="16"/>
      <c r="AA132" s="27" t="str">
        <f>IFERROR(VLOOKUP(10*tblRiskRegister3234[[#This Row],[Risk Treatment Safeguard Maturity Score]]+tblRiskRegister3234[[#This Row],[VCDB Index]],tblHITIndexWeightTable[],4,FALSE),"")</f>
        <v/>
      </c>
      <c r="AB132" s="138" t="str">
        <f>VLOOKUP(tblRiskRegister3234[[#This Row],[Asset Class]],tblInherentImpacts30[],2,FALSE)</f>
        <v/>
      </c>
      <c r="AC132" s="138">
        <f>VLOOKUP(tblRiskRegister3234[[#This Row],[Asset Class]],tblInherentImpacts30[],3,FALSE)</f>
        <v>0</v>
      </c>
      <c r="AD132" s="138">
        <f>VLOOKUP(tblRiskRegister3234[[#This Row],[Asset Class]],tblInherentImpacts30[],4,FALSE)</f>
        <v>0</v>
      </c>
      <c r="AE132" s="138">
        <f>VLOOKUP(tblRiskRegister3234[[#This Row],[Asset Class]],tblInherentImpacts30[],5,FALSE)</f>
        <v>0</v>
      </c>
      <c r="AF132" s="138" t="str">
        <f>IFERROR(MAX(tblRiskRegister3234[[#This Row],[Risk Treatment Safeguard Impact to Mission]:[Risk Treatment Safeguard Impact to Obligations]])*tblRiskRegister3234[[#This Row],[Risk Treatment
Safeguard Expectancy Score]],"")</f>
        <v/>
      </c>
      <c r="AG132" s="138" t="str">
        <f>IF(tblRiskRegister3234[[#This Row],[Risk Score]]&gt;AcceptableRisk,IF(tblRiskRegister3234[[#This Row],[Risk Treatment Safeguard Risk Score]]&lt;AcceptableRisk, IF(tblRiskRegister3234[[#This Row],[Risk Treatment Safeguard Risk Score]]&lt;=tblRiskRegister3234[[#This Row],[Risk Score]],"Yes","No"),"No"),"Yes")</f>
        <v>No</v>
      </c>
      <c r="AH132" s="18"/>
      <c r="AI132" s="18"/>
      <c r="AJ132" s="19"/>
    </row>
    <row r="133" spans="2:36" ht="38.25" x14ac:dyDescent="0.2">
      <c r="B133" s="15" t="s">
        <v>134</v>
      </c>
      <c r="C133" s="15"/>
      <c r="D133" s="13">
        <v>4.3</v>
      </c>
      <c r="E133" s="14" t="s">
        <v>21</v>
      </c>
      <c r="F133" s="17" t="s">
        <v>785</v>
      </c>
      <c r="G133" s="17" t="s">
        <v>785</v>
      </c>
      <c r="H133" s="17" t="s">
        <v>928</v>
      </c>
      <c r="I133" s="147"/>
      <c r="J133" s="15"/>
      <c r="K133" s="15"/>
      <c r="L133" s="16"/>
      <c r="M133" s="26">
        <f>IFERROR(VLOOKUP(tblRiskRegister3234[[#This Row],[Asset Class]],tblVCDBIndex[],4,FALSE),"")</f>
        <v>3</v>
      </c>
      <c r="N133" s="26" t="str">
        <f>IFERROR(VLOOKUP(10*tblRiskRegister3234[[#This Row],[Safeguard Maturity Score]]+tblRiskRegister3234[[#This Row],[VCDB Index]],tblHITIndexWeightTable[],4,FALSE),"")</f>
        <v/>
      </c>
      <c r="O133" s="26" t="str">
        <f>VLOOKUP(tblRiskRegister3234[[#This Row],[Asset Class]],tblInherentImpacts30[],2,FALSE)</f>
        <v/>
      </c>
      <c r="P133" s="26">
        <f>VLOOKUP(tblRiskRegister3234[[#This Row],[Asset Class]],tblInherentImpacts30[],3,FALSE)</f>
        <v>0</v>
      </c>
      <c r="Q133" s="26">
        <f>VLOOKUP(tblRiskRegister3234[[#This Row],[Asset Class]],tblInherentImpacts30[],4,FALSE)</f>
        <v>0</v>
      </c>
      <c r="R133" s="26">
        <f>VLOOKUP(tblRiskRegister3234[[#This Row],[Asset Class]],tblInherentImpacts30[],5,FALSE)</f>
        <v>0</v>
      </c>
      <c r="S133" s="26" t="str">
        <f>IFERROR(MAX(tblRiskRegister3234[[#This Row],[Impact to Mission]:[Impact to Obligations]])*tblRiskRegister3234[[#This Row],[Expectancy Score]],"")</f>
        <v/>
      </c>
      <c r="T133" s="26" t="str">
        <f>tblRiskRegister3234[[#This Row],[Risk Score]]</f>
        <v/>
      </c>
      <c r="U133" s="100"/>
      <c r="V133" s="100">
        <v>4.3</v>
      </c>
      <c r="W133" s="15" t="s">
        <v>21</v>
      </c>
      <c r="X133" s="15" t="s">
        <v>160</v>
      </c>
      <c r="Y133" s="15"/>
      <c r="Z133" s="16"/>
      <c r="AA133" s="27" t="str">
        <f>IFERROR(VLOOKUP(10*tblRiskRegister3234[[#This Row],[Risk Treatment Safeguard Maturity Score]]+tblRiskRegister3234[[#This Row],[VCDB Index]],tblHITIndexWeightTable[],4,FALSE),"")</f>
        <v/>
      </c>
      <c r="AB133" s="138" t="str">
        <f>VLOOKUP(tblRiskRegister3234[[#This Row],[Asset Class]],tblInherentImpacts30[],2,FALSE)</f>
        <v/>
      </c>
      <c r="AC133" s="138">
        <f>VLOOKUP(tblRiskRegister3234[[#This Row],[Asset Class]],tblInherentImpacts30[],3,FALSE)</f>
        <v>0</v>
      </c>
      <c r="AD133" s="138">
        <f>VLOOKUP(tblRiskRegister3234[[#This Row],[Asset Class]],tblInherentImpacts30[],4,FALSE)</f>
        <v>0</v>
      </c>
      <c r="AE133" s="138">
        <f>VLOOKUP(tblRiskRegister3234[[#This Row],[Asset Class]],tblInherentImpacts30[],5,FALSE)</f>
        <v>0</v>
      </c>
      <c r="AF133" s="138" t="str">
        <f>IFERROR(MAX(tblRiskRegister3234[[#This Row],[Risk Treatment Safeguard Impact to Mission]:[Risk Treatment Safeguard Impact to Obligations]])*tblRiskRegister3234[[#This Row],[Risk Treatment
Safeguard Expectancy Score]],"")</f>
        <v/>
      </c>
      <c r="AG133" s="138" t="str">
        <f>IF(tblRiskRegister3234[[#This Row],[Risk Score]]&gt;AcceptableRisk,IF(tblRiskRegister3234[[#This Row],[Risk Treatment Safeguard Risk Score]]&lt;AcceptableRisk, IF(tblRiskRegister3234[[#This Row],[Risk Treatment Safeguard Risk Score]]&lt;=tblRiskRegister3234[[#This Row],[Risk Score]],"Yes","No"),"No"),"Yes")</f>
        <v>No</v>
      </c>
      <c r="AH133" s="18"/>
      <c r="AI133" s="18"/>
      <c r="AJ133" s="19"/>
    </row>
    <row r="134" spans="2:36" ht="38.25" x14ac:dyDescent="0.2">
      <c r="B134" s="44" t="s">
        <v>134</v>
      </c>
      <c r="C134" s="44"/>
      <c r="D134" s="13">
        <v>4.4000000000000004</v>
      </c>
      <c r="E134" s="14" t="s">
        <v>22</v>
      </c>
      <c r="F134" s="17"/>
      <c r="G134" s="17" t="s">
        <v>785</v>
      </c>
      <c r="H134" s="17" t="s">
        <v>928</v>
      </c>
      <c r="I134" s="147"/>
      <c r="J134" s="15"/>
      <c r="K134" s="15"/>
      <c r="L134" s="16"/>
      <c r="M134" s="26">
        <f>IFERROR(VLOOKUP(tblRiskRegister3234[[#This Row],[Asset Class]],tblVCDBIndex[],4,FALSE),"")</f>
        <v>3</v>
      </c>
      <c r="N134" s="29" t="str">
        <f>IFERROR(VLOOKUP(10*tblRiskRegister3234[[#This Row],[Safeguard Maturity Score]]+tblRiskRegister3234[[#This Row],[VCDB Index]],tblHITIndexWeightTable[],4,FALSE),"")</f>
        <v/>
      </c>
      <c r="O134" s="29" t="str">
        <f>VLOOKUP(tblRiskRegister3234[[#This Row],[Asset Class]],tblInherentImpacts30[],2,FALSE)</f>
        <v/>
      </c>
      <c r="P134" s="29">
        <f>VLOOKUP(tblRiskRegister3234[[#This Row],[Asset Class]],tblInherentImpacts30[],3,FALSE)</f>
        <v>0</v>
      </c>
      <c r="Q134" s="29">
        <f>VLOOKUP(tblRiskRegister3234[[#This Row],[Asset Class]],tblInherentImpacts30[],4,FALSE)</f>
        <v>0</v>
      </c>
      <c r="R134" s="29">
        <f>VLOOKUP(tblRiskRegister3234[[#This Row],[Asset Class]],tblInherentImpacts30[],5,FALSE)</f>
        <v>0</v>
      </c>
      <c r="S134" s="29" t="str">
        <f>IFERROR(MAX(tblRiskRegister3234[[#This Row],[Impact to Mission]:[Impact to Obligations]])*tblRiskRegister3234[[#This Row],[Expectancy Score]],"")</f>
        <v/>
      </c>
      <c r="T134" s="29" t="str">
        <f>tblRiskRegister3234[[#This Row],[Risk Score]]</f>
        <v/>
      </c>
      <c r="U134" s="100"/>
      <c r="V134" s="112">
        <v>4.4000000000000004</v>
      </c>
      <c r="W134" s="44" t="s">
        <v>22</v>
      </c>
      <c r="X134" s="44" t="s">
        <v>685</v>
      </c>
      <c r="Y134" s="30"/>
      <c r="Z134" s="16"/>
      <c r="AA134" s="27" t="str">
        <f>IFERROR(VLOOKUP(10*tblRiskRegister3234[[#This Row],[Risk Treatment Safeguard Maturity Score]]+tblRiskRegister3234[[#This Row],[VCDB Index]],tblHITIndexWeightTable[],4,FALSE),"")</f>
        <v/>
      </c>
      <c r="AB134" s="138" t="str">
        <f>VLOOKUP(tblRiskRegister3234[[#This Row],[Asset Class]],tblInherentImpacts30[],2,FALSE)</f>
        <v/>
      </c>
      <c r="AC134" s="138">
        <f>VLOOKUP(tblRiskRegister3234[[#This Row],[Asset Class]],tblInherentImpacts30[],3,FALSE)</f>
        <v>0</v>
      </c>
      <c r="AD134" s="138">
        <f>VLOOKUP(tblRiskRegister3234[[#This Row],[Asset Class]],tblInherentImpacts30[],4,FALSE)</f>
        <v>0</v>
      </c>
      <c r="AE134" s="138">
        <f>VLOOKUP(tblRiskRegister3234[[#This Row],[Asset Class]],tblInherentImpacts30[],5,FALSE)</f>
        <v>0</v>
      </c>
      <c r="AF134" s="138" t="str">
        <f>IFERROR(MAX(tblRiskRegister3234[[#This Row],[Risk Treatment Safeguard Impact to Mission]:[Risk Treatment Safeguard Impact to Obligations]])*tblRiskRegister3234[[#This Row],[Risk Treatment
Safeguard Expectancy Score]],"")</f>
        <v/>
      </c>
      <c r="AG134" s="138" t="str">
        <f>IF(tblRiskRegister3234[[#This Row],[Risk Score]]&gt;AcceptableRisk,IF(tblRiskRegister3234[[#This Row],[Risk Treatment Safeguard Risk Score]]&lt;AcceptableRisk, IF(tblRiskRegister3234[[#This Row],[Risk Treatment Safeguard Risk Score]]&lt;=tblRiskRegister3234[[#This Row],[Risk Score]],"Yes","No"),"No"),"Yes")</f>
        <v>No</v>
      </c>
      <c r="AH134" s="18"/>
      <c r="AI134" s="18"/>
      <c r="AJ134" s="19"/>
    </row>
    <row r="135" spans="2:36" ht="25.5" x14ac:dyDescent="0.2">
      <c r="B135" s="15" t="s">
        <v>134</v>
      </c>
      <c r="C135" s="15"/>
      <c r="D135" s="13">
        <v>4.5</v>
      </c>
      <c r="E135" s="14" t="s">
        <v>589</v>
      </c>
      <c r="F135" s="17"/>
      <c r="G135" s="17" t="s">
        <v>785</v>
      </c>
      <c r="H135" s="17" t="s">
        <v>928</v>
      </c>
      <c r="I135" s="147"/>
      <c r="J135" s="15"/>
      <c r="K135" s="15"/>
      <c r="L135" s="16"/>
      <c r="M135" s="26">
        <f>IFERROR(VLOOKUP(tblRiskRegister3234[[#This Row],[Asset Class]],tblVCDBIndex[],4,FALSE),"")</f>
        <v>3</v>
      </c>
      <c r="N135" s="26" t="str">
        <f>IFERROR(VLOOKUP(10*tblRiskRegister3234[[#This Row],[Safeguard Maturity Score]]+tblRiskRegister3234[[#This Row],[VCDB Index]],tblHITIndexWeightTable[],4,FALSE),"")</f>
        <v/>
      </c>
      <c r="O135" s="26" t="str">
        <f>VLOOKUP(tblRiskRegister3234[[#This Row],[Asset Class]],tblInherentImpacts30[],2,FALSE)</f>
        <v/>
      </c>
      <c r="P135" s="26">
        <f>VLOOKUP(tblRiskRegister3234[[#This Row],[Asset Class]],tblInherentImpacts30[],3,FALSE)</f>
        <v>0</v>
      </c>
      <c r="Q135" s="26">
        <f>VLOOKUP(tblRiskRegister3234[[#This Row],[Asset Class]],tblInherentImpacts30[],4,FALSE)</f>
        <v>0</v>
      </c>
      <c r="R135" s="26">
        <f>VLOOKUP(tblRiskRegister3234[[#This Row],[Asset Class]],tblInherentImpacts30[],5,FALSE)</f>
        <v>0</v>
      </c>
      <c r="S135" s="26" t="str">
        <f>IFERROR(MAX(tblRiskRegister3234[[#This Row],[Impact to Mission]:[Impact to Obligations]])*tblRiskRegister3234[[#This Row],[Expectancy Score]],"")</f>
        <v/>
      </c>
      <c r="T135" s="26" t="str">
        <f>tblRiskRegister3234[[#This Row],[Risk Score]]</f>
        <v/>
      </c>
      <c r="U135" s="100"/>
      <c r="V135" s="100">
        <v>4.5</v>
      </c>
      <c r="W135" s="15" t="s">
        <v>589</v>
      </c>
      <c r="X135" s="15" t="s">
        <v>686</v>
      </c>
      <c r="Y135" s="15"/>
      <c r="Z135" s="16"/>
      <c r="AA135" s="27" t="str">
        <f>IFERROR(VLOOKUP(10*tblRiskRegister3234[[#This Row],[Risk Treatment Safeguard Maturity Score]]+tblRiskRegister3234[[#This Row],[VCDB Index]],tblHITIndexWeightTable[],4,FALSE),"")</f>
        <v/>
      </c>
      <c r="AB135" s="138" t="str">
        <f>VLOOKUP(tblRiskRegister3234[[#This Row],[Asset Class]],tblInherentImpacts30[],2,FALSE)</f>
        <v/>
      </c>
      <c r="AC135" s="138">
        <f>VLOOKUP(tblRiskRegister3234[[#This Row],[Asset Class]],tblInherentImpacts30[],3,FALSE)</f>
        <v>0</v>
      </c>
      <c r="AD135" s="138">
        <f>VLOOKUP(tblRiskRegister3234[[#This Row],[Asset Class]],tblInherentImpacts30[],4,FALSE)</f>
        <v>0</v>
      </c>
      <c r="AE135" s="138">
        <f>VLOOKUP(tblRiskRegister3234[[#This Row],[Asset Class]],tblInherentImpacts30[],5,FALSE)</f>
        <v>0</v>
      </c>
      <c r="AF135" s="138" t="str">
        <f>IFERROR(MAX(tblRiskRegister3234[[#This Row],[Risk Treatment Safeguard Impact to Mission]:[Risk Treatment Safeguard Impact to Obligations]])*tblRiskRegister3234[[#This Row],[Risk Treatment
Safeguard Expectancy Score]],"")</f>
        <v/>
      </c>
      <c r="AG135" s="138" t="str">
        <f>IF(tblRiskRegister3234[[#This Row],[Risk Score]]&gt;AcceptableRisk,IF(tblRiskRegister3234[[#This Row],[Risk Treatment Safeguard Risk Score]]&lt;AcceptableRisk, IF(tblRiskRegister3234[[#This Row],[Risk Treatment Safeguard Risk Score]]&lt;=tblRiskRegister3234[[#This Row],[Risk Score]],"Yes","No"),"No"),"Yes")</f>
        <v>No</v>
      </c>
      <c r="AH135" s="18"/>
      <c r="AI135" s="18"/>
      <c r="AJ135" s="19"/>
    </row>
    <row r="136" spans="2:36" ht="63.75" x14ac:dyDescent="0.2">
      <c r="B136" s="44" t="s">
        <v>134</v>
      </c>
      <c r="C136" s="44"/>
      <c r="D136" s="13">
        <v>4.5999999999999996</v>
      </c>
      <c r="E136" s="14" t="s">
        <v>590</v>
      </c>
      <c r="F136" s="17"/>
      <c r="G136" s="17" t="s">
        <v>785</v>
      </c>
      <c r="H136" s="17" t="s">
        <v>928</v>
      </c>
      <c r="I136" s="147"/>
      <c r="J136" s="15"/>
      <c r="K136" s="15"/>
      <c r="L136" s="16"/>
      <c r="M136" s="26">
        <f>IFERROR(VLOOKUP(tblRiskRegister3234[[#This Row],[Asset Class]],tblVCDBIndex[],4,FALSE),"")</f>
        <v>3</v>
      </c>
      <c r="N136" s="29" t="str">
        <f>IFERROR(VLOOKUP(10*tblRiskRegister3234[[#This Row],[Safeguard Maturity Score]]+tblRiskRegister3234[[#This Row],[VCDB Index]],tblHITIndexWeightTable[],4,FALSE),"")</f>
        <v/>
      </c>
      <c r="O136" s="29" t="str">
        <f>VLOOKUP(tblRiskRegister3234[[#This Row],[Asset Class]],tblInherentImpacts30[],2,FALSE)</f>
        <v/>
      </c>
      <c r="P136" s="29">
        <f>VLOOKUP(tblRiskRegister3234[[#This Row],[Asset Class]],tblInherentImpacts30[],3,FALSE)</f>
        <v>0</v>
      </c>
      <c r="Q136" s="29">
        <f>VLOOKUP(tblRiskRegister3234[[#This Row],[Asset Class]],tblInherentImpacts30[],4,FALSE)</f>
        <v>0</v>
      </c>
      <c r="R136" s="29">
        <f>VLOOKUP(tblRiskRegister3234[[#This Row],[Asset Class]],tblInherentImpacts30[],5,FALSE)</f>
        <v>0</v>
      </c>
      <c r="S136" s="29" t="str">
        <f>IFERROR(MAX(tblRiskRegister3234[[#This Row],[Impact to Mission]:[Impact to Obligations]])*tblRiskRegister3234[[#This Row],[Expectancy Score]],"")</f>
        <v/>
      </c>
      <c r="T136" s="29" t="str">
        <f>tblRiskRegister3234[[#This Row],[Risk Score]]</f>
        <v/>
      </c>
      <c r="U136" s="100"/>
      <c r="V136" s="112">
        <v>4.5999999999999996</v>
      </c>
      <c r="W136" s="44" t="s">
        <v>590</v>
      </c>
      <c r="X136" s="44" t="s">
        <v>687</v>
      </c>
      <c r="Y136" s="30"/>
      <c r="Z136" s="16"/>
      <c r="AA136" s="27" t="str">
        <f>IFERROR(VLOOKUP(10*tblRiskRegister3234[[#This Row],[Risk Treatment Safeguard Maturity Score]]+tblRiskRegister3234[[#This Row],[VCDB Index]],tblHITIndexWeightTable[],4,FALSE),"")</f>
        <v/>
      </c>
      <c r="AB136" s="138" t="str">
        <f>VLOOKUP(tblRiskRegister3234[[#This Row],[Asset Class]],tblInherentImpacts30[],2,FALSE)</f>
        <v/>
      </c>
      <c r="AC136" s="138">
        <f>VLOOKUP(tblRiskRegister3234[[#This Row],[Asset Class]],tblInherentImpacts30[],3,FALSE)</f>
        <v>0</v>
      </c>
      <c r="AD136" s="138">
        <f>VLOOKUP(tblRiskRegister3234[[#This Row],[Asset Class]],tblInherentImpacts30[],4,FALSE)</f>
        <v>0</v>
      </c>
      <c r="AE136" s="138">
        <f>VLOOKUP(tblRiskRegister3234[[#This Row],[Asset Class]],tblInherentImpacts30[],5,FALSE)</f>
        <v>0</v>
      </c>
      <c r="AF136" s="138" t="str">
        <f>IFERROR(MAX(tblRiskRegister3234[[#This Row],[Risk Treatment Safeguard Impact to Mission]:[Risk Treatment Safeguard Impact to Obligations]])*tblRiskRegister3234[[#This Row],[Risk Treatment
Safeguard Expectancy Score]],"")</f>
        <v/>
      </c>
      <c r="AG136" s="138" t="str">
        <f>IF(tblRiskRegister3234[[#This Row],[Risk Score]]&gt;AcceptableRisk,IF(tblRiskRegister3234[[#This Row],[Risk Treatment Safeguard Risk Score]]&lt;AcceptableRisk, IF(tblRiskRegister3234[[#This Row],[Risk Treatment Safeguard Risk Score]]&lt;=tblRiskRegister3234[[#This Row],[Risk Score]],"Yes","No"),"No"),"Yes")</f>
        <v>No</v>
      </c>
      <c r="AH136" s="18"/>
      <c r="AI136" s="18"/>
      <c r="AJ136" s="19"/>
    </row>
    <row r="137" spans="2:36" ht="38.25" x14ac:dyDescent="0.2">
      <c r="B137" s="44" t="s">
        <v>134</v>
      </c>
      <c r="C137" s="44"/>
      <c r="D137" s="13">
        <v>4.7</v>
      </c>
      <c r="E137" s="14" t="s">
        <v>591</v>
      </c>
      <c r="F137" s="17"/>
      <c r="G137" s="17" t="s">
        <v>785</v>
      </c>
      <c r="H137" s="17" t="s">
        <v>928</v>
      </c>
      <c r="I137" s="147"/>
      <c r="J137" s="15"/>
      <c r="K137" s="15"/>
      <c r="L137" s="16"/>
      <c r="M137" s="26">
        <f>IFERROR(VLOOKUP(tblRiskRegister3234[[#This Row],[Asset Class]],tblVCDBIndex[],4,FALSE),"")</f>
        <v>3</v>
      </c>
      <c r="N137" s="29" t="str">
        <f>IFERROR(VLOOKUP(10*tblRiskRegister3234[[#This Row],[Safeguard Maturity Score]]+tblRiskRegister3234[[#This Row],[VCDB Index]],tblHITIndexWeightTable[],4,FALSE),"")</f>
        <v/>
      </c>
      <c r="O137" s="29" t="str">
        <f>VLOOKUP(tblRiskRegister3234[[#This Row],[Asset Class]],tblInherentImpacts30[],2,FALSE)</f>
        <v/>
      </c>
      <c r="P137" s="29">
        <f>VLOOKUP(tblRiskRegister3234[[#This Row],[Asset Class]],tblInherentImpacts30[],3,FALSE)</f>
        <v>0</v>
      </c>
      <c r="Q137" s="29">
        <f>VLOOKUP(tblRiskRegister3234[[#This Row],[Asset Class]],tblInherentImpacts30[],4,FALSE)</f>
        <v>0</v>
      </c>
      <c r="R137" s="29">
        <f>VLOOKUP(tblRiskRegister3234[[#This Row],[Asset Class]],tblInherentImpacts30[],5,FALSE)</f>
        <v>0</v>
      </c>
      <c r="S137" s="29" t="str">
        <f>IFERROR(MAX(tblRiskRegister3234[[#This Row],[Impact to Mission]:[Impact to Obligations]])*tblRiskRegister3234[[#This Row],[Expectancy Score]],"")</f>
        <v/>
      </c>
      <c r="T137" s="29" t="str">
        <f>tblRiskRegister3234[[#This Row],[Risk Score]]</f>
        <v/>
      </c>
      <c r="U137" s="100"/>
      <c r="V137" s="112">
        <v>4.7</v>
      </c>
      <c r="W137" s="44" t="s">
        <v>591</v>
      </c>
      <c r="X137" s="44" t="s">
        <v>688</v>
      </c>
      <c r="Y137" s="30"/>
      <c r="Z137" s="16"/>
      <c r="AA137" s="27" t="str">
        <f>IFERROR(VLOOKUP(10*tblRiskRegister3234[[#This Row],[Risk Treatment Safeguard Maturity Score]]+tblRiskRegister3234[[#This Row],[VCDB Index]],tblHITIndexWeightTable[],4,FALSE),"")</f>
        <v/>
      </c>
      <c r="AB137" s="138" t="str">
        <f>VLOOKUP(tblRiskRegister3234[[#This Row],[Asset Class]],tblInherentImpacts30[],2,FALSE)</f>
        <v/>
      </c>
      <c r="AC137" s="138">
        <f>VLOOKUP(tblRiskRegister3234[[#This Row],[Asset Class]],tblInherentImpacts30[],3,FALSE)</f>
        <v>0</v>
      </c>
      <c r="AD137" s="138">
        <f>VLOOKUP(tblRiskRegister3234[[#This Row],[Asset Class]],tblInherentImpacts30[],4,FALSE)</f>
        <v>0</v>
      </c>
      <c r="AE137" s="138">
        <f>VLOOKUP(tblRiskRegister3234[[#This Row],[Asset Class]],tblInherentImpacts30[],5,FALSE)</f>
        <v>0</v>
      </c>
      <c r="AF137" s="138" t="str">
        <f>IFERROR(MAX(tblRiskRegister3234[[#This Row],[Risk Treatment Safeguard Impact to Mission]:[Risk Treatment Safeguard Impact to Obligations]])*tblRiskRegister3234[[#This Row],[Risk Treatment
Safeguard Expectancy Score]],"")</f>
        <v/>
      </c>
      <c r="AG137" s="138" t="str">
        <f>IF(tblRiskRegister3234[[#This Row],[Risk Score]]&gt;AcceptableRisk,IF(tblRiskRegister3234[[#This Row],[Risk Treatment Safeguard Risk Score]]&lt;AcceptableRisk, IF(tblRiskRegister3234[[#This Row],[Risk Treatment Safeguard Risk Score]]&lt;=tblRiskRegister3234[[#This Row],[Risk Score]],"Yes","No"),"No"),"Yes")</f>
        <v>No</v>
      </c>
      <c r="AH137" s="18"/>
      <c r="AI137" s="18"/>
      <c r="AJ137" s="19"/>
    </row>
    <row r="138" spans="2:36" ht="25.5" x14ac:dyDescent="0.2">
      <c r="B138" s="44" t="s">
        <v>134</v>
      </c>
      <c r="C138" s="44"/>
      <c r="D138" s="13">
        <v>4.8</v>
      </c>
      <c r="E138" s="14" t="s">
        <v>592</v>
      </c>
      <c r="F138" s="17"/>
      <c r="G138" s="17" t="s">
        <v>785</v>
      </c>
      <c r="H138" s="17" t="s">
        <v>929</v>
      </c>
      <c r="I138" s="147"/>
      <c r="J138" s="15"/>
      <c r="K138" s="15"/>
      <c r="L138" s="16"/>
      <c r="M138" s="26">
        <f>IFERROR(VLOOKUP(tblRiskRegister3234[[#This Row],[Asset Class]],tblVCDBIndex[],4,FALSE),"")</f>
        <v>3</v>
      </c>
      <c r="N138" s="29" t="str">
        <f>IFERROR(VLOOKUP(10*tblRiskRegister3234[[#This Row],[Safeguard Maturity Score]]+tblRiskRegister3234[[#This Row],[VCDB Index]],tblHITIndexWeightTable[],4,FALSE),"")</f>
        <v/>
      </c>
      <c r="O138" s="29" t="str">
        <f>VLOOKUP(tblRiskRegister3234[[#This Row],[Asset Class]],tblInherentImpacts30[],2,FALSE)</f>
        <v/>
      </c>
      <c r="P138" s="29">
        <f>VLOOKUP(tblRiskRegister3234[[#This Row],[Asset Class]],tblInherentImpacts30[],3,FALSE)</f>
        <v>0</v>
      </c>
      <c r="Q138" s="29">
        <f>VLOOKUP(tblRiskRegister3234[[#This Row],[Asset Class]],tblInherentImpacts30[],4,FALSE)</f>
        <v>0</v>
      </c>
      <c r="R138" s="29">
        <f>VLOOKUP(tblRiskRegister3234[[#This Row],[Asset Class]],tblInherentImpacts30[],5,FALSE)</f>
        <v>0</v>
      </c>
      <c r="S138" s="29" t="str">
        <f>IFERROR(MAX(tblRiskRegister3234[[#This Row],[Impact to Mission]:[Impact to Obligations]])*tblRiskRegister3234[[#This Row],[Expectancy Score]],"")</f>
        <v/>
      </c>
      <c r="T138" s="29" t="str">
        <f>tblRiskRegister3234[[#This Row],[Risk Score]]</f>
        <v/>
      </c>
      <c r="U138" s="100"/>
      <c r="V138" s="112">
        <v>4.8</v>
      </c>
      <c r="W138" s="44" t="s">
        <v>592</v>
      </c>
      <c r="X138" s="44" t="s">
        <v>689</v>
      </c>
      <c r="Y138" s="30"/>
      <c r="Z138" s="16"/>
      <c r="AA138" s="27" t="str">
        <f>IFERROR(VLOOKUP(10*tblRiskRegister3234[[#This Row],[Risk Treatment Safeguard Maturity Score]]+tblRiskRegister3234[[#This Row],[VCDB Index]],tblHITIndexWeightTable[],4,FALSE),"")</f>
        <v/>
      </c>
      <c r="AB138" s="138" t="str">
        <f>VLOOKUP(tblRiskRegister3234[[#This Row],[Asset Class]],tblInherentImpacts30[],2,FALSE)</f>
        <v/>
      </c>
      <c r="AC138" s="138">
        <f>VLOOKUP(tblRiskRegister3234[[#This Row],[Asset Class]],tblInherentImpacts30[],3,FALSE)</f>
        <v>0</v>
      </c>
      <c r="AD138" s="138">
        <f>VLOOKUP(tblRiskRegister3234[[#This Row],[Asset Class]],tblInherentImpacts30[],4,FALSE)</f>
        <v>0</v>
      </c>
      <c r="AE138" s="138">
        <f>VLOOKUP(tblRiskRegister3234[[#This Row],[Asset Class]],tblInherentImpacts30[],5,FALSE)</f>
        <v>0</v>
      </c>
      <c r="AF138" s="138" t="str">
        <f>IFERROR(MAX(tblRiskRegister3234[[#This Row],[Risk Treatment Safeguard Impact to Mission]:[Risk Treatment Safeguard Impact to Obligations]])*tblRiskRegister3234[[#This Row],[Risk Treatment
Safeguard Expectancy Score]],"")</f>
        <v/>
      </c>
      <c r="AG138" s="138" t="str">
        <f>IF(tblRiskRegister3234[[#This Row],[Risk Score]]&gt;AcceptableRisk,IF(tblRiskRegister3234[[#This Row],[Risk Treatment Safeguard Risk Score]]&lt;AcceptableRisk, IF(tblRiskRegister3234[[#This Row],[Risk Treatment Safeguard Risk Score]]&lt;=tblRiskRegister3234[[#This Row],[Risk Score]],"Yes","No"),"No"),"Yes")</f>
        <v>No</v>
      </c>
      <c r="AH138" s="18"/>
      <c r="AI138" s="18"/>
      <c r="AJ138" s="19"/>
    </row>
    <row r="139" spans="2:36" ht="25.5" x14ac:dyDescent="0.2">
      <c r="B139" s="44" t="s">
        <v>134</v>
      </c>
      <c r="C139" s="44"/>
      <c r="D139" s="13">
        <v>4.9000000000000004</v>
      </c>
      <c r="E139" s="14" t="s">
        <v>593</v>
      </c>
      <c r="F139" s="17"/>
      <c r="G139" s="17" t="s">
        <v>785</v>
      </c>
      <c r="H139" s="17" t="s">
        <v>929</v>
      </c>
      <c r="I139" s="147"/>
      <c r="J139" s="15"/>
      <c r="K139" s="15"/>
      <c r="L139" s="16"/>
      <c r="M139" s="26">
        <f>IFERROR(VLOOKUP(tblRiskRegister3234[[#This Row],[Asset Class]],tblVCDBIndex[],4,FALSE),"")</f>
        <v>3</v>
      </c>
      <c r="N139" s="29" t="str">
        <f>IFERROR(VLOOKUP(10*tblRiskRegister3234[[#This Row],[Safeguard Maturity Score]]+tblRiskRegister3234[[#This Row],[VCDB Index]],tblHITIndexWeightTable[],4,FALSE),"")</f>
        <v/>
      </c>
      <c r="O139" s="29" t="str">
        <f>VLOOKUP(tblRiskRegister3234[[#This Row],[Asset Class]],tblInherentImpacts30[],2,FALSE)</f>
        <v/>
      </c>
      <c r="P139" s="29">
        <f>VLOOKUP(tblRiskRegister3234[[#This Row],[Asset Class]],tblInherentImpacts30[],3,FALSE)</f>
        <v>0</v>
      </c>
      <c r="Q139" s="29">
        <f>VLOOKUP(tblRiskRegister3234[[#This Row],[Asset Class]],tblInherentImpacts30[],4,FALSE)</f>
        <v>0</v>
      </c>
      <c r="R139" s="29">
        <f>VLOOKUP(tblRiskRegister3234[[#This Row],[Asset Class]],tblInherentImpacts30[],5,FALSE)</f>
        <v>0</v>
      </c>
      <c r="S139" s="29" t="str">
        <f>IFERROR(MAX(tblRiskRegister3234[[#This Row],[Impact to Mission]:[Impact to Obligations]])*tblRiskRegister3234[[#This Row],[Expectancy Score]],"")</f>
        <v/>
      </c>
      <c r="T139" s="29" t="str">
        <f>tblRiskRegister3234[[#This Row],[Risk Score]]</f>
        <v/>
      </c>
      <c r="U139" s="100"/>
      <c r="V139" s="112">
        <v>4.9000000000000004</v>
      </c>
      <c r="W139" s="44" t="s">
        <v>593</v>
      </c>
      <c r="X139" s="44" t="s">
        <v>690</v>
      </c>
      <c r="Y139" s="30"/>
      <c r="Z139" s="16"/>
      <c r="AA139" s="27" t="str">
        <f>IFERROR(VLOOKUP(10*tblRiskRegister3234[[#This Row],[Risk Treatment Safeguard Maturity Score]]+tblRiskRegister3234[[#This Row],[VCDB Index]],tblHITIndexWeightTable[],4,FALSE),"")</f>
        <v/>
      </c>
      <c r="AB139" s="138" t="str">
        <f>VLOOKUP(tblRiskRegister3234[[#This Row],[Asset Class]],tblInherentImpacts30[],2,FALSE)</f>
        <v/>
      </c>
      <c r="AC139" s="138">
        <f>VLOOKUP(tblRiskRegister3234[[#This Row],[Asset Class]],tblInherentImpacts30[],3,FALSE)</f>
        <v>0</v>
      </c>
      <c r="AD139" s="138">
        <f>VLOOKUP(tblRiskRegister3234[[#This Row],[Asset Class]],tblInherentImpacts30[],4,FALSE)</f>
        <v>0</v>
      </c>
      <c r="AE139" s="138">
        <f>VLOOKUP(tblRiskRegister3234[[#This Row],[Asset Class]],tblInherentImpacts30[],5,FALSE)</f>
        <v>0</v>
      </c>
      <c r="AF139" s="138" t="str">
        <f>IFERROR(MAX(tblRiskRegister3234[[#This Row],[Risk Treatment Safeguard Impact to Mission]:[Risk Treatment Safeguard Impact to Obligations]])*tblRiskRegister3234[[#This Row],[Risk Treatment
Safeguard Expectancy Score]],"")</f>
        <v/>
      </c>
      <c r="AG139" s="138" t="str">
        <f>IF(tblRiskRegister3234[[#This Row],[Risk Score]]&gt;AcceptableRisk,IF(tblRiskRegister3234[[#This Row],[Risk Treatment Safeguard Risk Score]]&lt;AcceptableRisk, IF(tblRiskRegister3234[[#This Row],[Risk Treatment Safeguard Risk Score]]&lt;=tblRiskRegister3234[[#This Row],[Risk Score]],"Yes","No"),"No"),"Yes")</f>
        <v>No</v>
      </c>
      <c r="AH139" s="18"/>
      <c r="AI139" s="18"/>
      <c r="AJ139" s="19"/>
    </row>
    <row r="140" spans="2:36" ht="25.5" x14ac:dyDescent="0.2">
      <c r="B140" s="15" t="s">
        <v>134</v>
      </c>
      <c r="C140" s="15"/>
      <c r="D140" s="13">
        <v>12.11</v>
      </c>
      <c r="E140" s="14" t="s">
        <v>629</v>
      </c>
      <c r="F140" s="17"/>
      <c r="G140" s="17" t="s">
        <v>785</v>
      </c>
      <c r="H140" s="17" t="s">
        <v>929</v>
      </c>
      <c r="I140" s="147"/>
      <c r="J140" s="15"/>
      <c r="K140" s="15"/>
      <c r="L140" s="16"/>
      <c r="M140" s="26">
        <f>IFERROR(VLOOKUP(tblRiskRegister3234[[#This Row],[Asset Class]],tblVCDBIndex[],4,FALSE),"")</f>
        <v>3</v>
      </c>
      <c r="N140" s="26" t="str">
        <f>IFERROR(VLOOKUP(10*tblRiskRegister3234[[#This Row],[Safeguard Maturity Score]]+tblRiskRegister3234[[#This Row],[VCDB Index]],tblHITIndexWeightTable[],4,FALSE),"")</f>
        <v/>
      </c>
      <c r="O140" s="26" t="str">
        <f>VLOOKUP(tblRiskRegister3234[[#This Row],[Asset Class]],tblInherentImpacts30[],2,FALSE)</f>
        <v/>
      </c>
      <c r="P140" s="26">
        <f>VLOOKUP(tblRiskRegister3234[[#This Row],[Asset Class]],tblInherentImpacts30[],3,FALSE)</f>
        <v>0</v>
      </c>
      <c r="Q140" s="26">
        <f>VLOOKUP(tblRiskRegister3234[[#This Row],[Asset Class]],tblInherentImpacts30[],4,FALSE)</f>
        <v>0</v>
      </c>
      <c r="R140" s="26">
        <f>VLOOKUP(tblRiskRegister3234[[#This Row],[Asset Class]],tblInherentImpacts30[],5,FALSE)</f>
        <v>0</v>
      </c>
      <c r="S140" s="26" t="str">
        <f>IFERROR(MAX(tblRiskRegister3234[[#This Row],[Impact to Mission]:[Impact to Obligations]])*tblRiskRegister3234[[#This Row],[Expectancy Score]],"")</f>
        <v/>
      </c>
      <c r="T140" s="26" t="str">
        <f>tblRiskRegister3234[[#This Row],[Risk Score]]</f>
        <v/>
      </c>
      <c r="U140" s="100"/>
      <c r="V140" s="100">
        <v>12.11</v>
      </c>
      <c r="W140" s="15" t="s">
        <v>629</v>
      </c>
      <c r="X140" s="15" t="s">
        <v>732</v>
      </c>
      <c r="Y140" s="15"/>
      <c r="Z140" s="16"/>
      <c r="AA140" s="27" t="str">
        <f>IFERROR(VLOOKUP(10*tblRiskRegister3234[[#This Row],[Risk Treatment Safeguard Maturity Score]]+tblRiskRegister3234[[#This Row],[VCDB Index]],tblHITIndexWeightTable[],4,FALSE),"")</f>
        <v/>
      </c>
      <c r="AB140" s="138" t="str">
        <f>VLOOKUP(tblRiskRegister3234[[#This Row],[Asset Class]],tblInherentImpacts30[],2,FALSE)</f>
        <v/>
      </c>
      <c r="AC140" s="138">
        <f>VLOOKUP(tblRiskRegister3234[[#This Row],[Asset Class]],tblInherentImpacts30[],3,FALSE)</f>
        <v>0</v>
      </c>
      <c r="AD140" s="138">
        <f>VLOOKUP(tblRiskRegister3234[[#This Row],[Asset Class]],tblInherentImpacts30[],4,FALSE)</f>
        <v>0</v>
      </c>
      <c r="AE140" s="138">
        <f>VLOOKUP(tblRiskRegister3234[[#This Row],[Asset Class]],tblInherentImpacts30[],5,FALSE)</f>
        <v>0</v>
      </c>
      <c r="AF140" s="138" t="str">
        <f>IFERROR(MAX(tblRiskRegister3234[[#This Row],[Risk Treatment Safeguard Impact to Mission]:[Risk Treatment Safeguard Impact to Obligations]])*tblRiskRegister3234[[#This Row],[Risk Treatment
Safeguard Expectancy Score]],"")</f>
        <v/>
      </c>
      <c r="AG140" s="138" t="str">
        <f>IF(tblRiskRegister3234[[#This Row],[Risk Score]]&gt;AcceptableRisk,IF(tblRiskRegister3234[[#This Row],[Risk Treatment Safeguard Risk Score]]&lt;AcceptableRisk, IF(tblRiskRegister3234[[#This Row],[Risk Treatment Safeguard Risk Score]]&lt;=tblRiskRegister3234[[#This Row],[Risk Score]],"Yes","No"),"No"),"Yes")</f>
        <v>No</v>
      </c>
      <c r="AH140" s="18"/>
      <c r="AI140" s="18"/>
      <c r="AJ140" s="19"/>
    </row>
    <row r="141" spans="2:36" ht="25.5" x14ac:dyDescent="0.2">
      <c r="B141" s="44" t="s">
        <v>134</v>
      </c>
      <c r="C141" s="44"/>
      <c r="D141" s="13">
        <v>16.100000000000001</v>
      </c>
      <c r="E141" s="14" t="s">
        <v>641</v>
      </c>
      <c r="F141" s="17"/>
      <c r="G141" s="17" t="s">
        <v>785</v>
      </c>
      <c r="H141" s="17" t="s">
        <v>926</v>
      </c>
      <c r="I141" s="147"/>
      <c r="J141" s="15"/>
      <c r="K141" s="15"/>
      <c r="L141" s="16"/>
      <c r="M141" s="26">
        <f>IFERROR(VLOOKUP(tblRiskRegister3234[[#This Row],[Asset Class]],tblVCDBIndex[],4,FALSE),"")</f>
        <v>3</v>
      </c>
      <c r="N141" s="29" t="str">
        <f>IFERROR(VLOOKUP(10*tblRiskRegister3234[[#This Row],[Safeguard Maturity Score]]+tblRiskRegister3234[[#This Row],[VCDB Index]],tblHITIndexWeightTable[],4,FALSE),"")</f>
        <v/>
      </c>
      <c r="O141" s="29" t="str">
        <f>VLOOKUP(tblRiskRegister3234[[#This Row],[Asset Class]],tblInherentImpacts30[],2,FALSE)</f>
        <v/>
      </c>
      <c r="P141" s="29">
        <f>VLOOKUP(tblRiskRegister3234[[#This Row],[Asset Class]],tblInherentImpacts30[],3,FALSE)</f>
        <v>0</v>
      </c>
      <c r="Q141" s="29">
        <f>VLOOKUP(tblRiskRegister3234[[#This Row],[Asset Class]],tblInherentImpacts30[],4,FALSE)</f>
        <v>0</v>
      </c>
      <c r="R141" s="29">
        <f>VLOOKUP(tblRiskRegister3234[[#This Row],[Asset Class]],tblInherentImpacts30[],5,FALSE)</f>
        <v>0</v>
      </c>
      <c r="S141" s="29" t="str">
        <f>IFERROR(MAX(tblRiskRegister3234[[#This Row],[Impact to Mission]:[Impact to Obligations]])*tblRiskRegister3234[[#This Row],[Expectancy Score]],"")</f>
        <v/>
      </c>
      <c r="T141" s="29" t="str">
        <f>tblRiskRegister3234[[#This Row],[Risk Score]]</f>
        <v/>
      </c>
      <c r="U141" s="100"/>
      <c r="V141" s="112">
        <v>16.100000000000001</v>
      </c>
      <c r="W141" s="44" t="s">
        <v>641</v>
      </c>
      <c r="X141" s="44" t="s">
        <v>747</v>
      </c>
      <c r="Y141" s="30"/>
      <c r="Z141" s="16"/>
      <c r="AA141" s="27" t="str">
        <f>IFERROR(VLOOKUP(10*tblRiskRegister3234[[#This Row],[Risk Treatment Safeguard Maturity Score]]+tblRiskRegister3234[[#This Row],[VCDB Index]],tblHITIndexWeightTable[],4,FALSE),"")</f>
        <v/>
      </c>
      <c r="AB141" s="138" t="str">
        <f>VLOOKUP(tblRiskRegister3234[[#This Row],[Asset Class]],tblInherentImpacts30[],2,FALSE)</f>
        <v/>
      </c>
      <c r="AC141" s="138">
        <f>VLOOKUP(tblRiskRegister3234[[#This Row],[Asset Class]],tblInherentImpacts30[],3,FALSE)</f>
        <v>0</v>
      </c>
      <c r="AD141" s="138">
        <f>VLOOKUP(tblRiskRegister3234[[#This Row],[Asset Class]],tblInherentImpacts30[],4,FALSE)</f>
        <v>0</v>
      </c>
      <c r="AE141" s="138">
        <f>VLOOKUP(tblRiskRegister3234[[#This Row],[Asset Class]],tblInherentImpacts30[],5,FALSE)</f>
        <v>0</v>
      </c>
      <c r="AF141" s="138" t="str">
        <f>IFERROR(MAX(tblRiskRegister3234[[#This Row],[Risk Treatment Safeguard Impact to Mission]:[Risk Treatment Safeguard Impact to Obligations]])*tblRiskRegister3234[[#This Row],[Risk Treatment
Safeguard Expectancy Score]],"")</f>
        <v/>
      </c>
      <c r="AG141" s="138" t="str">
        <f>IF(tblRiskRegister3234[[#This Row],[Risk Score]]&gt;AcceptableRisk,IF(tblRiskRegister3234[[#This Row],[Risk Treatment Safeguard Risk Score]]&lt;AcceptableRisk, IF(tblRiskRegister3234[[#This Row],[Risk Treatment Safeguard Risk Score]]&lt;=tblRiskRegister3234[[#This Row],[Risk Score]],"Yes","No"),"No"),"Yes")</f>
        <v>No</v>
      </c>
      <c r="AH141" s="18"/>
      <c r="AI141" s="18"/>
      <c r="AJ141" s="19"/>
    </row>
    <row r="142" spans="2:36" ht="25.5" x14ac:dyDescent="0.2">
      <c r="B142" s="44" t="s">
        <v>134</v>
      </c>
      <c r="C142" s="44"/>
      <c r="D142" s="13">
        <v>16.2</v>
      </c>
      <c r="E142" s="14" t="s">
        <v>642</v>
      </c>
      <c r="F142" s="17"/>
      <c r="G142" s="17" t="s">
        <v>785</v>
      </c>
      <c r="H142" s="17" t="s">
        <v>928</v>
      </c>
      <c r="I142" s="147"/>
      <c r="J142" s="15"/>
      <c r="K142" s="15"/>
      <c r="L142" s="16"/>
      <c r="M142" s="26">
        <f>IFERROR(VLOOKUP(tblRiskRegister3234[[#This Row],[Asset Class]],tblVCDBIndex[],4,FALSE),"")</f>
        <v>3</v>
      </c>
      <c r="N142" s="29" t="str">
        <f>IFERROR(VLOOKUP(10*tblRiskRegister3234[[#This Row],[Safeguard Maturity Score]]+tblRiskRegister3234[[#This Row],[VCDB Index]],tblHITIndexWeightTable[],4,FALSE),"")</f>
        <v/>
      </c>
      <c r="O142" s="29" t="str">
        <f>VLOOKUP(tblRiskRegister3234[[#This Row],[Asset Class]],tblInherentImpacts30[],2,FALSE)</f>
        <v/>
      </c>
      <c r="P142" s="29">
        <f>VLOOKUP(tblRiskRegister3234[[#This Row],[Asset Class]],tblInherentImpacts30[],3,FALSE)</f>
        <v>0</v>
      </c>
      <c r="Q142" s="29">
        <f>VLOOKUP(tblRiskRegister3234[[#This Row],[Asset Class]],tblInherentImpacts30[],4,FALSE)</f>
        <v>0</v>
      </c>
      <c r="R142" s="29">
        <f>VLOOKUP(tblRiskRegister3234[[#This Row],[Asset Class]],tblInherentImpacts30[],5,FALSE)</f>
        <v>0</v>
      </c>
      <c r="S142" s="29" t="str">
        <f>IFERROR(MAX(tblRiskRegister3234[[#This Row],[Impact to Mission]:[Impact to Obligations]])*tblRiskRegister3234[[#This Row],[Expectancy Score]],"")</f>
        <v/>
      </c>
      <c r="T142" s="29" t="str">
        <f>tblRiskRegister3234[[#This Row],[Risk Score]]</f>
        <v/>
      </c>
      <c r="U142" s="100"/>
      <c r="V142" s="112">
        <v>16.2</v>
      </c>
      <c r="W142" s="44" t="s">
        <v>642</v>
      </c>
      <c r="X142" s="44" t="s">
        <v>748</v>
      </c>
      <c r="Y142" s="30"/>
      <c r="Z142" s="16"/>
      <c r="AA142" s="27" t="str">
        <f>IFERROR(VLOOKUP(10*tblRiskRegister3234[[#This Row],[Risk Treatment Safeguard Maturity Score]]+tblRiskRegister3234[[#This Row],[VCDB Index]],tblHITIndexWeightTable[],4,FALSE),"")</f>
        <v/>
      </c>
      <c r="AB142" s="138" t="str">
        <f>VLOOKUP(tblRiskRegister3234[[#This Row],[Asset Class]],tblInherentImpacts30[],2,FALSE)</f>
        <v/>
      </c>
      <c r="AC142" s="138">
        <f>VLOOKUP(tblRiskRegister3234[[#This Row],[Asset Class]],tblInherentImpacts30[],3,FALSE)</f>
        <v>0</v>
      </c>
      <c r="AD142" s="138">
        <f>VLOOKUP(tblRiskRegister3234[[#This Row],[Asset Class]],tblInherentImpacts30[],4,FALSE)</f>
        <v>0</v>
      </c>
      <c r="AE142" s="138">
        <f>VLOOKUP(tblRiskRegister3234[[#This Row],[Asset Class]],tblInherentImpacts30[],5,FALSE)</f>
        <v>0</v>
      </c>
      <c r="AF142" s="138" t="str">
        <f>IFERROR(MAX(tblRiskRegister3234[[#This Row],[Risk Treatment Safeguard Impact to Mission]:[Risk Treatment Safeguard Impact to Obligations]])*tblRiskRegister3234[[#This Row],[Risk Treatment
Safeguard Expectancy Score]],"")</f>
        <v/>
      </c>
      <c r="AG142" s="138" t="str">
        <f>IF(tblRiskRegister3234[[#This Row],[Risk Score]]&gt;AcceptableRisk,IF(tblRiskRegister3234[[#This Row],[Risk Treatment Safeguard Risk Score]]&lt;AcceptableRisk, IF(tblRiskRegister3234[[#This Row],[Risk Treatment Safeguard Risk Score]]&lt;=tblRiskRegister3234[[#This Row],[Risk Score]],"Yes","No"),"No"),"Yes")</f>
        <v>No</v>
      </c>
      <c r="AH142" s="18"/>
      <c r="AI142" s="18"/>
      <c r="AJ142" s="19"/>
    </row>
    <row r="143" spans="2:36" ht="25.5" x14ac:dyDescent="0.2">
      <c r="B143" s="44" t="s">
        <v>134</v>
      </c>
      <c r="C143" s="44"/>
      <c r="D143" s="13">
        <v>16.3</v>
      </c>
      <c r="E143" s="14" t="s">
        <v>643</v>
      </c>
      <c r="F143" s="17"/>
      <c r="G143" s="17" t="s">
        <v>785</v>
      </c>
      <c r="H143" s="17" t="s">
        <v>928</v>
      </c>
      <c r="I143" s="147"/>
      <c r="J143" s="15"/>
      <c r="K143" s="15"/>
      <c r="L143" s="16"/>
      <c r="M143" s="26">
        <f>IFERROR(VLOOKUP(tblRiskRegister3234[[#This Row],[Asset Class]],tblVCDBIndex[],4,FALSE),"")</f>
        <v>3</v>
      </c>
      <c r="N143" s="29" t="str">
        <f>IFERROR(VLOOKUP(10*tblRiskRegister3234[[#This Row],[Safeguard Maturity Score]]+tblRiskRegister3234[[#This Row],[VCDB Index]],tblHITIndexWeightTable[],4,FALSE),"")</f>
        <v/>
      </c>
      <c r="O143" s="29" t="str">
        <f>VLOOKUP(tblRiskRegister3234[[#This Row],[Asset Class]],tblInherentImpacts30[],2,FALSE)</f>
        <v/>
      </c>
      <c r="P143" s="29">
        <f>VLOOKUP(tblRiskRegister3234[[#This Row],[Asset Class]],tblInherentImpacts30[],3,FALSE)</f>
        <v>0</v>
      </c>
      <c r="Q143" s="29">
        <f>VLOOKUP(tblRiskRegister3234[[#This Row],[Asset Class]],tblInherentImpacts30[],4,FALSE)</f>
        <v>0</v>
      </c>
      <c r="R143" s="29">
        <f>VLOOKUP(tblRiskRegister3234[[#This Row],[Asset Class]],tblInherentImpacts30[],5,FALSE)</f>
        <v>0</v>
      </c>
      <c r="S143" s="29" t="str">
        <f>IFERROR(MAX(tblRiskRegister3234[[#This Row],[Impact to Mission]:[Impact to Obligations]])*tblRiskRegister3234[[#This Row],[Expectancy Score]],"")</f>
        <v/>
      </c>
      <c r="T143" s="29" t="str">
        <f>tblRiskRegister3234[[#This Row],[Risk Score]]</f>
        <v/>
      </c>
      <c r="U143" s="100"/>
      <c r="V143" s="112">
        <v>16.3</v>
      </c>
      <c r="W143" s="44" t="s">
        <v>643</v>
      </c>
      <c r="X143" s="44" t="s">
        <v>749</v>
      </c>
      <c r="Y143" s="30"/>
      <c r="Z143" s="16"/>
      <c r="AA143" s="27" t="str">
        <f>IFERROR(VLOOKUP(10*tblRiskRegister3234[[#This Row],[Risk Treatment Safeguard Maturity Score]]+tblRiskRegister3234[[#This Row],[VCDB Index]],tblHITIndexWeightTable[],4,FALSE),"")</f>
        <v/>
      </c>
      <c r="AB143" s="138" t="str">
        <f>VLOOKUP(tblRiskRegister3234[[#This Row],[Asset Class]],tblInherentImpacts30[],2,FALSE)</f>
        <v/>
      </c>
      <c r="AC143" s="138">
        <f>VLOOKUP(tblRiskRegister3234[[#This Row],[Asset Class]],tblInherentImpacts30[],3,FALSE)</f>
        <v>0</v>
      </c>
      <c r="AD143" s="138">
        <f>VLOOKUP(tblRiskRegister3234[[#This Row],[Asset Class]],tblInherentImpacts30[],4,FALSE)</f>
        <v>0</v>
      </c>
      <c r="AE143" s="138">
        <f>VLOOKUP(tblRiskRegister3234[[#This Row],[Asset Class]],tblInherentImpacts30[],5,FALSE)</f>
        <v>0</v>
      </c>
      <c r="AF143" s="138" t="str">
        <f>IFERROR(MAX(tblRiskRegister3234[[#This Row],[Risk Treatment Safeguard Impact to Mission]:[Risk Treatment Safeguard Impact to Obligations]])*tblRiskRegister3234[[#This Row],[Risk Treatment
Safeguard Expectancy Score]],"")</f>
        <v/>
      </c>
      <c r="AG143" s="138" t="str">
        <f>IF(tblRiskRegister3234[[#This Row],[Risk Score]]&gt;AcceptableRisk,IF(tblRiskRegister3234[[#This Row],[Risk Treatment Safeguard Risk Score]]&lt;AcceptableRisk, IF(tblRiskRegister3234[[#This Row],[Risk Treatment Safeguard Risk Score]]&lt;=tblRiskRegister3234[[#This Row],[Risk Score]],"Yes","No"),"No"),"Yes")</f>
        <v>No</v>
      </c>
      <c r="AH143" s="18"/>
      <c r="AI143" s="18"/>
      <c r="AJ143" s="19"/>
    </row>
    <row r="144" spans="2:36" ht="25.5" x14ac:dyDescent="0.2">
      <c r="B144" s="44" t="s">
        <v>134</v>
      </c>
      <c r="C144" s="44"/>
      <c r="D144" s="13">
        <v>16.399999999999999</v>
      </c>
      <c r="E144" s="14" t="s">
        <v>644</v>
      </c>
      <c r="F144" s="17"/>
      <c r="G144" s="17" t="s">
        <v>785</v>
      </c>
      <c r="H144" s="17" t="s">
        <v>928</v>
      </c>
      <c r="I144" s="147"/>
      <c r="J144" s="15"/>
      <c r="K144" s="15"/>
      <c r="L144" s="16"/>
      <c r="M144" s="26">
        <f>IFERROR(VLOOKUP(tblRiskRegister3234[[#This Row],[Asset Class]],tblVCDBIndex[],4,FALSE),"")</f>
        <v>3</v>
      </c>
      <c r="N144" s="29" t="str">
        <f>IFERROR(VLOOKUP(10*tblRiskRegister3234[[#This Row],[Safeguard Maturity Score]]+tblRiskRegister3234[[#This Row],[VCDB Index]],tblHITIndexWeightTable[],4,FALSE),"")</f>
        <v/>
      </c>
      <c r="O144" s="29" t="str">
        <f>VLOOKUP(tblRiskRegister3234[[#This Row],[Asset Class]],tblInherentImpacts30[],2,FALSE)</f>
        <v/>
      </c>
      <c r="P144" s="29">
        <f>VLOOKUP(tblRiskRegister3234[[#This Row],[Asset Class]],tblInherentImpacts30[],3,FALSE)</f>
        <v>0</v>
      </c>
      <c r="Q144" s="29">
        <f>VLOOKUP(tblRiskRegister3234[[#This Row],[Asset Class]],tblInherentImpacts30[],4,FALSE)</f>
        <v>0</v>
      </c>
      <c r="R144" s="29">
        <f>VLOOKUP(tblRiskRegister3234[[#This Row],[Asset Class]],tblInherentImpacts30[],5,FALSE)</f>
        <v>0</v>
      </c>
      <c r="S144" s="29" t="str">
        <f>IFERROR(MAX(tblRiskRegister3234[[#This Row],[Impact to Mission]:[Impact to Obligations]])*tblRiskRegister3234[[#This Row],[Expectancy Score]],"")</f>
        <v/>
      </c>
      <c r="T144" s="29" t="str">
        <f>tblRiskRegister3234[[#This Row],[Risk Score]]</f>
        <v/>
      </c>
      <c r="U144" s="100"/>
      <c r="V144" s="112">
        <v>16.399999999999999</v>
      </c>
      <c r="W144" s="44" t="s">
        <v>644</v>
      </c>
      <c r="X144" s="44" t="s">
        <v>750</v>
      </c>
      <c r="Y144" s="30"/>
      <c r="Z144" s="16"/>
      <c r="AA144" s="27" t="str">
        <f>IFERROR(VLOOKUP(10*tblRiskRegister3234[[#This Row],[Risk Treatment Safeguard Maturity Score]]+tblRiskRegister3234[[#This Row],[VCDB Index]],tblHITIndexWeightTable[],4,FALSE),"")</f>
        <v/>
      </c>
      <c r="AB144" s="138" t="str">
        <f>VLOOKUP(tblRiskRegister3234[[#This Row],[Asset Class]],tblInherentImpacts30[],2,FALSE)</f>
        <v/>
      </c>
      <c r="AC144" s="138">
        <f>VLOOKUP(tblRiskRegister3234[[#This Row],[Asset Class]],tblInherentImpacts30[],3,FALSE)</f>
        <v>0</v>
      </c>
      <c r="AD144" s="138">
        <f>VLOOKUP(tblRiskRegister3234[[#This Row],[Asset Class]],tblInherentImpacts30[],4,FALSE)</f>
        <v>0</v>
      </c>
      <c r="AE144" s="138">
        <f>VLOOKUP(tblRiskRegister3234[[#This Row],[Asset Class]],tblInherentImpacts30[],5,FALSE)</f>
        <v>0</v>
      </c>
      <c r="AF144" s="138" t="str">
        <f>IFERROR(MAX(tblRiskRegister3234[[#This Row],[Risk Treatment Safeguard Impact to Mission]:[Risk Treatment Safeguard Impact to Obligations]])*tblRiskRegister3234[[#This Row],[Risk Treatment
Safeguard Expectancy Score]],"")</f>
        <v/>
      </c>
      <c r="AG144" s="138" t="str">
        <f>IF(tblRiskRegister3234[[#This Row],[Risk Score]]&gt;AcceptableRisk,IF(tblRiskRegister3234[[#This Row],[Risk Treatment Safeguard Risk Score]]&lt;AcceptableRisk, IF(tblRiskRegister3234[[#This Row],[Risk Treatment Safeguard Risk Score]]&lt;=tblRiskRegister3234[[#This Row],[Risk Score]],"Yes","No"),"No"),"Yes")</f>
        <v>No</v>
      </c>
      <c r="AH144" s="18"/>
      <c r="AI144" s="18"/>
      <c r="AJ144" s="19"/>
    </row>
    <row r="145" spans="2:36" ht="25.5" x14ac:dyDescent="0.2">
      <c r="B145" s="44" t="s">
        <v>134</v>
      </c>
      <c r="C145" s="44"/>
      <c r="D145" s="13">
        <v>16.5</v>
      </c>
      <c r="E145" s="14" t="s">
        <v>645</v>
      </c>
      <c r="F145" s="17"/>
      <c r="G145" s="17" t="s">
        <v>785</v>
      </c>
      <c r="H145" s="17" t="s">
        <v>928</v>
      </c>
      <c r="I145" s="147"/>
      <c r="J145" s="15"/>
      <c r="K145" s="15"/>
      <c r="L145" s="16"/>
      <c r="M145" s="26">
        <f>IFERROR(VLOOKUP(tblRiskRegister3234[[#This Row],[Asset Class]],tblVCDBIndex[],4,FALSE),"")</f>
        <v>3</v>
      </c>
      <c r="N145" s="29" t="str">
        <f>IFERROR(VLOOKUP(10*tblRiskRegister3234[[#This Row],[Safeguard Maturity Score]]+tblRiskRegister3234[[#This Row],[VCDB Index]],tblHITIndexWeightTable[],4,FALSE),"")</f>
        <v/>
      </c>
      <c r="O145" s="29" t="str">
        <f>VLOOKUP(tblRiskRegister3234[[#This Row],[Asset Class]],tblInherentImpacts30[],2,FALSE)</f>
        <v/>
      </c>
      <c r="P145" s="29">
        <f>VLOOKUP(tblRiskRegister3234[[#This Row],[Asset Class]],tblInherentImpacts30[],3,FALSE)</f>
        <v>0</v>
      </c>
      <c r="Q145" s="29">
        <f>VLOOKUP(tblRiskRegister3234[[#This Row],[Asset Class]],tblInherentImpacts30[],4,FALSE)</f>
        <v>0</v>
      </c>
      <c r="R145" s="29">
        <f>VLOOKUP(tblRiskRegister3234[[#This Row],[Asset Class]],tblInherentImpacts30[],5,FALSE)</f>
        <v>0</v>
      </c>
      <c r="S145" s="29" t="str">
        <f>IFERROR(MAX(tblRiskRegister3234[[#This Row],[Impact to Mission]:[Impact to Obligations]])*tblRiskRegister3234[[#This Row],[Expectancy Score]],"")</f>
        <v/>
      </c>
      <c r="T145" s="29" t="str">
        <f>tblRiskRegister3234[[#This Row],[Risk Score]]</f>
        <v/>
      </c>
      <c r="U145" s="100"/>
      <c r="V145" s="112">
        <v>16.5</v>
      </c>
      <c r="W145" s="44" t="s">
        <v>645</v>
      </c>
      <c r="X145" s="44" t="s">
        <v>751</v>
      </c>
      <c r="Y145" s="30"/>
      <c r="Z145" s="16"/>
      <c r="AA145" s="27" t="str">
        <f>IFERROR(VLOOKUP(10*tblRiskRegister3234[[#This Row],[Risk Treatment Safeguard Maturity Score]]+tblRiskRegister3234[[#This Row],[VCDB Index]],tblHITIndexWeightTable[],4,FALSE),"")</f>
        <v/>
      </c>
      <c r="AB145" s="138" t="str">
        <f>VLOOKUP(tblRiskRegister3234[[#This Row],[Asset Class]],tblInherentImpacts30[],2,FALSE)</f>
        <v/>
      </c>
      <c r="AC145" s="138">
        <f>VLOOKUP(tblRiskRegister3234[[#This Row],[Asset Class]],tblInherentImpacts30[],3,FALSE)</f>
        <v>0</v>
      </c>
      <c r="AD145" s="138">
        <f>VLOOKUP(tblRiskRegister3234[[#This Row],[Asset Class]],tblInherentImpacts30[],4,FALSE)</f>
        <v>0</v>
      </c>
      <c r="AE145" s="138">
        <f>VLOOKUP(tblRiskRegister3234[[#This Row],[Asset Class]],tblInherentImpacts30[],5,FALSE)</f>
        <v>0</v>
      </c>
      <c r="AF145" s="138" t="str">
        <f>IFERROR(MAX(tblRiskRegister3234[[#This Row],[Risk Treatment Safeguard Impact to Mission]:[Risk Treatment Safeguard Impact to Obligations]])*tblRiskRegister3234[[#This Row],[Risk Treatment
Safeguard Expectancy Score]],"")</f>
        <v/>
      </c>
      <c r="AG145" s="138" t="str">
        <f>IF(tblRiskRegister3234[[#This Row],[Risk Score]]&gt;AcceptableRisk,IF(tblRiskRegister3234[[#This Row],[Risk Treatment Safeguard Risk Score]]&lt;AcceptableRisk, IF(tblRiskRegister3234[[#This Row],[Risk Treatment Safeguard Risk Score]]&lt;=tblRiskRegister3234[[#This Row],[Risk Score]],"Yes","No"),"No"),"Yes")</f>
        <v>No</v>
      </c>
      <c r="AH145" s="18"/>
      <c r="AI145" s="18"/>
      <c r="AJ145" s="19"/>
    </row>
    <row r="146" spans="2:36" x14ac:dyDescent="0.2">
      <c r="B146" s="44" t="s">
        <v>134</v>
      </c>
      <c r="C146" s="44"/>
      <c r="D146" s="13">
        <v>16.600000000000001</v>
      </c>
      <c r="E146" s="14" t="s">
        <v>646</v>
      </c>
      <c r="F146" s="17"/>
      <c r="G146" s="17" t="s">
        <v>785</v>
      </c>
      <c r="H146" s="17" t="s">
        <v>926</v>
      </c>
      <c r="I146" s="147"/>
      <c r="J146" s="15"/>
      <c r="K146" s="15"/>
      <c r="L146" s="16"/>
      <c r="M146" s="26">
        <f>IFERROR(VLOOKUP(tblRiskRegister3234[[#This Row],[Asset Class]],tblVCDBIndex[],4,FALSE),"")</f>
        <v>3</v>
      </c>
      <c r="N146" s="29" t="str">
        <f>IFERROR(VLOOKUP(10*tblRiskRegister3234[[#This Row],[Safeguard Maturity Score]]+tblRiskRegister3234[[#This Row],[VCDB Index]],tblHITIndexWeightTable[],4,FALSE),"")</f>
        <v/>
      </c>
      <c r="O146" s="29" t="str">
        <f>VLOOKUP(tblRiskRegister3234[[#This Row],[Asset Class]],tblInherentImpacts30[],2,FALSE)</f>
        <v/>
      </c>
      <c r="P146" s="29">
        <f>VLOOKUP(tblRiskRegister3234[[#This Row],[Asset Class]],tblInherentImpacts30[],3,FALSE)</f>
        <v>0</v>
      </c>
      <c r="Q146" s="29">
        <f>VLOOKUP(tblRiskRegister3234[[#This Row],[Asset Class]],tblInherentImpacts30[],4,FALSE)</f>
        <v>0</v>
      </c>
      <c r="R146" s="29">
        <f>VLOOKUP(tblRiskRegister3234[[#This Row],[Asset Class]],tblInherentImpacts30[],5,FALSE)</f>
        <v>0</v>
      </c>
      <c r="S146" s="29" t="str">
        <f>IFERROR(MAX(tblRiskRegister3234[[#This Row],[Impact to Mission]:[Impact to Obligations]])*tblRiskRegister3234[[#This Row],[Expectancy Score]],"")</f>
        <v/>
      </c>
      <c r="T146" s="29" t="str">
        <f>tblRiskRegister3234[[#This Row],[Risk Score]]</f>
        <v/>
      </c>
      <c r="U146" s="100"/>
      <c r="V146" s="112">
        <v>16.600000000000001</v>
      </c>
      <c r="W146" s="44" t="s">
        <v>646</v>
      </c>
      <c r="X146" s="44" t="s">
        <v>752</v>
      </c>
      <c r="Y146" s="30"/>
      <c r="Z146" s="16"/>
      <c r="AA146" s="27" t="str">
        <f>IFERROR(VLOOKUP(10*tblRiskRegister3234[[#This Row],[Risk Treatment Safeguard Maturity Score]]+tblRiskRegister3234[[#This Row],[VCDB Index]],tblHITIndexWeightTable[],4,FALSE),"")</f>
        <v/>
      </c>
      <c r="AB146" s="138" t="str">
        <f>VLOOKUP(tblRiskRegister3234[[#This Row],[Asset Class]],tblInherentImpacts30[],2,FALSE)</f>
        <v/>
      </c>
      <c r="AC146" s="138">
        <f>VLOOKUP(tblRiskRegister3234[[#This Row],[Asset Class]],tblInherentImpacts30[],3,FALSE)</f>
        <v>0</v>
      </c>
      <c r="AD146" s="138">
        <f>VLOOKUP(tblRiskRegister3234[[#This Row],[Asset Class]],tblInherentImpacts30[],4,FALSE)</f>
        <v>0</v>
      </c>
      <c r="AE146" s="138">
        <f>VLOOKUP(tblRiskRegister3234[[#This Row],[Asset Class]],tblInherentImpacts30[],5,FALSE)</f>
        <v>0</v>
      </c>
      <c r="AF146" s="138" t="str">
        <f>IFERROR(MAX(tblRiskRegister3234[[#This Row],[Risk Treatment Safeguard Impact to Mission]:[Risk Treatment Safeguard Impact to Obligations]])*tblRiskRegister3234[[#This Row],[Risk Treatment
Safeguard Expectancy Score]],"")</f>
        <v/>
      </c>
      <c r="AG146" s="138" t="str">
        <f>IF(tblRiskRegister3234[[#This Row],[Risk Score]]&gt;AcceptableRisk,IF(tblRiskRegister3234[[#This Row],[Risk Treatment Safeguard Risk Score]]&lt;AcceptableRisk, IF(tblRiskRegister3234[[#This Row],[Risk Treatment Safeguard Risk Score]]&lt;=tblRiskRegister3234[[#This Row],[Risk Score]],"Yes","No"),"No"),"Yes")</f>
        <v>No</v>
      </c>
      <c r="AH146" s="18"/>
      <c r="AI146" s="18"/>
      <c r="AJ146" s="19"/>
    </row>
    <row r="147" spans="2:36" ht="51" x14ac:dyDescent="0.2">
      <c r="B147" s="44" t="s">
        <v>134</v>
      </c>
      <c r="C147" s="44"/>
      <c r="D147" s="13">
        <v>16.7</v>
      </c>
      <c r="E147" s="14" t="s">
        <v>647</v>
      </c>
      <c r="F147" s="17"/>
      <c r="G147" s="17" t="s">
        <v>785</v>
      </c>
      <c r="H147" s="17" t="s">
        <v>928</v>
      </c>
      <c r="I147" s="147"/>
      <c r="J147" s="15"/>
      <c r="K147" s="15"/>
      <c r="L147" s="16"/>
      <c r="M147" s="26">
        <f>IFERROR(VLOOKUP(tblRiskRegister3234[[#This Row],[Asset Class]],tblVCDBIndex[],4,FALSE),"")</f>
        <v>3</v>
      </c>
      <c r="N147" s="29" t="str">
        <f>IFERROR(VLOOKUP(10*tblRiskRegister3234[[#This Row],[Safeguard Maturity Score]]+tblRiskRegister3234[[#This Row],[VCDB Index]],tblHITIndexWeightTable[],4,FALSE),"")</f>
        <v/>
      </c>
      <c r="O147" s="29" t="str">
        <f>VLOOKUP(tblRiskRegister3234[[#This Row],[Asset Class]],tblInherentImpacts30[],2,FALSE)</f>
        <v/>
      </c>
      <c r="P147" s="29">
        <f>VLOOKUP(tblRiskRegister3234[[#This Row],[Asset Class]],tblInherentImpacts30[],3,FALSE)</f>
        <v>0</v>
      </c>
      <c r="Q147" s="29">
        <f>VLOOKUP(tblRiskRegister3234[[#This Row],[Asset Class]],tblInherentImpacts30[],4,FALSE)</f>
        <v>0</v>
      </c>
      <c r="R147" s="29">
        <f>VLOOKUP(tblRiskRegister3234[[#This Row],[Asset Class]],tblInherentImpacts30[],5,FALSE)</f>
        <v>0</v>
      </c>
      <c r="S147" s="29" t="str">
        <f>IFERROR(MAX(tblRiskRegister3234[[#This Row],[Impact to Mission]:[Impact to Obligations]])*tblRiskRegister3234[[#This Row],[Expectancy Score]],"")</f>
        <v/>
      </c>
      <c r="T147" s="29" t="str">
        <f>tblRiskRegister3234[[#This Row],[Risk Score]]</f>
        <v/>
      </c>
      <c r="U147" s="100"/>
      <c r="V147" s="112">
        <v>16.7</v>
      </c>
      <c r="W147" s="44" t="s">
        <v>647</v>
      </c>
      <c r="X147" s="44" t="s">
        <v>753</v>
      </c>
      <c r="Y147" s="30"/>
      <c r="Z147" s="16"/>
      <c r="AA147" s="27" t="str">
        <f>IFERROR(VLOOKUP(10*tblRiskRegister3234[[#This Row],[Risk Treatment Safeguard Maturity Score]]+tblRiskRegister3234[[#This Row],[VCDB Index]],tblHITIndexWeightTable[],4,FALSE),"")</f>
        <v/>
      </c>
      <c r="AB147" s="138" t="str">
        <f>VLOOKUP(tblRiskRegister3234[[#This Row],[Asset Class]],tblInherentImpacts30[],2,FALSE)</f>
        <v/>
      </c>
      <c r="AC147" s="138">
        <f>VLOOKUP(tblRiskRegister3234[[#This Row],[Asset Class]],tblInherentImpacts30[],3,FALSE)</f>
        <v>0</v>
      </c>
      <c r="AD147" s="138">
        <f>VLOOKUP(tblRiskRegister3234[[#This Row],[Asset Class]],tblInherentImpacts30[],4,FALSE)</f>
        <v>0</v>
      </c>
      <c r="AE147" s="138">
        <f>VLOOKUP(tblRiskRegister3234[[#This Row],[Asset Class]],tblInherentImpacts30[],5,FALSE)</f>
        <v>0</v>
      </c>
      <c r="AF147" s="138" t="str">
        <f>IFERROR(MAX(tblRiskRegister3234[[#This Row],[Risk Treatment Safeguard Impact to Mission]:[Risk Treatment Safeguard Impact to Obligations]])*tblRiskRegister3234[[#This Row],[Risk Treatment
Safeguard Expectancy Score]],"")</f>
        <v/>
      </c>
      <c r="AG147" s="138" t="str">
        <f>IF(tblRiskRegister3234[[#This Row],[Risk Score]]&gt;AcceptableRisk,IF(tblRiskRegister3234[[#This Row],[Risk Treatment Safeguard Risk Score]]&lt;AcceptableRisk, IF(tblRiskRegister3234[[#This Row],[Risk Treatment Safeguard Risk Score]]&lt;=tblRiskRegister3234[[#This Row],[Risk Score]],"Yes","No"),"No"),"Yes")</f>
        <v>No</v>
      </c>
      <c r="AH147" s="18"/>
      <c r="AI147" s="18"/>
      <c r="AJ147" s="19"/>
    </row>
    <row r="148" spans="2:36" ht="25.5" x14ac:dyDescent="0.2">
      <c r="B148" s="44" t="s">
        <v>134</v>
      </c>
      <c r="C148" s="44"/>
      <c r="D148" s="13">
        <v>16.8</v>
      </c>
      <c r="E148" s="14" t="s">
        <v>32</v>
      </c>
      <c r="F148" s="17" t="s">
        <v>785</v>
      </c>
      <c r="G148" s="17" t="s">
        <v>785</v>
      </c>
      <c r="H148" s="17" t="s">
        <v>927</v>
      </c>
      <c r="I148" s="147"/>
      <c r="J148" s="15"/>
      <c r="K148" s="15"/>
      <c r="L148" s="16"/>
      <c r="M148" s="26">
        <f>IFERROR(VLOOKUP(tblRiskRegister3234[[#This Row],[Asset Class]],tblVCDBIndex[],4,FALSE),"")</f>
        <v>3</v>
      </c>
      <c r="N148" s="29" t="str">
        <f>IFERROR(VLOOKUP(10*tblRiskRegister3234[[#This Row],[Safeguard Maturity Score]]+tblRiskRegister3234[[#This Row],[VCDB Index]],tblHITIndexWeightTable[],4,FALSE),"")</f>
        <v/>
      </c>
      <c r="O148" s="29" t="str">
        <f>VLOOKUP(tblRiskRegister3234[[#This Row],[Asset Class]],tblInherentImpacts30[],2,FALSE)</f>
        <v/>
      </c>
      <c r="P148" s="29">
        <f>VLOOKUP(tblRiskRegister3234[[#This Row],[Asset Class]],tblInherentImpacts30[],3,FALSE)</f>
        <v>0</v>
      </c>
      <c r="Q148" s="29">
        <f>VLOOKUP(tblRiskRegister3234[[#This Row],[Asset Class]],tblInherentImpacts30[],4,FALSE)</f>
        <v>0</v>
      </c>
      <c r="R148" s="29">
        <f>VLOOKUP(tblRiskRegister3234[[#This Row],[Asset Class]],tblInherentImpacts30[],5,FALSE)</f>
        <v>0</v>
      </c>
      <c r="S148" s="29" t="str">
        <f>IFERROR(MAX(tblRiskRegister3234[[#This Row],[Impact to Mission]:[Impact to Obligations]])*tblRiskRegister3234[[#This Row],[Expectancy Score]],"")</f>
        <v/>
      </c>
      <c r="T148" s="29" t="str">
        <f>tblRiskRegister3234[[#This Row],[Risk Score]]</f>
        <v/>
      </c>
      <c r="U148" s="100"/>
      <c r="V148" s="112">
        <v>16.8</v>
      </c>
      <c r="W148" s="44" t="s">
        <v>32</v>
      </c>
      <c r="X148" s="44" t="s">
        <v>173</v>
      </c>
      <c r="Y148" s="30"/>
      <c r="Z148" s="16"/>
      <c r="AA148" s="27" t="str">
        <f>IFERROR(VLOOKUP(10*tblRiskRegister3234[[#This Row],[Risk Treatment Safeguard Maturity Score]]+tblRiskRegister3234[[#This Row],[VCDB Index]],tblHITIndexWeightTable[],4,FALSE),"")</f>
        <v/>
      </c>
      <c r="AB148" s="138" t="str">
        <f>VLOOKUP(tblRiskRegister3234[[#This Row],[Asset Class]],tblInherentImpacts30[],2,FALSE)</f>
        <v/>
      </c>
      <c r="AC148" s="138">
        <f>VLOOKUP(tblRiskRegister3234[[#This Row],[Asset Class]],tblInherentImpacts30[],3,FALSE)</f>
        <v>0</v>
      </c>
      <c r="AD148" s="138">
        <f>VLOOKUP(tblRiskRegister3234[[#This Row],[Asset Class]],tblInherentImpacts30[],4,FALSE)</f>
        <v>0</v>
      </c>
      <c r="AE148" s="138">
        <f>VLOOKUP(tblRiskRegister3234[[#This Row],[Asset Class]],tblInherentImpacts30[],5,FALSE)</f>
        <v>0</v>
      </c>
      <c r="AF148" s="138" t="str">
        <f>IFERROR(MAX(tblRiskRegister3234[[#This Row],[Risk Treatment Safeguard Impact to Mission]:[Risk Treatment Safeguard Impact to Obligations]])*tblRiskRegister3234[[#This Row],[Risk Treatment
Safeguard Expectancy Score]],"")</f>
        <v/>
      </c>
      <c r="AG148" s="138" t="str">
        <f>IF(tblRiskRegister3234[[#This Row],[Risk Score]]&gt;AcceptableRisk,IF(tblRiskRegister3234[[#This Row],[Risk Treatment Safeguard Risk Score]]&lt;AcceptableRisk, IF(tblRiskRegister3234[[#This Row],[Risk Treatment Safeguard Risk Score]]&lt;=tblRiskRegister3234[[#This Row],[Risk Score]],"Yes","No"),"No"),"Yes")</f>
        <v>No</v>
      </c>
      <c r="AH148" s="18"/>
      <c r="AI148" s="18"/>
      <c r="AJ148" s="19"/>
    </row>
    <row r="149" spans="2:36" x14ac:dyDescent="0.2">
      <c r="B149" s="44" t="s">
        <v>134</v>
      </c>
      <c r="C149" s="44"/>
      <c r="D149" s="13">
        <v>16.899999999999999</v>
      </c>
      <c r="E149" s="14" t="s">
        <v>33</v>
      </c>
      <c r="F149" s="17" t="s">
        <v>785</v>
      </c>
      <c r="G149" s="17" t="s">
        <v>785</v>
      </c>
      <c r="H149" s="17" t="s">
        <v>927</v>
      </c>
      <c r="I149" s="147"/>
      <c r="J149" s="15"/>
      <c r="K149" s="15"/>
      <c r="L149" s="16"/>
      <c r="M149" s="26">
        <f>IFERROR(VLOOKUP(tblRiskRegister3234[[#This Row],[Asset Class]],tblVCDBIndex[],4,FALSE),"")</f>
        <v>3</v>
      </c>
      <c r="N149" s="29" t="str">
        <f>IFERROR(VLOOKUP(10*tblRiskRegister3234[[#This Row],[Safeguard Maturity Score]]+tblRiskRegister3234[[#This Row],[VCDB Index]],tblHITIndexWeightTable[],4,FALSE),"")</f>
        <v/>
      </c>
      <c r="O149" s="29" t="str">
        <f>VLOOKUP(tblRiskRegister3234[[#This Row],[Asset Class]],tblInherentImpacts30[],2,FALSE)</f>
        <v/>
      </c>
      <c r="P149" s="29">
        <f>VLOOKUP(tblRiskRegister3234[[#This Row],[Asset Class]],tblInherentImpacts30[],3,FALSE)</f>
        <v>0</v>
      </c>
      <c r="Q149" s="29">
        <f>VLOOKUP(tblRiskRegister3234[[#This Row],[Asset Class]],tblInherentImpacts30[],4,FALSE)</f>
        <v>0</v>
      </c>
      <c r="R149" s="29">
        <f>VLOOKUP(tblRiskRegister3234[[#This Row],[Asset Class]],tblInherentImpacts30[],5,FALSE)</f>
        <v>0</v>
      </c>
      <c r="S149" s="29" t="str">
        <f>IFERROR(MAX(tblRiskRegister3234[[#This Row],[Impact to Mission]:[Impact to Obligations]])*tblRiskRegister3234[[#This Row],[Expectancy Score]],"")</f>
        <v/>
      </c>
      <c r="T149" s="29" t="str">
        <f>tblRiskRegister3234[[#This Row],[Risk Score]]</f>
        <v/>
      </c>
      <c r="U149" s="100"/>
      <c r="V149" s="112">
        <v>16.899999999999999</v>
      </c>
      <c r="W149" s="44" t="s">
        <v>33</v>
      </c>
      <c r="X149" s="44" t="s">
        <v>174</v>
      </c>
      <c r="Y149" s="30"/>
      <c r="Z149" s="16"/>
      <c r="AA149" s="27" t="str">
        <f>IFERROR(VLOOKUP(10*tblRiskRegister3234[[#This Row],[Risk Treatment Safeguard Maturity Score]]+tblRiskRegister3234[[#This Row],[VCDB Index]],tblHITIndexWeightTable[],4,FALSE),"")</f>
        <v/>
      </c>
      <c r="AB149" s="138" t="str">
        <f>VLOOKUP(tblRiskRegister3234[[#This Row],[Asset Class]],tblInherentImpacts30[],2,FALSE)</f>
        <v/>
      </c>
      <c r="AC149" s="138">
        <f>VLOOKUP(tblRiskRegister3234[[#This Row],[Asset Class]],tblInherentImpacts30[],3,FALSE)</f>
        <v>0</v>
      </c>
      <c r="AD149" s="138">
        <f>VLOOKUP(tblRiskRegister3234[[#This Row],[Asset Class]],tblInherentImpacts30[],4,FALSE)</f>
        <v>0</v>
      </c>
      <c r="AE149" s="138">
        <f>VLOOKUP(tblRiskRegister3234[[#This Row],[Asset Class]],tblInherentImpacts30[],5,FALSE)</f>
        <v>0</v>
      </c>
      <c r="AF149" s="138" t="str">
        <f>IFERROR(MAX(tblRiskRegister3234[[#This Row],[Risk Treatment Safeguard Impact to Mission]:[Risk Treatment Safeguard Impact to Obligations]])*tblRiskRegister3234[[#This Row],[Risk Treatment
Safeguard Expectancy Score]],"")</f>
        <v/>
      </c>
      <c r="AG149" s="138" t="str">
        <f>IF(tblRiskRegister3234[[#This Row],[Risk Score]]&gt;AcceptableRisk,IF(tblRiskRegister3234[[#This Row],[Risk Treatment Safeguard Risk Score]]&lt;AcceptableRisk, IF(tblRiskRegister3234[[#This Row],[Risk Treatment Safeguard Risk Score]]&lt;=tblRiskRegister3234[[#This Row],[Risk Score]],"Yes","No"),"No"),"Yes")</f>
        <v>No</v>
      </c>
      <c r="AH149" s="18"/>
      <c r="AI149" s="18"/>
      <c r="AJ149" s="19"/>
    </row>
    <row r="150" spans="2:36" ht="25.5" x14ac:dyDescent="0.2">
      <c r="B150" s="44" t="s">
        <v>134</v>
      </c>
      <c r="C150" s="44"/>
      <c r="D150" s="13" t="s">
        <v>546</v>
      </c>
      <c r="E150" s="14" t="s">
        <v>648</v>
      </c>
      <c r="F150" s="17"/>
      <c r="G150" s="17" t="s">
        <v>785</v>
      </c>
      <c r="H150" s="17" t="s">
        <v>928</v>
      </c>
      <c r="I150" s="147"/>
      <c r="J150" s="15"/>
      <c r="K150" s="15"/>
      <c r="L150" s="16"/>
      <c r="M150" s="26">
        <f>IFERROR(VLOOKUP(tblRiskRegister3234[[#This Row],[Asset Class]],tblVCDBIndex[],4,FALSE),"")</f>
        <v>3</v>
      </c>
      <c r="N150" s="29" t="str">
        <f>IFERROR(VLOOKUP(10*tblRiskRegister3234[[#This Row],[Safeguard Maturity Score]]+tblRiskRegister3234[[#This Row],[VCDB Index]],tblHITIndexWeightTable[],4,FALSE),"")</f>
        <v/>
      </c>
      <c r="O150" s="29" t="str">
        <f>VLOOKUP(tblRiskRegister3234[[#This Row],[Asset Class]],tblInherentImpacts30[],2,FALSE)</f>
        <v/>
      </c>
      <c r="P150" s="29">
        <f>VLOOKUP(tblRiskRegister3234[[#This Row],[Asset Class]],tblInherentImpacts30[],3,FALSE)</f>
        <v>0</v>
      </c>
      <c r="Q150" s="29">
        <f>VLOOKUP(tblRiskRegister3234[[#This Row],[Asset Class]],tblInherentImpacts30[],4,FALSE)</f>
        <v>0</v>
      </c>
      <c r="R150" s="29">
        <f>VLOOKUP(tblRiskRegister3234[[#This Row],[Asset Class]],tblInherentImpacts30[],5,FALSE)</f>
        <v>0</v>
      </c>
      <c r="S150" s="29" t="str">
        <f>IFERROR(MAX(tblRiskRegister3234[[#This Row],[Impact to Mission]:[Impact to Obligations]])*tblRiskRegister3234[[#This Row],[Expectancy Score]],"")</f>
        <v/>
      </c>
      <c r="T150" s="29" t="str">
        <f>tblRiskRegister3234[[#This Row],[Risk Score]]</f>
        <v/>
      </c>
      <c r="U150" s="100"/>
      <c r="V150" s="112" t="s">
        <v>546</v>
      </c>
      <c r="W150" s="44" t="s">
        <v>648</v>
      </c>
      <c r="X150" s="44" t="s">
        <v>754</v>
      </c>
      <c r="Y150" s="30"/>
      <c r="Z150" s="16"/>
      <c r="AA150" s="27" t="str">
        <f>IFERROR(VLOOKUP(10*tblRiskRegister3234[[#This Row],[Risk Treatment Safeguard Maturity Score]]+tblRiskRegister3234[[#This Row],[VCDB Index]],tblHITIndexWeightTable[],4,FALSE),"")</f>
        <v/>
      </c>
      <c r="AB150" s="138" t="str">
        <f>VLOOKUP(tblRiskRegister3234[[#This Row],[Asset Class]],tblInherentImpacts30[],2,FALSE)</f>
        <v/>
      </c>
      <c r="AC150" s="138">
        <f>VLOOKUP(tblRiskRegister3234[[#This Row],[Asset Class]],tblInherentImpacts30[],3,FALSE)</f>
        <v>0</v>
      </c>
      <c r="AD150" s="138">
        <f>VLOOKUP(tblRiskRegister3234[[#This Row],[Asset Class]],tblInherentImpacts30[],4,FALSE)</f>
        <v>0</v>
      </c>
      <c r="AE150" s="138">
        <f>VLOOKUP(tblRiskRegister3234[[#This Row],[Asset Class]],tblInherentImpacts30[],5,FALSE)</f>
        <v>0</v>
      </c>
      <c r="AF150" s="138" t="str">
        <f>IFERROR(MAX(tblRiskRegister3234[[#This Row],[Risk Treatment Safeguard Impact to Mission]:[Risk Treatment Safeguard Impact to Obligations]])*tblRiskRegister3234[[#This Row],[Risk Treatment
Safeguard Expectancy Score]],"")</f>
        <v/>
      </c>
      <c r="AG150" s="138" t="str">
        <f>IF(tblRiskRegister3234[[#This Row],[Risk Score]]&gt;AcceptableRisk,IF(tblRiskRegister3234[[#This Row],[Risk Treatment Safeguard Risk Score]]&lt;AcceptableRisk, IF(tblRiskRegister3234[[#This Row],[Risk Treatment Safeguard Risk Score]]&lt;=tblRiskRegister3234[[#This Row],[Risk Score]],"Yes","No"),"No"),"Yes")</f>
        <v>No</v>
      </c>
      <c r="AH150" s="18"/>
      <c r="AI150" s="18"/>
      <c r="AJ150" s="19"/>
    </row>
    <row r="151" spans="2:36" ht="25.5" x14ac:dyDescent="0.2">
      <c r="B151" s="44" t="s">
        <v>134</v>
      </c>
      <c r="C151" s="44"/>
      <c r="D151" s="13">
        <v>16.11</v>
      </c>
      <c r="E151" s="14" t="s">
        <v>34</v>
      </c>
      <c r="F151" s="17" t="s">
        <v>785</v>
      </c>
      <c r="G151" s="17" t="s">
        <v>785</v>
      </c>
      <c r="H151" s="17" t="s">
        <v>928</v>
      </c>
      <c r="I151" s="147"/>
      <c r="J151" s="15"/>
      <c r="K151" s="15"/>
      <c r="L151" s="16"/>
      <c r="M151" s="26">
        <f>IFERROR(VLOOKUP(tblRiskRegister3234[[#This Row],[Asset Class]],tblVCDBIndex[],4,FALSE),"")</f>
        <v>3</v>
      </c>
      <c r="N151" s="29" t="str">
        <f>IFERROR(VLOOKUP(10*tblRiskRegister3234[[#This Row],[Safeguard Maturity Score]]+tblRiskRegister3234[[#This Row],[VCDB Index]],tblHITIndexWeightTable[],4,FALSE),"")</f>
        <v/>
      </c>
      <c r="O151" s="29" t="str">
        <f>VLOOKUP(tblRiskRegister3234[[#This Row],[Asset Class]],tblInherentImpacts30[],2,FALSE)</f>
        <v/>
      </c>
      <c r="P151" s="29">
        <f>VLOOKUP(tblRiskRegister3234[[#This Row],[Asset Class]],tblInherentImpacts30[],3,FALSE)</f>
        <v>0</v>
      </c>
      <c r="Q151" s="29">
        <f>VLOOKUP(tblRiskRegister3234[[#This Row],[Asset Class]],tblInherentImpacts30[],4,FALSE)</f>
        <v>0</v>
      </c>
      <c r="R151" s="29">
        <f>VLOOKUP(tblRiskRegister3234[[#This Row],[Asset Class]],tblInherentImpacts30[],5,FALSE)</f>
        <v>0</v>
      </c>
      <c r="S151" s="29" t="str">
        <f>IFERROR(MAX(tblRiskRegister3234[[#This Row],[Impact to Mission]:[Impact to Obligations]])*tblRiskRegister3234[[#This Row],[Expectancy Score]],"")</f>
        <v/>
      </c>
      <c r="T151" s="29" t="str">
        <f>tblRiskRegister3234[[#This Row],[Risk Score]]</f>
        <v/>
      </c>
      <c r="U151" s="100"/>
      <c r="V151" s="112">
        <v>16.11</v>
      </c>
      <c r="W151" s="44" t="s">
        <v>34</v>
      </c>
      <c r="X151" s="44" t="s">
        <v>175</v>
      </c>
      <c r="Y151" s="30"/>
      <c r="Z151" s="16"/>
      <c r="AA151" s="27" t="str">
        <f>IFERROR(VLOOKUP(10*tblRiskRegister3234[[#This Row],[Risk Treatment Safeguard Maturity Score]]+tblRiskRegister3234[[#This Row],[VCDB Index]],tblHITIndexWeightTable[],4,FALSE),"")</f>
        <v/>
      </c>
      <c r="AB151" s="138" t="str">
        <f>VLOOKUP(tblRiskRegister3234[[#This Row],[Asset Class]],tblInherentImpacts30[],2,FALSE)</f>
        <v/>
      </c>
      <c r="AC151" s="138">
        <f>VLOOKUP(tblRiskRegister3234[[#This Row],[Asset Class]],tblInherentImpacts30[],3,FALSE)</f>
        <v>0</v>
      </c>
      <c r="AD151" s="138">
        <f>VLOOKUP(tblRiskRegister3234[[#This Row],[Asset Class]],tblInherentImpacts30[],4,FALSE)</f>
        <v>0</v>
      </c>
      <c r="AE151" s="138">
        <f>VLOOKUP(tblRiskRegister3234[[#This Row],[Asset Class]],tblInherentImpacts30[],5,FALSE)</f>
        <v>0</v>
      </c>
      <c r="AF151" s="138" t="str">
        <f>IFERROR(MAX(tblRiskRegister3234[[#This Row],[Risk Treatment Safeguard Impact to Mission]:[Risk Treatment Safeguard Impact to Obligations]])*tblRiskRegister3234[[#This Row],[Risk Treatment
Safeguard Expectancy Score]],"")</f>
        <v/>
      </c>
      <c r="AG151" s="138" t="str">
        <f>IF(tblRiskRegister3234[[#This Row],[Risk Score]]&gt;AcceptableRisk,IF(tblRiskRegister3234[[#This Row],[Risk Treatment Safeguard Risk Score]]&lt;AcceptableRisk, IF(tblRiskRegister3234[[#This Row],[Risk Treatment Safeguard Risk Score]]&lt;=tblRiskRegister3234[[#This Row],[Risk Score]],"Yes","No"),"No"),"Yes")</f>
        <v>No</v>
      </c>
      <c r="AH151" s="18"/>
      <c r="AI151" s="18"/>
      <c r="AJ151" s="19"/>
    </row>
    <row r="152" spans="2:36" ht="25.5" x14ac:dyDescent="0.2">
      <c r="B152" s="15" t="s">
        <v>134</v>
      </c>
      <c r="C152" s="15"/>
      <c r="D152" s="13">
        <v>16.12</v>
      </c>
      <c r="E152" s="14" t="s">
        <v>649</v>
      </c>
      <c r="F152" s="17"/>
      <c r="G152" s="17" t="s">
        <v>785</v>
      </c>
      <c r="H152" s="17" t="s">
        <v>929</v>
      </c>
      <c r="I152" s="147"/>
      <c r="J152" s="15"/>
      <c r="K152" s="15"/>
      <c r="L152" s="16"/>
      <c r="M152" s="26">
        <f>IFERROR(VLOOKUP(tblRiskRegister3234[[#This Row],[Asset Class]],tblVCDBIndex[],4,FALSE),"")</f>
        <v>3</v>
      </c>
      <c r="N152" s="26" t="str">
        <f>IFERROR(VLOOKUP(10*tblRiskRegister3234[[#This Row],[Safeguard Maturity Score]]+tblRiskRegister3234[[#This Row],[VCDB Index]],tblHITIndexWeightTable[],4,FALSE),"")</f>
        <v/>
      </c>
      <c r="O152" s="26" t="str">
        <f>VLOOKUP(tblRiskRegister3234[[#This Row],[Asset Class]],tblInherentImpacts30[],2,FALSE)</f>
        <v/>
      </c>
      <c r="P152" s="26">
        <f>VLOOKUP(tblRiskRegister3234[[#This Row],[Asset Class]],tblInherentImpacts30[],3,FALSE)</f>
        <v>0</v>
      </c>
      <c r="Q152" s="26">
        <f>VLOOKUP(tblRiskRegister3234[[#This Row],[Asset Class]],tblInherentImpacts30[],4,FALSE)</f>
        <v>0</v>
      </c>
      <c r="R152" s="26">
        <f>VLOOKUP(tblRiskRegister3234[[#This Row],[Asset Class]],tblInherentImpacts30[],5,FALSE)</f>
        <v>0</v>
      </c>
      <c r="S152" s="26" t="str">
        <f>IFERROR(MAX(tblRiskRegister3234[[#This Row],[Impact to Mission]:[Impact to Obligations]])*tblRiskRegister3234[[#This Row],[Expectancy Score]],"")</f>
        <v/>
      </c>
      <c r="T152" s="26" t="str">
        <f>tblRiskRegister3234[[#This Row],[Risk Score]]</f>
        <v/>
      </c>
      <c r="U152" s="100"/>
      <c r="V152" s="100">
        <v>16.12</v>
      </c>
      <c r="W152" s="15" t="s">
        <v>649</v>
      </c>
      <c r="X152" s="15" t="s">
        <v>755</v>
      </c>
      <c r="Y152" s="15"/>
      <c r="Z152" s="16"/>
      <c r="AA152" s="27" t="str">
        <f>IFERROR(VLOOKUP(10*tblRiskRegister3234[[#This Row],[Risk Treatment Safeguard Maturity Score]]+tblRiskRegister3234[[#This Row],[VCDB Index]],tblHITIndexWeightTable[],4,FALSE),"")</f>
        <v/>
      </c>
      <c r="AB152" s="138" t="str">
        <f>VLOOKUP(tblRiskRegister3234[[#This Row],[Asset Class]],tblInherentImpacts30[],2,FALSE)</f>
        <v/>
      </c>
      <c r="AC152" s="138">
        <f>VLOOKUP(tblRiskRegister3234[[#This Row],[Asset Class]],tblInherentImpacts30[],3,FALSE)</f>
        <v>0</v>
      </c>
      <c r="AD152" s="138">
        <f>VLOOKUP(tblRiskRegister3234[[#This Row],[Asset Class]],tblInherentImpacts30[],4,FALSE)</f>
        <v>0</v>
      </c>
      <c r="AE152" s="138">
        <f>VLOOKUP(tblRiskRegister3234[[#This Row],[Asset Class]],tblInherentImpacts30[],5,FALSE)</f>
        <v>0</v>
      </c>
      <c r="AF152" s="138" t="str">
        <f>IFERROR(MAX(tblRiskRegister3234[[#This Row],[Risk Treatment Safeguard Impact to Mission]:[Risk Treatment Safeguard Impact to Obligations]])*tblRiskRegister3234[[#This Row],[Risk Treatment
Safeguard Expectancy Score]],"")</f>
        <v/>
      </c>
      <c r="AG152" s="138" t="str">
        <f>IF(tblRiskRegister3234[[#This Row],[Risk Score]]&gt;AcceptableRisk,IF(tblRiskRegister3234[[#This Row],[Risk Treatment Safeguard Risk Score]]&lt;AcceptableRisk, IF(tblRiskRegister3234[[#This Row],[Risk Treatment Safeguard Risk Score]]&lt;=tblRiskRegister3234[[#This Row],[Risk Score]],"Yes","No"),"No"),"Yes")</f>
        <v>No</v>
      </c>
      <c r="AH152" s="18"/>
      <c r="AI152" s="18"/>
      <c r="AJ152" s="19"/>
    </row>
  </sheetData>
  <sheetProtection sheet="1" formatCells="0" formatColumns="0" formatRows="0" insertRows="0" sort="0" autoFilter="0" pivotTables="0"/>
  <mergeCells count="7">
    <mergeCell ref="AL8:AN8"/>
    <mergeCell ref="U8:AJ8"/>
    <mergeCell ref="B2:B4"/>
    <mergeCell ref="D2:E2"/>
    <mergeCell ref="D3:E3"/>
    <mergeCell ref="D4:E4"/>
    <mergeCell ref="C8:S8"/>
  </mergeCells>
  <phoneticPr fontId="30" type="noConversion"/>
  <conditionalFormatting sqref="T11:T152">
    <cfRule type="iconSet" priority="1">
      <iconSet showValue="0" reverse="1">
        <cfvo type="percent" val="0"/>
        <cfvo type="num" val="AcceptableRisk"/>
        <cfvo type="num" val="15"/>
      </iconSet>
    </cfRule>
  </conditionalFormatting>
  <dataValidations count="5">
    <dataValidation type="list" allowBlank="1" showInputMessage="1" showErrorMessage="1" sqref="L11:L152 Z11:Z152" xr:uid="{6E8F48CC-0AFC-4A50-92BC-0BE38EE2359B}">
      <formula1>Maturity_Score</formula1>
    </dataValidation>
    <dataValidation type="list" allowBlank="1" showInputMessage="1" showErrorMessage="1" sqref="AJ11:AJ152" xr:uid="{83F03729-2E96-4FA4-BB04-A9C47C3E5546}">
      <formula1>"2021,2022,2023,2024,2025,2026,2027,2028,2029,2030,2031"</formula1>
    </dataValidation>
    <dataValidation type="list" allowBlank="1" showInputMessage="1" showErrorMessage="1" sqref="B11:B152" xr:uid="{C6D700F6-12C4-4EDA-974F-F0F74B674948}">
      <formula1>Asset_Classes</formula1>
    </dataValidation>
    <dataValidation type="list" allowBlank="1" showInputMessage="1" showErrorMessage="1" sqref="AI11:AI152" xr:uid="{441AE16A-8D1A-4319-A0CE-65780AA1DF12}">
      <formula1>"Q1, Q2, Q3, Q4"</formula1>
    </dataValidation>
    <dataValidation type="list" allowBlank="1" showInputMessage="1" showErrorMessage="1" sqref="U11:U152" xr:uid="{87EE3BCC-44C5-48D3-A823-CA9446585224}">
      <formula1>"Accept,Reduce"</formula1>
    </dataValidation>
  </dataValidations>
  <pageMargins left="0.7" right="0.7" top="0.75" bottom="0.75" header="0.3" footer="0.3"/>
  <pageSetup orientation="portrait" r:id="rId1"/>
  <ignoredErrors>
    <ignoredError sqref="D2:D4" unlockedFormula="1"/>
  </ignoredErrors>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58312-D345-4EA8-BCD2-72355D1B258F}">
  <sheetPr codeName="Sheet15">
    <tabColor rgb="FF0086BF"/>
  </sheetPr>
  <dimension ref="B2:AN140"/>
  <sheetViews>
    <sheetView showGridLines="0" zoomScaleNormal="100" workbookViewId="0">
      <selection activeCell="B2" sqref="B2:B4"/>
    </sheetView>
  </sheetViews>
  <sheetFormatPr defaultColWidth="9.140625" defaultRowHeight="12.75" x14ac:dyDescent="0.2"/>
  <cols>
    <col min="1" max="1" width="9.140625" style="2"/>
    <col min="2" max="2" width="21.42578125" style="2" customWidth="1"/>
    <col min="3" max="3" width="22.85546875" style="2" customWidth="1"/>
    <col min="4" max="4" width="17" style="2" customWidth="1"/>
    <col min="5" max="5" width="30.28515625" style="8" customWidth="1"/>
    <col min="6" max="6" width="9.28515625" style="8" customWidth="1"/>
    <col min="7" max="7" width="9.140625" style="8" customWidth="1"/>
    <col min="8" max="10" width="20.5703125" style="8" customWidth="1"/>
    <col min="11" max="11" width="16" style="2" customWidth="1"/>
    <col min="12" max="19" width="13.28515625" style="2" customWidth="1"/>
    <col min="20" max="20" width="16.5703125" style="2" customWidth="1"/>
    <col min="21" max="21" width="20.5703125" style="111" customWidth="1"/>
    <col min="22" max="22" width="26.42578125" style="2" customWidth="1"/>
    <col min="23" max="23" width="26" style="2" customWidth="1"/>
    <col min="24" max="24" width="67.85546875" style="2" customWidth="1"/>
    <col min="25" max="25" width="22.42578125" style="2" customWidth="1"/>
    <col min="26" max="26" width="18.140625" style="2" customWidth="1"/>
    <col min="27" max="27" width="20.42578125" style="2" customWidth="1"/>
    <col min="28" max="32" width="15.5703125" style="2" customWidth="1"/>
    <col min="33" max="35" width="20.7109375" style="2" customWidth="1"/>
    <col min="36" max="36" width="20.140625" style="2" customWidth="1"/>
    <col min="37" max="37" width="13.42578125" style="2" bestFit="1" customWidth="1"/>
    <col min="38" max="38" width="14.140625" style="2" bestFit="1" customWidth="1"/>
    <col min="39" max="39" width="13.85546875" style="2" customWidth="1"/>
    <col min="40" max="16384" width="9.140625" style="2"/>
  </cols>
  <sheetData>
    <row r="2" spans="2:40" x14ac:dyDescent="0.2">
      <c r="B2" s="331" t="s">
        <v>225</v>
      </c>
      <c r="C2" s="1" t="s">
        <v>136</v>
      </c>
      <c r="D2" s="326" t="str">
        <f>IF(ISBLANK('2. Enterprise Parameters'!E2),"",'2. Enterprise Parameters'!E2)</f>
        <v/>
      </c>
      <c r="E2" s="327"/>
      <c r="F2" s="64"/>
      <c r="G2" s="64"/>
      <c r="H2" s="64"/>
      <c r="I2" s="64"/>
      <c r="J2" s="64"/>
    </row>
    <row r="3" spans="2:40" x14ac:dyDescent="0.2">
      <c r="B3" s="332"/>
      <c r="C3" s="1" t="s">
        <v>52</v>
      </c>
      <c r="D3" s="326" t="str">
        <f>IF(ISBLANK('2. Enterprise Parameters'!E3),"",'2. Enterprise Parameters'!E3)</f>
        <v/>
      </c>
      <c r="E3" s="327"/>
      <c r="F3" s="64"/>
      <c r="G3" s="64"/>
      <c r="H3" s="64"/>
      <c r="I3" s="64"/>
      <c r="J3" s="64"/>
    </row>
    <row r="4" spans="2:40" ht="22.5" customHeight="1" x14ac:dyDescent="0.2">
      <c r="B4" s="333"/>
      <c r="C4" s="1" t="s">
        <v>53</v>
      </c>
      <c r="D4" s="328" t="str">
        <f>IF(ISBLANK('2. Enterprise Parameters'!E4),"",'2. Enterprise Parameters'!E4)</f>
        <v/>
      </c>
      <c r="E4" s="329"/>
      <c r="F4" s="128"/>
      <c r="G4" s="128"/>
      <c r="H4" s="128"/>
      <c r="I4" s="128"/>
      <c r="J4" s="128"/>
    </row>
    <row r="6" spans="2:40" x14ac:dyDescent="0.2">
      <c r="B6" s="3"/>
      <c r="C6" s="3"/>
      <c r="D6" s="3"/>
      <c r="E6" s="4"/>
      <c r="F6" s="4"/>
      <c r="G6" s="4"/>
      <c r="H6" s="4"/>
      <c r="I6" s="4"/>
      <c r="J6" s="4"/>
      <c r="K6" s="4"/>
      <c r="L6" s="4"/>
      <c r="M6" s="4"/>
      <c r="N6" s="4"/>
      <c r="O6" s="4"/>
      <c r="P6" s="4"/>
      <c r="Q6" s="4"/>
      <c r="R6" s="4"/>
      <c r="S6" s="4"/>
      <c r="T6" s="4"/>
      <c r="U6" s="12"/>
      <c r="V6" s="4"/>
      <c r="W6" s="4"/>
      <c r="X6" s="4"/>
      <c r="Y6" s="4"/>
      <c r="Z6" s="4"/>
      <c r="AA6" s="4"/>
      <c r="AB6" s="4"/>
      <c r="AC6" s="4"/>
      <c r="AD6" s="4"/>
      <c r="AE6" s="4"/>
      <c r="AF6" s="4"/>
      <c r="AG6" s="4"/>
      <c r="AH6" s="4"/>
      <c r="AI6" s="4"/>
      <c r="AJ6" s="4"/>
    </row>
    <row r="8" spans="2:40" s="41" customFormat="1" ht="15.75" customHeight="1" x14ac:dyDescent="0.2">
      <c r="B8" s="218" t="s">
        <v>54</v>
      </c>
      <c r="C8" s="330" t="s">
        <v>182</v>
      </c>
      <c r="D8" s="330"/>
      <c r="E8" s="330"/>
      <c r="F8" s="330"/>
      <c r="G8" s="330"/>
      <c r="H8" s="330"/>
      <c r="I8" s="330"/>
      <c r="J8" s="330"/>
      <c r="K8" s="330"/>
      <c r="L8" s="330"/>
      <c r="M8" s="330"/>
      <c r="N8" s="330"/>
      <c r="O8" s="330"/>
      <c r="P8" s="330"/>
      <c r="Q8" s="330"/>
      <c r="R8" s="330"/>
      <c r="S8" s="330"/>
      <c r="T8" s="218" t="s">
        <v>54</v>
      </c>
      <c r="U8" s="320" t="s">
        <v>180</v>
      </c>
      <c r="V8" s="321"/>
      <c r="W8" s="321"/>
      <c r="X8" s="321"/>
      <c r="Y8" s="321"/>
      <c r="Z8" s="321"/>
      <c r="AA8" s="321"/>
      <c r="AB8" s="321"/>
      <c r="AC8" s="321"/>
      <c r="AD8" s="321"/>
      <c r="AE8" s="321"/>
      <c r="AF8" s="321"/>
      <c r="AG8" s="321"/>
      <c r="AH8" s="321"/>
      <c r="AI8" s="321"/>
      <c r="AJ8" s="322"/>
      <c r="AL8" s="317" t="s">
        <v>797</v>
      </c>
      <c r="AM8" s="318"/>
      <c r="AN8" s="319"/>
    </row>
    <row r="10" spans="2:40" s="11" customFormat="1" ht="63.75" x14ac:dyDescent="0.2">
      <c r="B10" s="9" t="s">
        <v>50</v>
      </c>
      <c r="C10" s="28" t="s">
        <v>329</v>
      </c>
      <c r="D10" s="9" t="s">
        <v>805</v>
      </c>
      <c r="E10" s="9" t="s">
        <v>152</v>
      </c>
      <c r="F10" s="9" t="s">
        <v>783</v>
      </c>
      <c r="G10" s="9" t="s">
        <v>784</v>
      </c>
      <c r="H10" s="9" t="s">
        <v>922</v>
      </c>
      <c r="I10" s="24" t="s">
        <v>811</v>
      </c>
      <c r="J10" s="28" t="s">
        <v>830</v>
      </c>
      <c r="K10" s="24" t="s">
        <v>804</v>
      </c>
      <c r="L10" s="24" t="s">
        <v>192</v>
      </c>
      <c r="M10" s="9" t="s">
        <v>48</v>
      </c>
      <c r="N10" s="9" t="s">
        <v>802</v>
      </c>
      <c r="O10" s="9" t="s">
        <v>0</v>
      </c>
      <c r="P10" s="9" t="s">
        <v>140</v>
      </c>
      <c r="Q10" s="9" t="s">
        <v>142</v>
      </c>
      <c r="R10" s="9" t="s">
        <v>1</v>
      </c>
      <c r="S10" s="9" t="s">
        <v>2</v>
      </c>
      <c r="T10" s="9" t="s">
        <v>3</v>
      </c>
      <c r="U10" s="5" t="s">
        <v>196</v>
      </c>
      <c r="V10" s="37" t="s">
        <v>56</v>
      </c>
      <c r="W10" s="37" t="s">
        <v>60</v>
      </c>
      <c r="X10" s="37" t="s">
        <v>61</v>
      </c>
      <c r="Y10" s="28" t="s">
        <v>153</v>
      </c>
      <c r="Z10" s="5" t="s">
        <v>193</v>
      </c>
      <c r="AA10" s="10" t="s">
        <v>806</v>
      </c>
      <c r="AB10" s="10" t="s">
        <v>62</v>
      </c>
      <c r="AC10" s="10" t="s">
        <v>141</v>
      </c>
      <c r="AD10" s="10" t="s">
        <v>796</v>
      </c>
      <c r="AE10" s="10" t="s">
        <v>63</v>
      </c>
      <c r="AF10" s="10" t="s">
        <v>65</v>
      </c>
      <c r="AG10" s="10" t="s">
        <v>181</v>
      </c>
      <c r="AH10" s="28" t="s">
        <v>64</v>
      </c>
      <c r="AI10" s="28" t="s">
        <v>147</v>
      </c>
      <c r="AJ10" s="28" t="s">
        <v>57</v>
      </c>
      <c r="AL10" s="12" t="s">
        <v>142</v>
      </c>
      <c r="AM10" s="12" t="s">
        <v>58</v>
      </c>
      <c r="AN10" s="12" t="s">
        <v>59</v>
      </c>
    </row>
    <row r="11" spans="2:40" ht="165.75" x14ac:dyDescent="0.2">
      <c r="B11" s="15" t="s">
        <v>131</v>
      </c>
      <c r="C11" s="15"/>
      <c r="D11" s="100">
        <v>1.1000000000000001</v>
      </c>
      <c r="E11" s="14" t="s">
        <v>78</v>
      </c>
      <c r="F11" s="17" t="s">
        <v>785</v>
      </c>
      <c r="G11" s="17" t="s">
        <v>785</v>
      </c>
      <c r="H11" s="17" t="s">
        <v>926</v>
      </c>
      <c r="I11" s="15"/>
      <c r="J11" s="15"/>
      <c r="K11" s="15"/>
      <c r="L11" s="16"/>
      <c r="M11" s="26">
        <f>IFERROR(VLOOKUP(tblRiskRegister32[[#This Row],[Asset Class]],tblVCDBIndex[],4,FALSE),"")</f>
        <v>1</v>
      </c>
      <c r="N11" s="26" t="str">
        <f>IFERROR(VLOOKUP(10*tblRiskRegister32[[#This Row],[Safeguard Maturity Score]]+tblRiskRegister32[[#This Row],[VCDB Index]],tblHITIndexWeightTable[],4,FALSE),"")</f>
        <v/>
      </c>
      <c r="O11" s="26" t="str">
        <f>VLOOKUP(tblRiskRegister32[[#This Row],[Asset Class]],tblInherentImpacts30[],2,FALSE)</f>
        <v/>
      </c>
      <c r="P11" s="26">
        <f>VLOOKUP(tblRiskRegister32[[#This Row],[Asset Class]],tblInherentImpacts30[],3,FALSE)</f>
        <v>0</v>
      </c>
      <c r="Q11" s="26">
        <f>VLOOKUP(tblRiskRegister32[[#This Row],[Asset Class]],tblInherentImpacts30[],4,FALSE)</f>
        <v>0</v>
      </c>
      <c r="R11" s="26">
        <f>VLOOKUP(tblRiskRegister32[[#This Row],[Asset Class]],tblInherentImpacts30[],5,FALSE)</f>
        <v>0</v>
      </c>
      <c r="S11" s="26" t="str">
        <f>IFERROR(MAX(tblRiskRegister32[[#This Row],[Impact to Mission]:[Impact to Obligations]])*tblRiskRegister32[[#This Row],[Expectancy Score]],"")</f>
        <v/>
      </c>
      <c r="T11" s="26" t="str">
        <f>tblRiskRegister32[[#This Row],[Risk Score]]</f>
        <v/>
      </c>
      <c r="U11" s="100"/>
      <c r="V11" s="100">
        <v>1.1000000000000001</v>
      </c>
      <c r="W11" s="15" t="s">
        <v>78</v>
      </c>
      <c r="X11" s="15" t="s">
        <v>415</v>
      </c>
      <c r="Y11" s="15"/>
      <c r="Z11" s="16"/>
      <c r="AA11" s="27" t="str">
        <f>IFERROR(VLOOKUP(10*tblRiskRegister32[[#This Row],[Risk Treatment Safeguard Maturity Score]]+tblRiskRegister32[[#This Row],[VCDB Index]],tblHITIndexWeightTable[],4,FALSE),"")</f>
        <v/>
      </c>
      <c r="AB11" s="138" t="str">
        <f>VLOOKUP(tblRiskRegister32[[#This Row],[Asset Class]],tblInherentImpacts30[],2,FALSE)</f>
        <v/>
      </c>
      <c r="AC11" s="138">
        <f>VLOOKUP(tblRiskRegister32[[#This Row],[Asset Class]],tblInherentImpacts30[],3,FALSE)</f>
        <v>0</v>
      </c>
      <c r="AD11" s="138">
        <f>VLOOKUP(tblRiskRegister32[[#This Row],[Asset Class]],tblInherentImpacts30[],4,FALSE)</f>
        <v>0</v>
      </c>
      <c r="AE11" s="138">
        <f>VLOOKUP(tblRiskRegister32[[#This Row],[Asset Class]],tblInherentImpacts30[],5,FALSE)</f>
        <v>0</v>
      </c>
      <c r="AF11" s="138" t="str">
        <f>IFERROR(MAX(tblRiskRegister32[[#This Row],[Risk Treatment Safeguard Impact to Mission]:[Risk Treatment Safeguard Impact to Obligations]])*tblRiskRegister32[[#This Row],[Risk Treatment
Safeguard Expectancy Score]],"")</f>
        <v/>
      </c>
      <c r="AG11" s="138" t="str">
        <f>IF(tblRiskRegister32[[#This Row],[Risk Score]]&gt;AcceptableRisk,IF(tblRiskRegister32[[#This Row],[Risk Treatment Safeguard Risk Score]]&lt;AcceptableRisk, IF(tblRiskRegister32[[#This Row],[Risk Treatment Safeguard Risk Score]]&lt;=tblRiskRegister32[[#This Row],[Risk Score]],"Yes","No"),"No"),"Yes")</f>
        <v>No</v>
      </c>
      <c r="AH11" s="18"/>
      <c r="AI11" s="18"/>
      <c r="AJ11" s="19"/>
      <c r="AL11" s="20">
        <f>SUMIF(tblRiskRegister32[[#All],[Implementation Year]],"="&amp;tblCostImpacts33[[#This Row],[Year]],tblRiskRegister32[[#All],[Risk Treatment Safeguard Cost]])</f>
        <v>0</v>
      </c>
      <c r="AM11" s="6">
        <v>2021</v>
      </c>
      <c r="AN11" s="6" t="str">
        <f>IF(tblCostImpacts33[[#This Row],[Impact to Financial Objectives]]&lt;='2. Enterprise Parameters'!$F$13,"Yes","No")</f>
        <v>Yes</v>
      </c>
    </row>
    <row r="12" spans="2:40" ht="38.25" x14ac:dyDescent="0.2">
      <c r="B12" s="44" t="s">
        <v>131</v>
      </c>
      <c r="C12" s="44"/>
      <c r="D12" s="112">
        <v>1.2</v>
      </c>
      <c r="E12" s="14" t="s">
        <v>14</v>
      </c>
      <c r="F12" s="17" t="s">
        <v>785</v>
      </c>
      <c r="G12" s="17" t="s">
        <v>785</v>
      </c>
      <c r="H12" s="17" t="s">
        <v>927</v>
      </c>
      <c r="I12" s="15"/>
      <c r="J12" s="15"/>
      <c r="K12" s="15"/>
      <c r="L12" s="16"/>
      <c r="M12" s="26">
        <f>IFERROR(VLOOKUP(tblRiskRegister32[[#This Row],[Asset Class]],tblVCDBIndex[],4,FALSE),"")</f>
        <v>1</v>
      </c>
      <c r="N12" s="29" t="str">
        <f>IFERROR(VLOOKUP(10*tblRiskRegister32[[#This Row],[Safeguard Maturity Score]]+tblRiskRegister32[[#This Row],[VCDB Index]],tblHITIndexWeightTable[],4,FALSE),"")</f>
        <v/>
      </c>
      <c r="O12" s="29" t="str">
        <f>VLOOKUP(tblRiskRegister32[[#This Row],[Asset Class]],tblInherentImpacts30[],2,FALSE)</f>
        <v/>
      </c>
      <c r="P12" s="29">
        <f>VLOOKUP(tblRiskRegister32[[#This Row],[Asset Class]],tblInherentImpacts30[],3,FALSE)</f>
        <v>0</v>
      </c>
      <c r="Q12" s="29">
        <f>VLOOKUP(tblRiskRegister32[[#This Row],[Asset Class]],tblInherentImpacts30[],4,FALSE)</f>
        <v>0</v>
      </c>
      <c r="R12" s="29">
        <f>VLOOKUP(tblRiskRegister32[[#This Row],[Asset Class]],tblInherentImpacts30[],5,FALSE)</f>
        <v>0</v>
      </c>
      <c r="S12" s="29" t="str">
        <f>IFERROR(MAX(tblRiskRegister32[[#This Row],[Impact to Mission]:[Impact to Obligations]])*tblRiskRegister32[[#This Row],[Expectancy Score]],"")</f>
        <v/>
      </c>
      <c r="T12" s="29" t="str">
        <f>tblRiskRegister32[[#This Row],[Risk Score]]</f>
        <v/>
      </c>
      <c r="U12" s="100"/>
      <c r="V12" s="112">
        <v>1.2</v>
      </c>
      <c r="W12" s="44" t="s">
        <v>14</v>
      </c>
      <c r="X12" s="44" t="s">
        <v>416</v>
      </c>
      <c r="Y12" s="30"/>
      <c r="Z12" s="16"/>
      <c r="AA12" s="27" t="str">
        <f>IFERROR(VLOOKUP(10*tblRiskRegister32[[#This Row],[Risk Treatment Safeguard Maturity Score]]+tblRiskRegister32[[#This Row],[VCDB Index]],tblHITIndexWeightTable[],4,FALSE),"")</f>
        <v/>
      </c>
      <c r="AB12" s="138" t="str">
        <f>VLOOKUP(tblRiskRegister32[[#This Row],[Asset Class]],tblInherentImpacts30[],2,FALSE)</f>
        <v/>
      </c>
      <c r="AC12" s="138">
        <f>VLOOKUP(tblRiskRegister32[[#This Row],[Asset Class]],tblInherentImpacts30[],3,FALSE)</f>
        <v>0</v>
      </c>
      <c r="AD12" s="138">
        <f>VLOOKUP(tblRiskRegister32[[#This Row],[Asset Class]],tblInherentImpacts30[],4,FALSE)</f>
        <v>0</v>
      </c>
      <c r="AE12" s="138">
        <f>VLOOKUP(tblRiskRegister32[[#This Row],[Asset Class]],tblInherentImpacts30[],5,FALSE)</f>
        <v>0</v>
      </c>
      <c r="AF12" s="138" t="str">
        <f>IFERROR(MAX(tblRiskRegister32[[#This Row],[Risk Treatment Safeguard Impact to Mission]:[Risk Treatment Safeguard Impact to Obligations]])*tblRiskRegister32[[#This Row],[Risk Treatment
Safeguard Expectancy Score]],"")</f>
        <v/>
      </c>
      <c r="AG12" s="138" t="str">
        <f>IF(tblRiskRegister32[[#This Row],[Risk Score]]&gt;AcceptableRisk,IF(tblRiskRegister32[[#This Row],[Risk Treatment Safeguard Risk Score]]&lt;AcceptableRisk, IF(tblRiskRegister32[[#This Row],[Risk Treatment Safeguard Risk Score]]&lt;=tblRiskRegister32[[#This Row],[Risk Score]],"Yes","No"),"No"),"Yes")</f>
        <v>No</v>
      </c>
      <c r="AH12" s="18"/>
      <c r="AI12" s="18"/>
      <c r="AJ12" s="19"/>
      <c r="AL12" s="20">
        <f>SUMIF(tblRiskRegister32[[#All],[Implementation Year]],"="&amp;tblCostImpacts33[[#This Row],[Year]],tblRiskRegister32[[#All],[Risk Treatment Safeguard Cost]])</f>
        <v>0</v>
      </c>
      <c r="AM12" s="6">
        <v>2022</v>
      </c>
      <c r="AN12" s="6" t="str">
        <f>IF(tblCostImpacts33[[#This Row],[Impact to Financial Objectives]]&lt;='2. Enterprise Parameters'!$F$13,"Yes","No")</f>
        <v>Yes</v>
      </c>
    </row>
    <row r="13" spans="2:40" ht="38.25" x14ac:dyDescent="0.2">
      <c r="B13" s="44" t="s">
        <v>131</v>
      </c>
      <c r="C13" s="44"/>
      <c r="D13" s="112">
        <v>1.3</v>
      </c>
      <c r="E13" s="14" t="s">
        <v>249</v>
      </c>
      <c r="F13" s="17"/>
      <c r="G13" s="17" t="s">
        <v>785</v>
      </c>
      <c r="H13" s="17" t="s">
        <v>929</v>
      </c>
      <c r="I13" s="15"/>
      <c r="J13" s="15"/>
      <c r="K13" s="15"/>
      <c r="L13" s="16"/>
      <c r="M13" s="26">
        <f>IFERROR(VLOOKUP(tblRiskRegister32[[#This Row],[Asset Class]],tblVCDBIndex[],4,FALSE),"")</f>
        <v>1</v>
      </c>
      <c r="N13" s="29" t="str">
        <f>IFERROR(VLOOKUP(10*tblRiskRegister32[[#This Row],[Safeguard Maturity Score]]+tblRiskRegister32[[#This Row],[VCDB Index]],tblHITIndexWeightTable[],4,FALSE),"")</f>
        <v/>
      </c>
      <c r="O13" s="29" t="str">
        <f>VLOOKUP(tblRiskRegister32[[#This Row],[Asset Class]],tblInherentImpacts30[],2,FALSE)</f>
        <v/>
      </c>
      <c r="P13" s="29">
        <f>VLOOKUP(tblRiskRegister32[[#This Row],[Asset Class]],tblInherentImpacts30[],3,FALSE)</f>
        <v>0</v>
      </c>
      <c r="Q13" s="29">
        <f>VLOOKUP(tblRiskRegister32[[#This Row],[Asset Class]],tblInherentImpacts30[],4,FALSE)</f>
        <v>0</v>
      </c>
      <c r="R13" s="29">
        <f>VLOOKUP(tblRiskRegister32[[#This Row],[Asset Class]],tblInherentImpacts30[],5,FALSE)</f>
        <v>0</v>
      </c>
      <c r="S13" s="29" t="str">
        <f>IFERROR(MAX(tblRiskRegister32[[#This Row],[Impact to Mission]:[Impact to Obligations]])*tblRiskRegister32[[#This Row],[Expectancy Score]],"")</f>
        <v/>
      </c>
      <c r="T13" s="29" t="str">
        <f>tblRiskRegister32[[#This Row],[Risk Score]]</f>
        <v/>
      </c>
      <c r="U13" s="100"/>
      <c r="V13" s="112">
        <v>1.3</v>
      </c>
      <c r="W13" s="44" t="s">
        <v>249</v>
      </c>
      <c r="X13" s="44" t="s">
        <v>417</v>
      </c>
      <c r="Y13" s="30"/>
      <c r="Z13" s="16"/>
      <c r="AA13" s="27" t="str">
        <f>IFERROR(VLOOKUP(10*tblRiskRegister32[[#This Row],[Risk Treatment Safeguard Maturity Score]]+tblRiskRegister32[[#This Row],[VCDB Index]],tblHITIndexWeightTable[],4,FALSE),"")</f>
        <v/>
      </c>
      <c r="AB13" s="138" t="str">
        <f>VLOOKUP(tblRiskRegister32[[#This Row],[Asset Class]],tblInherentImpacts30[],2,FALSE)</f>
        <v/>
      </c>
      <c r="AC13" s="138">
        <f>VLOOKUP(tblRiskRegister32[[#This Row],[Asset Class]],tblInherentImpacts30[],3,FALSE)</f>
        <v>0</v>
      </c>
      <c r="AD13" s="138">
        <f>VLOOKUP(tblRiskRegister32[[#This Row],[Asset Class]],tblInherentImpacts30[],4,FALSE)</f>
        <v>0</v>
      </c>
      <c r="AE13" s="138">
        <f>VLOOKUP(tblRiskRegister32[[#This Row],[Asset Class]],tblInherentImpacts30[],5,FALSE)</f>
        <v>0</v>
      </c>
      <c r="AF13" s="138" t="str">
        <f>IFERROR(MAX(tblRiskRegister32[[#This Row],[Risk Treatment Safeguard Impact to Mission]:[Risk Treatment Safeguard Impact to Obligations]])*tblRiskRegister32[[#This Row],[Risk Treatment
Safeguard Expectancy Score]],"")</f>
        <v/>
      </c>
      <c r="AG13" s="138" t="str">
        <f>IF(tblRiskRegister32[[#This Row],[Risk Score]]&gt;AcceptableRisk,IF(tblRiskRegister32[[#This Row],[Risk Treatment Safeguard Risk Score]]&lt;AcceptableRisk, IF(tblRiskRegister32[[#This Row],[Risk Treatment Safeguard Risk Score]]&lt;=tblRiskRegister32[[#This Row],[Risk Score]],"Yes","No"),"No"),"Yes")</f>
        <v>No</v>
      </c>
      <c r="AH13" s="18"/>
      <c r="AI13" s="18"/>
      <c r="AJ13" s="19"/>
      <c r="AL13" s="20">
        <f>SUMIF(tblRiskRegister32[[#All],[Implementation Year]],"="&amp;tblCostImpacts33[[#This Row],[Year]],tblRiskRegister32[[#All],[Risk Treatment Safeguard Cost]])</f>
        <v>0</v>
      </c>
      <c r="AM13" s="6">
        <v>2023</v>
      </c>
      <c r="AN13" s="6" t="str">
        <f>IF(tblCostImpacts33[[#This Row],[Impact to Financial Objectives]]&lt;='2. Enterprise Parameters'!$F$13,"Yes","No")</f>
        <v>Yes</v>
      </c>
    </row>
    <row r="14" spans="2:40" ht="51" x14ac:dyDescent="0.2">
      <c r="B14" s="44" t="s">
        <v>131</v>
      </c>
      <c r="C14" s="44"/>
      <c r="D14" s="112">
        <v>1.4</v>
      </c>
      <c r="E14" s="14" t="s">
        <v>250</v>
      </c>
      <c r="F14" s="17"/>
      <c r="G14" s="17" t="s">
        <v>785</v>
      </c>
      <c r="H14" s="17" t="s">
        <v>926</v>
      </c>
      <c r="I14" s="15"/>
      <c r="J14" s="15"/>
      <c r="K14" s="15"/>
      <c r="L14" s="16"/>
      <c r="M14" s="26">
        <f>IFERROR(VLOOKUP(tblRiskRegister32[[#This Row],[Asset Class]],tblVCDBIndex[],4,FALSE),"")</f>
        <v>1</v>
      </c>
      <c r="N14" s="29" t="str">
        <f>IFERROR(VLOOKUP(10*tblRiskRegister32[[#This Row],[Safeguard Maturity Score]]+tblRiskRegister32[[#This Row],[VCDB Index]],tblHITIndexWeightTable[],4,FALSE),"")</f>
        <v/>
      </c>
      <c r="O14" s="29" t="str">
        <f>VLOOKUP(tblRiskRegister32[[#This Row],[Asset Class]],tblInherentImpacts30[],2,FALSE)</f>
        <v/>
      </c>
      <c r="P14" s="29">
        <f>VLOOKUP(tblRiskRegister32[[#This Row],[Asset Class]],tblInherentImpacts30[],3,FALSE)</f>
        <v>0</v>
      </c>
      <c r="Q14" s="29">
        <f>VLOOKUP(tblRiskRegister32[[#This Row],[Asset Class]],tblInherentImpacts30[],4,FALSE)</f>
        <v>0</v>
      </c>
      <c r="R14" s="29">
        <f>VLOOKUP(tblRiskRegister32[[#This Row],[Asset Class]],tblInherentImpacts30[],5,FALSE)</f>
        <v>0</v>
      </c>
      <c r="S14" s="29" t="str">
        <f>IFERROR(MAX(tblRiskRegister32[[#This Row],[Impact to Mission]:[Impact to Obligations]])*tblRiskRegister32[[#This Row],[Expectancy Score]],"")</f>
        <v/>
      </c>
      <c r="T14" s="29" t="str">
        <f>tblRiskRegister32[[#This Row],[Risk Score]]</f>
        <v/>
      </c>
      <c r="U14" s="100"/>
      <c r="V14" s="112">
        <v>1.4</v>
      </c>
      <c r="W14" s="44" t="s">
        <v>250</v>
      </c>
      <c r="X14" s="44" t="s">
        <v>418</v>
      </c>
      <c r="Y14" s="30"/>
      <c r="Z14" s="16"/>
      <c r="AA14" s="27" t="str">
        <f>IFERROR(VLOOKUP(10*tblRiskRegister32[[#This Row],[Risk Treatment Safeguard Maturity Score]]+tblRiskRegister32[[#This Row],[VCDB Index]],tblHITIndexWeightTable[],4,FALSE),"")</f>
        <v/>
      </c>
      <c r="AB14" s="138" t="str">
        <f>VLOOKUP(tblRiskRegister32[[#This Row],[Asset Class]],tblInherentImpacts30[],2,FALSE)</f>
        <v/>
      </c>
      <c r="AC14" s="138">
        <f>VLOOKUP(tblRiskRegister32[[#This Row],[Asset Class]],tblInherentImpacts30[],3,FALSE)</f>
        <v>0</v>
      </c>
      <c r="AD14" s="138">
        <f>VLOOKUP(tblRiskRegister32[[#This Row],[Asset Class]],tblInherentImpacts30[],4,FALSE)</f>
        <v>0</v>
      </c>
      <c r="AE14" s="138">
        <f>VLOOKUP(tblRiskRegister32[[#This Row],[Asset Class]],tblInherentImpacts30[],5,FALSE)</f>
        <v>0</v>
      </c>
      <c r="AF14" s="138" t="str">
        <f>IFERROR(MAX(tblRiskRegister32[[#This Row],[Risk Treatment Safeguard Impact to Mission]:[Risk Treatment Safeguard Impact to Obligations]])*tblRiskRegister32[[#This Row],[Risk Treatment
Safeguard Expectancy Score]],"")</f>
        <v/>
      </c>
      <c r="AG14" s="138" t="str">
        <f>IF(tblRiskRegister32[[#This Row],[Risk Score]]&gt;AcceptableRisk,IF(tblRiskRegister32[[#This Row],[Risk Treatment Safeguard Risk Score]]&lt;AcceptableRisk, IF(tblRiskRegister32[[#This Row],[Risk Treatment Safeguard Risk Score]]&lt;=tblRiskRegister32[[#This Row],[Risk Score]],"Yes","No"),"No"),"Yes")</f>
        <v>No</v>
      </c>
      <c r="AH14" s="18"/>
      <c r="AI14" s="18"/>
      <c r="AJ14" s="19"/>
      <c r="AL14" s="20">
        <f>SUMIF(tblRiskRegister32[[#All],[Implementation Year]],"="&amp;tblCostImpacts33[[#This Row],[Year]],tblRiskRegister32[[#All],[Risk Treatment Safeguard Cost]])</f>
        <v>0</v>
      </c>
      <c r="AM14" s="6">
        <v>2024</v>
      </c>
      <c r="AN14" s="6" t="str">
        <f>IF(tblCostImpacts33[[#This Row],[Impact to Financial Objectives]]&lt;='2. Enterprise Parameters'!$F$13,"Yes","No")</f>
        <v>Yes</v>
      </c>
    </row>
    <row r="15" spans="2:40" ht="76.5" x14ac:dyDescent="0.2">
      <c r="B15" s="15" t="s">
        <v>132</v>
      </c>
      <c r="C15" s="15"/>
      <c r="D15" s="100">
        <v>2.1</v>
      </c>
      <c r="E15" s="14" t="s">
        <v>79</v>
      </c>
      <c r="F15" s="17" t="s">
        <v>785</v>
      </c>
      <c r="G15" s="17" t="s">
        <v>785</v>
      </c>
      <c r="H15" s="17" t="s">
        <v>926</v>
      </c>
      <c r="I15" s="15"/>
      <c r="J15" s="15"/>
      <c r="K15" s="15"/>
      <c r="L15" s="16"/>
      <c r="M15" s="26">
        <f>IFERROR(VLOOKUP(tblRiskRegister32[[#This Row],[Asset Class]],tblVCDBIndex[],4,FALSE),"")</f>
        <v>2</v>
      </c>
      <c r="N15" s="26" t="str">
        <f>IFERROR(VLOOKUP(10*tblRiskRegister32[[#This Row],[Safeguard Maturity Score]]+tblRiskRegister32[[#This Row],[VCDB Index]],tblHITIndexWeightTable[],4,FALSE),"")</f>
        <v/>
      </c>
      <c r="O15" s="26" t="str">
        <f>VLOOKUP(tblRiskRegister32[[#This Row],[Asset Class]],tblInherentImpacts30[],2,FALSE)</f>
        <v/>
      </c>
      <c r="P15" s="26">
        <f>VLOOKUP(tblRiskRegister32[[#This Row],[Asset Class]],tblInherentImpacts30[],3,FALSE)</f>
        <v>0</v>
      </c>
      <c r="Q15" s="26">
        <f>VLOOKUP(tblRiskRegister32[[#This Row],[Asset Class]],tblInherentImpacts30[],4,FALSE)</f>
        <v>0</v>
      </c>
      <c r="R15" s="26">
        <f>VLOOKUP(tblRiskRegister32[[#This Row],[Asset Class]],tblInherentImpacts30[],5,FALSE)</f>
        <v>0</v>
      </c>
      <c r="S15" s="26" t="str">
        <f>IFERROR(MAX(tblRiskRegister32[[#This Row],[Impact to Mission]:[Impact to Obligations]])*tblRiskRegister32[[#This Row],[Expectancy Score]],"")</f>
        <v/>
      </c>
      <c r="T15" s="26" t="str">
        <f>tblRiskRegister32[[#This Row],[Risk Score]]</f>
        <v/>
      </c>
      <c r="U15" s="100"/>
      <c r="V15" s="100">
        <v>2.1</v>
      </c>
      <c r="W15" s="15" t="s">
        <v>79</v>
      </c>
      <c r="X15" s="15" t="s">
        <v>419</v>
      </c>
      <c r="Y15" s="15"/>
      <c r="Z15" s="16"/>
      <c r="AA15" s="25" t="str">
        <f>IFERROR(VLOOKUP(10*tblRiskRegister32[[#This Row],[Risk Treatment Safeguard Maturity Score]]+tblRiskRegister32[[#This Row],[VCDB Index]],tblHITIndexWeightTable[],4,FALSE),"")</f>
        <v/>
      </c>
      <c r="AB15" s="138" t="str">
        <f>VLOOKUP(tblRiskRegister32[[#This Row],[Asset Class]],tblInherentImpacts30[],2,FALSE)</f>
        <v/>
      </c>
      <c r="AC15" s="138">
        <f>VLOOKUP(tblRiskRegister32[[#This Row],[Asset Class]],tblInherentImpacts30[],3,FALSE)</f>
        <v>0</v>
      </c>
      <c r="AD15" s="138">
        <f>VLOOKUP(tblRiskRegister32[[#This Row],[Asset Class]],tblInherentImpacts30[],4,FALSE)</f>
        <v>0</v>
      </c>
      <c r="AE15" s="138">
        <f>VLOOKUP(tblRiskRegister32[[#This Row],[Asset Class]],tblInherentImpacts30[],5,FALSE)</f>
        <v>0</v>
      </c>
      <c r="AF15" s="139" t="str">
        <f>IFERROR(MAX(tblRiskRegister32[[#This Row],[Risk Treatment Safeguard Impact to Mission]:[Risk Treatment Safeguard Impact to Obligations]])*tblRiskRegister32[[#This Row],[Risk Treatment
Safeguard Expectancy Score]],"")</f>
        <v/>
      </c>
      <c r="AG15" s="138" t="str">
        <f>IF(tblRiskRegister32[[#This Row],[Risk Score]]&gt;AcceptableRisk,IF(tblRiskRegister32[[#This Row],[Risk Treatment Safeguard Risk Score]]&lt;AcceptableRisk, IF(tblRiskRegister32[[#This Row],[Risk Treatment Safeguard Risk Score]]&lt;=tblRiskRegister32[[#This Row],[Risk Score]],"Yes","No"),"No"),"Yes")</f>
        <v>No</v>
      </c>
      <c r="AH15" s="18"/>
      <c r="AI15" s="18"/>
      <c r="AJ15" s="19"/>
      <c r="AL15" s="20">
        <f>SUMIF(tblRiskRegister32[[#All],[Implementation Year]],"="&amp;tblCostImpacts33[[#This Row],[Year]],tblRiskRegister32[[#All],[Risk Treatment Safeguard Cost]])</f>
        <v>0</v>
      </c>
      <c r="AM15" s="6">
        <v>2025</v>
      </c>
      <c r="AN15" s="6" t="str">
        <f>IF(tblCostImpacts33[[#This Row],[Impact to Financial Objectives]]&lt;='2. Enterprise Parameters'!$F$13,"Yes","No")</f>
        <v>Yes</v>
      </c>
    </row>
    <row r="16" spans="2:40" ht="89.25" x14ac:dyDescent="0.2">
      <c r="B16" s="15" t="s">
        <v>132</v>
      </c>
      <c r="C16" s="15"/>
      <c r="D16" s="100">
        <v>2.2000000000000002</v>
      </c>
      <c r="E16" s="14" t="s">
        <v>80</v>
      </c>
      <c r="F16" s="17" t="s">
        <v>785</v>
      </c>
      <c r="G16" s="17" t="s">
        <v>785</v>
      </c>
      <c r="H16" s="17" t="s">
        <v>926</v>
      </c>
      <c r="I16" s="15"/>
      <c r="J16" s="15"/>
      <c r="K16" s="15"/>
      <c r="L16" s="16"/>
      <c r="M16" s="26">
        <f>IFERROR(VLOOKUP(tblRiskRegister32[[#This Row],[Asset Class]],tblVCDBIndex[],4,FALSE),"")</f>
        <v>2</v>
      </c>
      <c r="N16" s="26" t="str">
        <f>IFERROR(VLOOKUP(10*tblRiskRegister32[[#This Row],[Safeguard Maturity Score]]+tblRiskRegister32[[#This Row],[VCDB Index]],tblHITIndexWeightTable[],4,FALSE),"")</f>
        <v/>
      </c>
      <c r="O16" s="26" t="str">
        <f>VLOOKUP(tblRiskRegister32[[#This Row],[Asset Class]],tblInherentImpacts30[],2,FALSE)</f>
        <v/>
      </c>
      <c r="P16" s="26">
        <f>VLOOKUP(tblRiskRegister32[[#This Row],[Asset Class]],tblInherentImpacts30[],3,FALSE)</f>
        <v>0</v>
      </c>
      <c r="Q16" s="26">
        <f>VLOOKUP(tblRiskRegister32[[#This Row],[Asset Class]],tblInherentImpacts30[],4,FALSE)</f>
        <v>0</v>
      </c>
      <c r="R16" s="26">
        <f>VLOOKUP(tblRiskRegister32[[#This Row],[Asset Class]],tblInherentImpacts30[],5,FALSE)</f>
        <v>0</v>
      </c>
      <c r="S16" s="26" t="str">
        <f>IFERROR(MAX(tblRiskRegister32[[#This Row],[Impact to Mission]:[Impact to Obligations]])*tblRiskRegister32[[#This Row],[Expectancy Score]],"")</f>
        <v/>
      </c>
      <c r="T16" s="26" t="str">
        <f>tblRiskRegister32[[#This Row],[Risk Score]]</f>
        <v/>
      </c>
      <c r="U16" s="100"/>
      <c r="V16" s="100">
        <v>2.2000000000000002</v>
      </c>
      <c r="W16" s="15" t="s">
        <v>80</v>
      </c>
      <c r="X16" s="15" t="s">
        <v>420</v>
      </c>
      <c r="Y16" s="15"/>
      <c r="Z16" s="16"/>
      <c r="AA16" s="27" t="str">
        <f>IFERROR(VLOOKUP(10*tblRiskRegister32[[#This Row],[Risk Treatment Safeguard Maturity Score]]+tblRiskRegister32[[#This Row],[VCDB Index]],tblHITIndexWeightTable[],4,FALSE),"")</f>
        <v/>
      </c>
      <c r="AB16" s="138" t="str">
        <f>VLOOKUP(tblRiskRegister32[[#This Row],[Asset Class]],tblInherentImpacts30[],2,FALSE)</f>
        <v/>
      </c>
      <c r="AC16" s="138">
        <f>VLOOKUP(tblRiskRegister32[[#This Row],[Asset Class]],tblInherentImpacts30[],3,FALSE)</f>
        <v>0</v>
      </c>
      <c r="AD16" s="138">
        <f>VLOOKUP(tblRiskRegister32[[#This Row],[Asset Class]],tblInherentImpacts30[],4,FALSE)</f>
        <v>0</v>
      </c>
      <c r="AE16" s="138">
        <f>VLOOKUP(tblRiskRegister32[[#This Row],[Asset Class]],tblInherentImpacts30[],5,FALSE)</f>
        <v>0</v>
      </c>
      <c r="AF16" s="138" t="str">
        <f>IFERROR(MAX(tblRiskRegister32[[#This Row],[Risk Treatment Safeguard Impact to Mission]:[Risk Treatment Safeguard Impact to Obligations]])*tblRiskRegister32[[#This Row],[Risk Treatment
Safeguard Expectancy Score]],"")</f>
        <v/>
      </c>
      <c r="AG16" s="138" t="str">
        <f>IF(tblRiskRegister32[[#This Row],[Risk Score]]&gt;AcceptableRisk,IF(tblRiskRegister32[[#This Row],[Risk Treatment Safeguard Risk Score]]&lt;AcceptableRisk, IF(tblRiskRegister32[[#This Row],[Risk Treatment Safeguard Risk Score]]&lt;=tblRiskRegister32[[#This Row],[Risk Score]],"Yes","No"),"No"),"Yes")</f>
        <v>No</v>
      </c>
      <c r="AH16" s="18"/>
      <c r="AI16" s="18"/>
      <c r="AJ16" s="19"/>
      <c r="AL16" s="20">
        <f>SUMIF(tblRiskRegister32[[#All],[Implementation Year]],"="&amp;tblCostImpacts33[[#This Row],[Year]],tblRiskRegister32[[#All],[Risk Treatment Safeguard Cost]])</f>
        <v>0</v>
      </c>
      <c r="AM16" s="6">
        <v>2026</v>
      </c>
      <c r="AN16" s="6" t="str">
        <f>IF(tblCostImpacts33[[#This Row],[Impact to Financial Objectives]]&lt;='2. Enterprise Parameters'!$F$13,"Yes","No")</f>
        <v>Yes</v>
      </c>
    </row>
    <row r="17" spans="2:40" ht="38.25" x14ac:dyDescent="0.2">
      <c r="B17" s="15" t="s">
        <v>132</v>
      </c>
      <c r="C17" s="15"/>
      <c r="D17" s="100">
        <v>2.2999999999999998</v>
      </c>
      <c r="E17" s="14" t="s">
        <v>81</v>
      </c>
      <c r="F17" s="17" t="s">
        <v>785</v>
      </c>
      <c r="G17" s="17" t="s">
        <v>785</v>
      </c>
      <c r="H17" s="17" t="s">
        <v>927</v>
      </c>
      <c r="I17" s="15"/>
      <c r="J17" s="15"/>
      <c r="K17" s="15"/>
      <c r="L17" s="16"/>
      <c r="M17" s="26">
        <f>IFERROR(VLOOKUP(tblRiskRegister32[[#This Row],[Asset Class]],tblVCDBIndex[],4,FALSE),"")</f>
        <v>2</v>
      </c>
      <c r="N17" s="26" t="str">
        <f>IFERROR(VLOOKUP(10*tblRiskRegister32[[#This Row],[Safeguard Maturity Score]]+tblRiskRegister32[[#This Row],[VCDB Index]],tblHITIndexWeightTable[],4,FALSE),"")</f>
        <v/>
      </c>
      <c r="O17" s="26" t="str">
        <f>VLOOKUP(tblRiskRegister32[[#This Row],[Asset Class]],tblInherentImpacts30[],2,FALSE)</f>
        <v/>
      </c>
      <c r="P17" s="26">
        <f>VLOOKUP(tblRiskRegister32[[#This Row],[Asset Class]],tblInherentImpacts30[],3,FALSE)</f>
        <v>0</v>
      </c>
      <c r="Q17" s="26">
        <f>VLOOKUP(tblRiskRegister32[[#This Row],[Asset Class]],tblInherentImpacts30[],4,FALSE)</f>
        <v>0</v>
      </c>
      <c r="R17" s="26">
        <f>VLOOKUP(tblRiskRegister32[[#This Row],[Asset Class]],tblInherentImpacts30[],5,FALSE)</f>
        <v>0</v>
      </c>
      <c r="S17" s="26" t="str">
        <f>IFERROR(MAX(tblRiskRegister32[[#This Row],[Impact to Mission]:[Impact to Obligations]])*tblRiskRegister32[[#This Row],[Expectancy Score]],"")</f>
        <v/>
      </c>
      <c r="T17" s="26" t="str">
        <f>tblRiskRegister32[[#This Row],[Risk Score]]</f>
        <v/>
      </c>
      <c r="U17" s="100"/>
      <c r="V17" s="100">
        <v>2.2999999999999998</v>
      </c>
      <c r="W17" s="15" t="s">
        <v>81</v>
      </c>
      <c r="X17" s="15" t="s">
        <v>421</v>
      </c>
      <c r="Y17" s="15"/>
      <c r="Z17" s="16"/>
      <c r="AA17" s="27" t="str">
        <f>IFERROR(VLOOKUP(10*tblRiskRegister32[[#This Row],[Risk Treatment Safeguard Maturity Score]]+tblRiskRegister32[[#This Row],[VCDB Index]],tblHITIndexWeightTable[],4,FALSE),"")</f>
        <v/>
      </c>
      <c r="AB17" s="138" t="str">
        <f>VLOOKUP(tblRiskRegister32[[#This Row],[Asset Class]],tblInherentImpacts30[],2,FALSE)</f>
        <v/>
      </c>
      <c r="AC17" s="138">
        <f>VLOOKUP(tblRiskRegister32[[#This Row],[Asset Class]],tblInherentImpacts30[],3,FALSE)</f>
        <v>0</v>
      </c>
      <c r="AD17" s="138">
        <f>VLOOKUP(tblRiskRegister32[[#This Row],[Asset Class]],tblInherentImpacts30[],4,FALSE)</f>
        <v>0</v>
      </c>
      <c r="AE17" s="138">
        <f>VLOOKUP(tblRiskRegister32[[#This Row],[Asset Class]],tblInherentImpacts30[],5,FALSE)</f>
        <v>0</v>
      </c>
      <c r="AF17" s="138" t="str">
        <f>IFERROR(MAX(tblRiskRegister32[[#This Row],[Risk Treatment Safeguard Impact to Mission]:[Risk Treatment Safeguard Impact to Obligations]])*tblRiskRegister32[[#This Row],[Risk Treatment
Safeguard Expectancy Score]],"")</f>
        <v/>
      </c>
      <c r="AG17" s="138" t="str">
        <f>IF(tblRiskRegister32[[#This Row],[Risk Score]]&gt;AcceptableRisk,IF(tblRiskRegister32[[#This Row],[Risk Treatment Safeguard Risk Score]]&lt;AcceptableRisk, IF(tblRiskRegister32[[#This Row],[Risk Treatment Safeguard Risk Score]]&lt;=tblRiskRegister32[[#This Row],[Risk Score]],"Yes","No"),"No"),"Yes")</f>
        <v>No</v>
      </c>
      <c r="AH17" s="18"/>
      <c r="AI17" s="18"/>
      <c r="AJ17" s="19"/>
      <c r="AL17" s="20">
        <f>SUMIF(tblRiskRegister32[[#All],[Implementation Year]],"="&amp;tblCostImpacts33[[#This Row],[Year]],tblRiskRegister32[[#All],[Risk Treatment Safeguard Cost]])</f>
        <v>0</v>
      </c>
      <c r="AM17" s="6">
        <v>2027</v>
      </c>
      <c r="AN17" s="6" t="str">
        <f>IF(tblCostImpacts33[[#This Row],[Impact to Financial Objectives]]&lt;='2. Enterprise Parameters'!$F$13,"Yes","No")</f>
        <v>Yes</v>
      </c>
    </row>
    <row r="18" spans="2:40" ht="25.5" x14ac:dyDescent="0.2">
      <c r="B18" s="15" t="s">
        <v>132</v>
      </c>
      <c r="C18" s="15"/>
      <c r="D18" s="100">
        <v>2.4</v>
      </c>
      <c r="E18" s="14" t="s">
        <v>226</v>
      </c>
      <c r="F18" s="17"/>
      <c r="G18" s="17" t="s">
        <v>785</v>
      </c>
      <c r="H18" s="17" t="s">
        <v>929</v>
      </c>
      <c r="I18" s="15"/>
      <c r="J18" s="15"/>
      <c r="K18" s="15"/>
      <c r="L18" s="16"/>
      <c r="M18" s="26">
        <f>IFERROR(VLOOKUP(tblRiskRegister32[[#This Row],[Asset Class]],tblVCDBIndex[],4,FALSE),"")</f>
        <v>2</v>
      </c>
      <c r="N18" s="26" t="str">
        <f>IFERROR(VLOOKUP(10*tblRiskRegister32[[#This Row],[Safeguard Maturity Score]]+tblRiskRegister32[[#This Row],[VCDB Index]],tblHITIndexWeightTable[],4,FALSE),"")</f>
        <v/>
      </c>
      <c r="O18" s="26" t="str">
        <f>VLOOKUP(tblRiskRegister32[[#This Row],[Asset Class]],tblInherentImpacts30[],2,FALSE)</f>
        <v/>
      </c>
      <c r="P18" s="26">
        <f>VLOOKUP(tblRiskRegister32[[#This Row],[Asset Class]],tblInherentImpacts30[],3,FALSE)</f>
        <v>0</v>
      </c>
      <c r="Q18" s="26">
        <f>VLOOKUP(tblRiskRegister32[[#This Row],[Asset Class]],tblInherentImpacts30[],4,FALSE)</f>
        <v>0</v>
      </c>
      <c r="R18" s="26">
        <f>VLOOKUP(tblRiskRegister32[[#This Row],[Asset Class]],tblInherentImpacts30[],5,FALSE)</f>
        <v>0</v>
      </c>
      <c r="S18" s="26" t="str">
        <f>IFERROR(MAX(tblRiskRegister32[[#This Row],[Impact to Mission]:[Impact to Obligations]])*tblRiskRegister32[[#This Row],[Expectancy Score]],"")</f>
        <v/>
      </c>
      <c r="T18" s="26" t="str">
        <f>tblRiskRegister32[[#This Row],[Risk Score]]</f>
        <v/>
      </c>
      <c r="U18" s="100"/>
      <c r="V18" s="100">
        <v>2.4</v>
      </c>
      <c r="W18" s="15" t="s">
        <v>226</v>
      </c>
      <c r="X18" s="15" t="s">
        <v>422</v>
      </c>
      <c r="Y18" s="15"/>
      <c r="Z18" s="16"/>
      <c r="AA18" s="27" t="str">
        <f>IFERROR(VLOOKUP(10*tblRiskRegister32[[#This Row],[Risk Treatment Safeguard Maturity Score]]+tblRiskRegister32[[#This Row],[VCDB Index]],tblHITIndexWeightTable[],4,FALSE),"")</f>
        <v/>
      </c>
      <c r="AB18" s="138" t="str">
        <f>VLOOKUP(tblRiskRegister32[[#This Row],[Asset Class]],tblInherentImpacts30[],2,FALSE)</f>
        <v/>
      </c>
      <c r="AC18" s="138">
        <f>VLOOKUP(tblRiskRegister32[[#This Row],[Asset Class]],tblInherentImpacts30[],3,FALSE)</f>
        <v>0</v>
      </c>
      <c r="AD18" s="138">
        <f>VLOOKUP(tblRiskRegister32[[#This Row],[Asset Class]],tblInherentImpacts30[],4,FALSE)</f>
        <v>0</v>
      </c>
      <c r="AE18" s="138">
        <f>VLOOKUP(tblRiskRegister32[[#This Row],[Asset Class]],tblInherentImpacts30[],5,FALSE)</f>
        <v>0</v>
      </c>
      <c r="AF18" s="138" t="str">
        <f>IFERROR(MAX(tblRiskRegister32[[#This Row],[Risk Treatment Safeguard Impact to Mission]:[Risk Treatment Safeguard Impact to Obligations]])*tblRiskRegister32[[#This Row],[Risk Treatment
Safeguard Expectancy Score]],"")</f>
        <v/>
      </c>
      <c r="AG18" s="138" t="str">
        <f>IF(tblRiskRegister32[[#This Row],[Risk Score]]&gt;AcceptableRisk,IF(tblRiskRegister32[[#This Row],[Risk Treatment Safeguard Risk Score]]&lt;AcceptableRisk, IF(tblRiskRegister32[[#This Row],[Risk Treatment Safeguard Risk Score]]&lt;=tblRiskRegister32[[#This Row],[Risk Score]],"Yes","No"),"No"),"Yes")</f>
        <v>No</v>
      </c>
      <c r="AH18" s="18"/>
      <c r="AI18" s="18"/>
      <c r="AJ18" s="19"/>
      <c r="AL18" s="20">
        <f>SUMIF(tblRiskRegister32[[#All],[Implementation Year]],"="&amp;tblCostImpacts33[[#This Row],[Year]],tblRiskRegister32[[#All],[Risk Treatment Safeguard Cost]])</f>
        <v>0</v>
      </c>
      <c r="AM18" s="6">
        <v>2028</v>
      </c>
      <c r="AN18" s="6" t="str">
        <f>IF(tblCostImpacts33[[#This Row],[Impact to Financial Objectives]]&lt;='2. Enterprise Parameters'!$F$13,"Yes","No")</f>
        <v>Yes</v>
      </c>
    </row>
    <row r="19" spans="2:40" ht="38.25" x14ac:dyDescent="0.2">
      <c r="B19" s="15" t="s">
        <v>132</v>
      </c>
      <c r="C19" s="15"/>
      <c r="D19" s="100">
        <v>2.5</v>
      </c>
      <c r="E19" s="14" t="s">
        <v>227</v>
      </c>
      <c r="F19" s="17"/>
      <c r="G19" s="17" t="s">
        <v>785</v>
      </c>
      <c r="H19" s="17" t="s">
        <v>928</v>
      </c>
      <c r="I19" s="15"/>
      <c r="J19" s="15"/>
      <c r="K19" s="15"/>
      <c r="L19" s="16"/>
      <c r="M19" s="26">
        <f>IFERROR(VLOOKUP(tblRiskRegister32[[#This Row],[Asset Class]],tblVCDBIndex[],4,FALSE),"")</f>
        <v>2</v>
      </c>
      <c r="N19" s="26" t="str">
        <f>IFERROR(VLOOKUP(10*tblRiskRegister32[[#This Row],[Safeguard Maturity Score]]+tblRiskRegister32[[#This Row],[VCDB Index]],tblHITIndexWeightTable[],4,FALSE),"")</f>
        <v/>
      </c>
      <c r="O19" s="26" t="str">
        <f>VLOOKUP(tblRiskRegister32[[#This Row],[Asset Class]],tblInherentImpacts30[],2,FALSE)</f>
        <v/>
      </c>
      <c r="P19" s="26">
        <f>VLOOKUP(tblRiskRegister32[[#This Row],[Asset Class]],tblInherentImpacts30[],3,FALSE)</f>
        <v>0</v>
      </c>
      <c r="Q19" s="26">
        <f>VLOOKUP(tblRiskRegister32[[#This Row],[Asset Class]],tblInherentImpacts30[],4,FALSE)</f>
        <v>0</v>
      </c>
      <c r="R19" s="26">
        <f>VLOOKUP(tblRiskRegister32[[#This Row],[Asset Class]],tblInherentImpacts30[],5,FALSE)</f>
        <v>0</v>
      </c>
      <c r="S19" s="26" t="str">
        <f>IFERROR(MAX(tblRiskRegister32[[#This Row],[Impact to Mission]:[Impact to Obligations]])*tblRiskRegister32[[#This Row],[Expectancy Score]],"")</f>
        <v/>
      </c>
      <c r="T19" s="26" t="str">
        <f>tblRiskRegister32[[#This Row],[Risk Score]]</f>
        <v/>
      </c>
      <c r="U19" s="100"/>
      <c r="V19" s="100">
        <v>2.5</v>
      </c>
      <c r="W19" s="15" t="s">
        <v>227</v>
      </c>
      <c r="X19" s="15" t="s">
        <v>423</v>
      </c>
      <c r="Y19" s="15"/>
      <c r="Z19" s="16"/>
      <c r="AA19" s="27" t="str">
        <f>IFERROR(VLOOKUP(10*tblRiskRegister32[[#This Row],[Risk Treatment Safeguard Maturity Score]]+tblRiskRegister32[[#This Row],[VCDB Index]],tblHITIndexWeightTable[],4,FALSE),"")</f>
        <v/>
      </c>
      <c r="AB19" s="138" t="str">
        <f>VLOOKUP(tblRiskRegister32[[#This Row],[Asset Class]],tblInherentImpacts30[],2,FALSE)</f>
        <v/>
      </c>
      <c r="AC19" s="138">
        <f>VLOOKUP(tblRiskRegister32[[#This Row],[Asset Class]],tblInherentImpacts30[],3,FALSE)</f>
        <v>0</v>
      </c>
      <c r="AD19" s="138">
        <f>VLOOKUP(tblRiskRegister32[[#This Row],[Asset Class]],tblInherentImpacts30[],4,FALSE)</f>
        <v>0</v>
      </c>
      <c r="AE19" s="138">
        <f>VLOOKUP(tblRiskRegister32[[#This Row],[Asset Class]],tblInherentImpacts30[],5,FALSE)</f>
        <v>0</v>
      </c>
      <c r="AF19" s="138" t="str">
        <f>IFERROR(MAX(tblRiskRegister32[[#This Row],[Risk Treatment Safeguard Impact to Mission]:[Risk Treatment Safeguard Impact to Obligations]])*tblRiskRegister32[[#This Row],[Risk Treatment
Safeguard Expectancy Score]],"")</f>
        <v/>
      </c>
      <c r="AG19" s="138" t="str">
        <f>IF(tblRiskRegister32[[#This Row],[Risk Score]]&gt;AcceptableRisk,IF(tblRiskRegister32[[#This Row],[Risk Treatment Safeguard Risk Score]]&lt;AcceptableRisk, IF(tblRiskRegister32[[#This Row],[Risk Treatment Safeguard Risk Score]]&lt;=tblRiskRegister32[[#This Row],[Risk Score]],"Yes","No"),"No"),"Yes")</f>
        <v>No</v>
      </c>
      <c r="AH19" s="18"/>
      <c r="AI19" s="18"/>
      <c r="AJ19" s="19"/>
      <c r="AL19" s="20">
        <f>SUMIF(tblRiskRegister32[[#All],[Implementation Year]],"="&amp;tblCostImpacts33[[#This Row],[Year]],tblRiskRegister32[[#All],[Risk Treatment Safeguard Cost]])</f>
        <v>0</v>
      </c>
      <c r="AM19" s="6">
        <v>2029</v>
      </c>
      <c r="AN19" s="6" t="str">
        <f>IF(tblCostImpacts33[[#This Row],[Impact to Financial Objectives]]&lt;='2. Enterprise Parameters'!$F$13,"Yes","No")</f>
        <v>Yes</v>
      </c>
    </row>
    <row r="20" spans="2:40" ht="51" x14ac:dyDescent="0.2">
      <c r="B20" s="15" t="s">
        <v>132</v>
      </c>
      <c r="C20" s="15"/>
      <c r="D20" s="100">
        <v>2.6</v>
      </c>
      <c r="E20" s="14" t="s">
        <v>228</v>
      </c>
      <c r="F20" s="17"/>
      <c r="G20" s="17" t="s">
        <v>785</v>
      </c>
      <c r="H20" s="17" t="s">
        <v>928</v>
      </c>
      <c r="I20" s="15"/>
      <c r="J20" s="15"/>
      <c r="K20" s="15"/>
      <c r="L20" s="16"/>
      <c r="M20" s="26">
        <f>IFERROR(VLOOKUP(tblRiskRegister32[[#This Row],[Asset Class]],tblVCDBIndex[],4,FALSE),"")</f>
        <v>2</v>
      </c>
      <c r="N20" s="26" t="str">
        <f>IFERROR(VLOOKUP(10*tblRiskRegister32[[#This Row],[Safeguard Maturity Score]]+tblRiskRegister32[[#This Row],[VCDB Index]],tblHITIndexWeightTable[],4,FALSE),"")</f>
        <v/>
      </c>
      <c r="O20" s="26" t="str">
        <f>VLOOKUP(tblRiskRegister32[[#This Row],[Asset Class]],tblInherentImpacts30[],2,FALSE)</f>
        <v/>
      </c>
      <c r="P20" s="26">
        <f>VLOOKUP(tblRiskRegister32[[#This Row],[Asset Class]],tblInherentImpacts30[],3,FALSE)</f>
        <v>0</v>
      </c>
      <c r="Q20" s="26">
        <f>VLOOKUP(tblRiskRegister32[[#This Row],[Asset Class]],tblInherentImpacts30[],4,FALSE)</f>
        <v>0</v>
      </c>
      <c r="R20" s="26">
        <f>VLOOKUP(tblRiskRegister32[[#This Row],[Asset Class]],tblInherentImpacts30[],5,FALSE)</f>
        <v>0</v>
      </c>
      <c r="S20" s="26" t="str">
        <f>IFERROR(MAX(tblRiskRegister32[[#This Row],[Impact to Mission]:[Impact to Obligations]])*tblRiskRegister32[[#This Row],[Expectancy Score]],"")</f>
        <v/>
      </c>
      <c r="T20" s="26" t="str">
        <f>tblRiskRegister32[[#This Row],[Risk Score]]</f>
        <v/>
      </c>
      <c r="U20" s="100"/>
      <c r="V20" s="100">
        <v>2.6</v>
      </c>
      <c r="W20" s="15" t="s">
        <v>228</v>
      </c>
      <c r="X20" s="15" t="s">
        <v>424</v>
      </c>
      <c r="Y20" s="15"/>
      <c r="Z20" s="16"/>
      <c r="AA20" s="27" t="str">
        <f>IFERROR(VLOOKUP(10*tblRiskRegister32[[#This Row],[Risk Treatment Safeguard Maturity Score]]+tblRiskRegister32[[#This Row],[VCDB Index]],tblHITIndexWeightTable[],4,FALSE),"")</f>
        <v/>
      </c>
      <c r="AB20" s="138" t="str">
        <f>VLOOKUP(tblRiskRegister32[[#This Row],[Asset Class]],tblInherentImpacts30[],2,FALSE)</f>
        <v/>
      </c>
      <c r="AC20" s="138">
        <f>VLOOKUP(tblRiskRegister32[[#This Row],[Asset Class]],tblInherentImpacts30[],3,FALSE)</f>
        <v>0</v>
      </c>
      <c r="AD20" s="138">
        <f>VLOOKUP(tblRiskRegister32[[#This Row],[Asset Class]],tblInherentImpacts30[],4,FALSE)</f>
        <v>0</v>
      </c>
      <c r="AE20" s="138">
        <f>VLOOKUP(tblRiskRegister32[[#This Row],[Asset Class]],tblInherentImpacts30[],5,FALSE)</f>
        <v>0</v>
      </c>
      <c r="AF20" s="138" t="str">
        <f>IFERROR(MAX(tblRiskRegister32[[#This Row],[Risk Treatment Safeguard Impact to Mission]:[Risk Treatment Safeguard Impact to Obligations]])*tblRiskRegister32[[#This Row],[Risk Treatment
Safeguard Expectancy Score]],"")</f>
        <v/>
      </c>
      <c r="AG20" s="138" t="str">
        <f>IF(tblRiskRegister32[[#This Row],[Risk Score]]&gt;AcceptableRisk,IF(tblRiskRegister32[[#This Row],[Risk Treatment Safeguard Risk Score]]&lt;AcceptableRisk, IF(tblRiskRegister32[[#This Row],[Risk Treatment Safeguard Risk Score]]&lt;=tblRiskRegister32[[#This Row],[Risk Score]],"Yes","No"),"No"),"Yes")</f>
        <v>No</v>
      </c>
      <c r="AH20" s="18"/>
      <c r="AI20" s="18"/>
      <c r="AJ20" s="19"/>
      <c r="AL20" s="20">
        <f>SUMIF(tblRiskRegister32[[#All],[Implementation Year]],"="&amp;tblCostImpacts33[[#This Row],[Year]],tblRiskRegister32[[#All],[Risk Treatment Safeguard Cost]])</f>
        <v>0</v>
      </c>
      <c r="AM20" s="6">
        <v>2030</v>
      </c>
      <c r="AN20" s="6" t="str">
        <f>IF(tblCostImpacts33[[#This Row],[Impact to Financial Objectives]]&lt;='2. Enterprise Parameters'!$F$13,"Yes","No")</f>
        <v>Yes</v>
      </c>
    </row>
    <row r="21" spans="2:40" ht="63.75" x14ac:dyDescent="0.2">
      <c r="B21" s="15" t="s">
        <v>130</v>
      </c>
      <c r="C21" s="15"/>
      <c r="D21" s="100">
        <v>3.1</v>
      </c>
      <c r="E21" s="14" t="s">
        <v>82</v>
      </c>
      <c r="F21" s="17" t="s">
        <v>785</v>
      </c>
      <c r="G21" s="17" t="s">
        <v>785</v>
      </c>
      <c r="H21" s="17" t="s">
        <v>926</v>
      </c>
      <c r="I21" s="15"/>
      <c r="J21" s="15"/>
      <c r="K21" s="15"/>
      <c r="L21" s="16"/>
      <c r="M21" s="26">
        <f>IFERROR(VLOOKUP(tblRiskRegister32[[#This Row],[Asset Class]],tblVCDBIndex[],4,FALSE),"")</f>
        <v>3</v>
      </c>
      <c r="N21" s="26" t="str">
        <f>IFERROR(VLOOKUP(10*tblRiskRegister32[[#This Row],[Safeguard Maturity Score]]+tblRiskRegister32[[#This Row],[VCDB Index]],tblHITIndexWeightTable[],4,FALSE),"")</f>
        <v/>
      </c>
      <c r="O21" s="26" t="str">
        <f>VLOOKUP(tblRiskRegister32[[#This Row],[Asset Class]],tblInherentImpacts30[],2,FALSE)</f>
        <v/>
      </c>
      <c r="P21" s="26">
        <f>VLOOKUP(tblRiskRegister32[[#This Row],[Asset Class]],tblInherentImpacts30[],3,FALSE)</f>
        <v>0</v>
      </c>
      <c r="Q21" s="26">
        <f>VLOOKUP(tblRiskRegister32[[#This Row],[Asset Class]],tblInherentImpacts30[],4,FALSE)</f>
        <v>0</v>
      </c>
      <c r="R21" s="26">
        <f>VLOOKUP(tblRiskRegister32[[#This Row],[Asset Class]],tblInherentImpacts30[],5,FALSE)</f>
        <v>0</v>
      </c>
      <c r="S21" s="26" t="str">
        <f>IFERROR(MAX(tblRiskRegister32[[#This Row],[Impact to Mission]:[Impact to Obligations]])*tblRiskRegister32[[#This Row],[Expectancy Score]],"")</f>
        <v/>
      </c>
      <c r="T21" s="26" t="str">
        <f>tblRiskRegister32[[#This Row],[Risk Score]]</f>
        <v/>
      </c>
      <c r="U21" s="100"/>
      <c r="V21" s="100">
        <v>3.1</v>
      </c>
      <c r="W21" s="15" t="s">
        <v>82</v>
      </c>
      <c r="X21" s="15" t="s">
        <v>425</v>
      </c>
      <c r="Y21" s="15"/>
      <c r="Z21" s="16"/>
      <c r="AA21" s="27" t="str">
        <f>IFERROR(VLOOKUP(10*tblRiskRegister32[[#This Row],[Risk Treatment Safeguard Maturity Score]]+tblRiskRegister32[[#This Row],[VCDB Index]],tblHITIndexWeightTable[],4,FALSE),"")</f>
        <v/>
      </c>
      <c r="AB21" s="138" t="str">
        <f>VLOOKUP(tblRiskRegister32[[#This Row],[Asset Class]],tblInherentImpacts30[],2,FALSE)</f>
        <v/>
      </c>
      <c r="AC21" s="138">
        <f>VLOOKUP(tblRiskRegister32[[#This Row],[Asset Class]],tblInherentImpacts30[],3,FALSE)</f>
        <v>0</v>
      </c>
      <c r="AD21" s="138">
        <f>VLOOKUP(tblRiskRegister32[[#This Row],[Asset Class]],tblInherentImpacts30[],4,FALSE)</f>
        <v>0</v>
      </c>
      <c r="AE21" s="138">
        <f>VLOOKUP(tblRiskRegister32[[#This Row],[Asset Class]],tblInherentImpacts30[],5,FALSE)</f>
        <v>0</v>
      </c>
      <c r="AF21" s="138" t="str">
        <f>IFERROR(MAX(tblRiskRegister32[[#This Row],[Risk Treatment Safeguard Impact to Mission]:[Risk Treatment Safeguard Impact to Obligations]])*tblRiskRegister32[[#This Row],[Risk Treatment
Safeguard Expectancy Score]],"")</f>
        <v/>
      </c>
      <c r="AG21" s="138" t="str">
        <f>IF(tblRiskRegister32[[#This Row],[Risk Score]]&gt;AcceptableRisk,IF(tblRiskRegister32[[#This Row],[Risk Treatment Safeguard Risk Score]]&lt;AcceptableRisk, IF(tblRiskRegister32[[#This Row],[Risk Treatment Safeguard Risk Score]]&lt;=tblRiskRegister32[[#This Row],[Risk Score]],"Yes","No"),"No"),"Yes")</f>
        <v>No</v>
      </c>
      <c r="AH21" s="18"/>
      <c r="AI21" s="18"/>
      <c r="AJ21" s="19"/>
    </row>
    <row r="22" spans="2:40" ht="38.25" x14ac:dyDescent="0.2">
      <c r="B22" s="15" t="s">
        <v>130</v>
      </c>
      <c r="C22" s="15"/>
      <c r="D22" s="100">
        <v>3.2</v>
      </c>
      <c r="E22" s="14" t="s">
        <v>83</v>
      </c>
      <c r="F22" s="17" t="s">
        <v>785</v>
      </c>
      <c r="G22" s="17" t="s">
        <v>785</v>
      </c>
      <c r="H22" s="17" t="s">
        <v>926</v>
      </c>
      <c r="I22" s="15"/>
      <c r="J22" s="15"/>
      <c r="K22" s="15"/>
      <c r="L22" s="16"/>
      <c r="M22" s="26">
        <f>IFERROR(VLOOKUP(tblRiskRegister32[[#This Row],[Asset Class]],tblVCDBIndex[],4,FALSE),"")</f>
        <v>3</v>
      </c>
      <c r="N22" s="26" t="str">
        <f>IFERROR(VLOOKUP(10*tblRiskRegister32[[#This Row],[Safeguard Maturity Score]]+tblRiskRegister32[[#This Row],[VCDB Index]],tblHITIndexWeightTable[],4,FALSE),"")</f>
        <v/>
      </c>
      <c r="O22" s="26" t="str">
        <f>VLOOKUP(tblRiskRegister32[[#This Row],[Asset Class]],tblInherentImpacts30[],2,FALSE)</f>
        <v/>
      </c>
      <c r="P22" s="26">
        <f>VLOOKUP(tblRiskRegister32[[#This Row],[Asset Class]],tblInherentImpacts30[],3,FALSE)</f>
        <v>0</v>
      </c>
      <c r="Q22" s="26">
        <f>VLOOKUP(tblRiskRegister32[[#This Row],[Asset Class]],tblInherentImpacts30[],4,FALSE)</f>
        <v>0</v>
      </c>
      <c r="R22" s="26">
        <f>VLOOKUP(tblRiskRegister32[[#This Row],[Asset Class]],tblInherentImpacts30[],5,FALSE)</f>
        <v>0</v>
      </c>
      <c r="S22" s="26" t="str">
        <f>IFERROR(MAX(tblRiskRegister32[[#This Row],[Impact to Mission]:[Impact to Obligations]])*tblRiskRegister32[[#This Row],[Expectancy Score]],"")</f>
        <v/>
      </c>
      <c r="T22" s="26" t="str">
        <f>tblRiskRegister32[[#This Row],[Risk Score]]</f>
        <v/>
      </c>
      <c r="U22" s="100"/>
      <c r="V22" s="100">
        <v>3.2</v>
      </c>
      <c r="W22" s="15" t="s">
        <v>83</v>
      </c>
      <c r="X22" s="15" t="s">
        <v>426</v>
      </c>
      <c r="Y22" s="15"/>
      <c r="Z22" s="16"/>
      <c r="AA22" s="27" t="str">
        <f>IFERROR(VLOOKUP(10*tblRiskRegister32[[#This Row],[Risk Treatment Safeguard Maturity Score]]+tblRiskRegister32[[#This Row],[VCDB Index]],tblHITIndexWeightTable[],4,FALSE),"")</f>
        <v/>
      </c>
      <c r="AB22" s="138" t="str">
        <f>VLOOKUP(tblRiskRegister32[[#This Row],[Asset Class]],tblInherentImpacts30[],2,FALSE)</f>
        <v/>
      </c>
      <c r="AC22" s="138">
        <f>VLOOKUP(tblRiskRegister32[[#This Row],[Asset Class]],tblInherentImpacts30[],3,FALSE)</f>
        <v>0</v>
      </c>
      <c r="AD22" s="138">
        <f>VLOOKUP(tblRiskRegister32[[#This Row],[Asset Class]],tblInherentImpacts30[],4,FALSE)</f>
        <v>0</v>
      </c>
      <c r="AE22" s="138">
        <f>VLOOKUP(tblRiskRegister32[[#This Row],[Asset Class]],tblInherentImpacts30[],5,FALSE)</f>
        <v>0</v>
      </c>
      <c r="AF22" s="138" t="str">
        <f>IFERROR(MAX(tblRiskRegister32[[#This Row],[Risk Treatment Safeguard Impact to Mission]:[Risk Treatment Safeguard Impact to Obligations]])*tblRiskRegister32[[#This Row],[Risk Treatment
Safeguard Expectancy Score]],"")</f>
        <v/>
      </c>
      <c r="AG22" s="138" t="str">
        <f>IF(tblRiskRegister32[[#This Row],[Risk Score]]&gt;AcceptableRisk,IF(tblRiskRegister32[[#This Row],[Risk Treatment Safeguard Risk Score]]&lt;AcceptableRisk, IF(tblRiskRegister32[[#This Row],[Risk Treatment Safeguard Risk Score]]&lt;=tblRiskRegister32[[#This Row],[Risk Score]],"Yes","No"),"No"),"Yes")</f>
        <v>No</v>
      </c>
      <c r="AH22" s="18"/>
      <c r="AI22" s="18"/>
      <c r="AJ22" s="19"/>
    </row>
    <row r="23" spans="2:40" ht="38.25" x14ac:dyDescent="0.2">
      <c r="B23" s="15" t="s">
        <v>130</v>
      </c>
      <c r="C23" s="15"/>
      <c r="D23" s="100">
        <v>3.3</v>
      </c>
      <c r="E23" s="14" t="s">
        <v>84</v>
      </c>
      <c r="F23" s="17" t="s">
        <v>785</v>
      </c>
      <c r="G23" s="17" t="s">
        <v>785</v>
      </c>
      <c r="H23" s="17" t="s">
        <v>928</v>
      </c>
      <c r="I23" s="15"/>
      <c r="J23" s="15"/>
      <c r="K23" s="15"/>
      <c r="L23" s="16"/>
      <c r="M23" s="26">
        <f>IFERROR(VLOOKUP(tblRiskRegister32[[#This Row],[Asset Class]],tblVCDBIndex[],4,FALSE),"")</f>
        <v>3</v>
      </c>
      <c r="N23" s="26" t="str">
        <f>IFERROR(VLOOKUP(10*tblRiskRegister32[[#This Row],[Safeguard Maturity Score]]+tblRiskRegister32[[#This Row],[VCDB Index]],tblHITIndexWeightTable[],4,FALSE),"")</f>
        <v/>
      </c>
      <c r="O23" s="26" t="str">
        <f>VLOOKUP(tblRiskRegister32[[#This Row],[Asset Class]],tblInherentImpacts30[],2,FALSE)</f>
        <v/>
      </c>
      <c r="P23" s="26">
        <f>VLOOKUP(tblRiskRegister32[[#This Row],[Asset Class]],tblInherentImpacts30[],3,FALSE)</f>
        <v>0</v>
      </c>
      <c r="Q23" s="26">
        <f>VLOOKUP(tblRiskRegister32[[#This Row],[Asset Class]],tblInherentImpacts30[],4,FALSE)</f>
        <v>0</v>
      </c>
      <c r="R23" s="26">
        <f>VLOOKUP(tblRiskRegister32[[#This Row],[Asset Class]],tblInherentImpacts30[],5,FALSE)</f>
        <v>0</v>
      </c>
      <c r="S23" s="26" t="str">
        <f>IFERROR(MAX(tblRiskRegister32[[#This Row],[Impact to Mission]:[Impact to Obligations]])*tblRiskRegister32[[#This Row],[Expectancy Score]],"")</f>
        <v/>
      </c>
      <c r="T23" s="26" t="str">
        <f>tblRiskRegister32[[#This Row],[Risk Score]]</f>
        <v/>
      </c>
      <c r="U23" s="100"/>
      <c r="V23" s="100">
        <v>3.3</v>
      </c>
      <c r="W23" s="15" t="s">
        <v>84</v>
      </c>
      <c r="X23" s="15" t="s">
        <v>427</v>
      </c>
      <c r="Y23" s="15"/>
      <c r="Z23" s="16"/>
      <c r="AA23" s="27" t="str">
        <f>IFERROR(VLOOKUP(10*tblRiskRegister32[[#This Row],[Risk Treatment Safeguard Maturity Score]]+tblRiskRegister32[[#This Row],[VCDB Index]],tblHITIndexWeightTable[],4,FALSE),"")</f>
        <v/>
      </c>
      <c r="AB23" s="138" t="str">
        <f>VLOOKUP(tblRiskRegister32[[#This Row],[Asset Class]],tblInherentImpacts30[],2,FALSE)</f>
        <v/>
      </c>
      <c r="AC23" s="138">
        <f>VLOOKUP(tblRiskRegister32[[#This Row],[Asset Class]],tblInherentImpacts30[],3,FALSE)</f>
        <v>0</v>
      </c>
      <c r="AD23" s="138">
        <f>VLOOKUP(tblRiskRegister32[[#This Row],[Asset Class]],tblInherentImpacts30[],4,FALSE)</f>
        <v>0</v>
      </c>
      <c r="AE23" s="138">
        <f>VLOOKUP(tblRiskRegister32[[#This Row],[Asset Class]],tblInherentImpacts30[],5,FALSE)</f>
        <v>0</v>
      </c>
      <c r="AF23" s="138" t="str">
        <f>IFERROR(MAX(tblRiskRegister32[[#This Row],[Risk Treatment Safeguard Impact to Mission]:[Risk Treatment Safeguard Impact to Obligations]])*tblRiskRegister32[[#This Row],[Risk Treatment
Safeguard Expectancy Score]],"")</f>
        <v/>
      </c>
      <c r="AG23" s="138" t="str">
        <f>IF(tblRiskRegister32[[#This Row],[Risk Score]]&gt;AcceptableRisk,IF(tblRiskRegister32[[#This Row],[Risk Treatment Safeguard Risk Score]]&lt;AcceptableRisk, IF(tblRiskRegister32[[#This Row],[Risk Treatment Safeguard Risk Score]]&lt;=tblRiskRegister32[[#This Row],[Risk Score]],"Yes","No"),"No"),"Yes")</f>
        <v>No</v>
      </c>
      <c r="AH23" s="18"/>
      <c r="AI23" s="18"/>
      <c r="AJ23" s="19"/>
    </row>
    <row r="24" spans="2:40" ht="25.5" x14ac:dyDescent="0.2">
      <c r="B24" s="15" t="s">
        <v>130</v>
      </c>
      <c r="C24" s="15"/>
      <c r="D24" s="100">
        <v>3.4</v>
      </c>
      <c r="E24" s="14" t="s">
        <v>85</v>
      </c>
      <c r="F24" s="17" t="s">
        <v>785</v>
      </c>
      <c r="G24" s="17" t="s">
        <v>785</v>
      </c>
      <c r="H24" s="17" t="s">
        <v>928</v>
      </c>
      <c r="I24" s="15"/>
      <c r="J24" s="15"/>
      <c r="K24" s="15"/>
      <c r="L24" s="16"/>
      <c r="M24" s="26">
        <f>IFERROR(VLOOKUP(tblRiskRegister32[[#This Row],[Asset Class]],tblVCDBIndex[],4,FALSE),"")</f>
        <v>3</v>
      </c>
      <c r="N24" s="26" t="str">
        <f>IFERROR(VLOOKUP(10*tblRiskRegister32[[#This Row],[Safeguard Maturity Score]]+tblRiskRegister32[[#This Row],[VCDB Index]],tblHITIndexWeightTable[],4,FALSE),"")</f>
        <v/>
      </c>
      <c r="O24" s="26" t="str">
        <f>VLOOKUP(tblRiskRegister32[[#This Row],[Asset Class]],tblInherentImpacts30[],2,FALSE)</f>
        <v/>
      </c>
      <c r="P24" s="26">
        <f>VLOOKUP(tblRiskRegister32[[#This Row],[Asset Class]],tblInherentImpacts30[],3,FALSE)</f>
        <v>0</v>
      </c>
      <c r="Q24" s="26">
        <f>VLOOKUP(tblRiskRegister32[[#This Row],[Asset Class]],tblInherentImpacts30[],4,FALSE)</f>
        <v>0</v>
      </c>
      <c r="R24" s="26">
        <f>VLOOKUP(tblRiskRegister32[[#This Row],[Asset Class]],tblInherentImpacts30[],5,FALSE)</f>
        <v>0</v>
      </c>
      <c r="S24" s="26" t="str">
        <f>IFERROR(MAX(tblRiskRegister32[[#This Row],[Impact to Mission]:[Impact to Obligations]])*tblRiskRegister32[[#This Row],[Expectancy Score]],"")</f>
        <v/>
      </c>
      <c r="T24" s="26" t="str">
        <f>tblRiskRegister32[[#This Row],[Risk Score]]</f>
        <v/>
      </c>
      <c r="U24" s="100"/>
      <c r="V24" s="100">
        <v>3.4</v>
      </c>
      <c r="W24" s="15" t="s">
        <v>85</v>
      </c>
      <c r="X24" s="15" t="s">
        <v>428</v>
      </c>
      <c r="Y24" s="15"/>
      <c r="Z24" s="16"/>
      <c r="AA24" s="27" t="str">
        <f>IFERROR(VLOOKUP(10*tblRiskRegister32[[#This Row],[Risk Treatment Safeguard Maturity Score]]+tblRiskRegister32[[#This Row],[VCDB Index]],tblHITIndexWeightTable[],4,FALSE),"")</f>
        <v/>
      </c>
      <c r="AB24" s="138" t="str">
        <f>VLOOKUP(tblRiskRegister32[[#This Row],[Asset Class]],tblInherentImpacts30[],2,FALSE)</f>
        <v/>
      </c>
      <c r="AC24" s="138">
        <f>VLOOKUP(tblRiskRegister32[[#This Row],[Asset Class]],tblInherentImpacts30[],3,FALSE)</f>
        <v>0</v>
      </c>
      <c r="AD24" s="138">
        <f>VLOOKUP(tblRiskRegister32[[#This Row],[Asset Class]],tblInherentImpacts30[],4,FALSE)</f>
        <v>0</v>
      </c>
      <c r="AE24" s="138">
        <f>VLOOKUP(tblRiskRegister32[[#This Row],[Asset Class]],tblInherentImpacts30[],5,FALSE)</f>
        <v>0</v>
      </c>
      <c r="AF24" s="138" t="str">
        <f>IFERROR(MAX(tblRiskRegister32[[#This Row],[Risk Treatment Safeguard Impact to Mission]:[Risk Treatment Safeguard Impact to Obligations]])*tblRiskRegister32[[#This Row],[Risk Treatment
Safeguard Expectancy Score]],"")</f>
        <v/>
      </c>
      <c r="AG24" s="138" t="str">
        <f>IF(tblRiskRegister32[[#This Row],[Risk Score]]&gt;AcceptableRisk,IF(tblRiskRegister32[[#This Row],[Risk Treatment Safeguard Risk Score]]&lt;AcceptableRisk, IF(tblRiskRegister32[[#This Row],[Risk Treatment Safeguard Risk Score]]&lt;=tblRiskRegister32[[#This Row],[Risk Score]],"Yes","No"),"No"),"Yes")</f>
        <v>No</v>
      </c>
      <c r="AH24" s="18"/>
      <c r="AI24" s="18"/>
      <c r="AJ24" s="19"/>
    </row>
    <row r="25" spans="2:40" ht="38.25" x14ac:dyDescent="0.2">
      <c r="B25" s="15" t="s">
        <v>130</v>
      </c>
      <c r="C25" s="15"/>
      <c r="D25" s="100">
        <v>3.5</v>
      </c>
      <c r="E25" s="14" t="s">
        <v>86</v>
      </c>
      <c r="F25" s="17" t="s">
        <v>785</v>
      </c>
      <c r="G25" s="17" t="s">
        <v>785</v>
      </c>
      <c r="H25" s="17" t="s">
        <v>928</v>
      </c>
      <c r="I25" s="15"/>
      <c r="J25" s="15"/>
      <c r="K25" s="15"/>
      <c r="L25" s="16"/>
      <c r="M25" s="26">
        <f>IFERROR(VLOOKUP(tblRiskRegister32[[#This Row],[Asset Class]],tblVCDBIndex[],4,FALSE),"")</f>
        <v>3</v>
      </c>
      <c r="N25" s="26" t="str">
        <f>IFERROR(VLOOKUP(10*tblRiskRegister32[[#This Row],[Safeguard Maturity Score]]+tblRiskRegister32[[#This Row],[VCDB Index]],tblHITIndexWeightTable[],4,FALSE),"")</f>
        <v/>
      </c>
      <c r="O25" s="26" t="str">
        <f>VLOOKUP(tblRiskRegister32[[#This Row],[Asset Class]],tblInherentImpacts30[],2,FALSE)</f>
        <v/>
      </c>
      <c r="P25" s="26">
        <f>VLOOKUP(tblRiskRegister32[[#This Row],[Asset Class]],tblInherentImpacts30[],3,FALSE)</f>
        <v>0</v>
      </c>
      <c r="Q25" s="26">
        <f>VLOOKUP(tblRiskRegister32[[#This Row],[Asset Class]],tblInherentImpacts30[],4,FALSE)</f>
        <v>0</v>
      </c>
      <c r="R25" s="26">
        <f>VLOOKUP(tblRiskRegister32[[#This Row],[Asset Class]],tblInherentImpacts30[],5,FALSE)</f>
        <v>0</v>
      </c>
      <c r="S25" s="26" t="str">
        <f>IFERROR(MAX(tblRiskRegister32[[#This Row],[Impact to Mission]:[Impact to Obligations]])*tblRiskRegister32[[#This Row],[Expectancy Score]],"")</f>
        <v/>
      </c>
      <c r="T25" s="26" t="str">
        <f>tblRiskRegister32[[#This Row],[Risk Score]]</f>
        <v/>
      </c>
      <c r="U25" s="100"/>
      <c r="V25" s="100">
        <v>3.5</v>
      </c>
      <c r="W25" s="15" t="s">
        <v>86</v>
      </c>
      <c r="X25" s="15" t="s">
        <v>429</v>
      </c>
      <c r="Y25" s="15"/>
      <c r="Z25" s="16"/>
      <c r="AA25" s="27" t="str">
        <f>IFERROR(VLOOKUP(10*tblRiskRegister32[[#This Row],[Risk Treatment Safeguard Maturity Score]]+tblRiskRegister32[[#This Row],[VCDB Index]],tblHITIndexWeightTable[],4,FALSE),"")</f>
        <v/>
      </c>
      <c r="AB25" s="138" t="str">
        <f>VLOOKUP(tblRiskRegister32[[#This Row],[Asset Class]],tblInherentImpacts30[],2,FALSE)</f>
        <v/>
      </c>
      <c r="AC25" s="138">
        <f>VLOOKUP(tblRiskRegister32[[#This Row],[Asset Class]],tblInherentImpacts30[],3,FALSE)</f>
        <v>0</v>
      </c>
      <c r="AD25" s="138">
        <f>VLOOKUP(tblRiskRegister32[[#This Row],[Asset Class]],tblInherentImpacts30[],4,FALSE)</f>
        <v>0</v>
      </c>
      <c r="AE25" s="138">
        <f>VLOOKUP(tblRiskRegister32[[#This Row],[Asset Class]],tblInherentImpacts30[],5,FALSE)</f>
        <v>0</v>
      </c>
      <c r="AF25" s="138" t="str">
        <f>IFERROR(MAX(tblRiskRegister32[[#This Row],[Risk Treatment Safeguard Impact to Mission]:[Risk Treatment Safeguard Impact to Obligations]])*tblRiskRegister32[[#This Row],[Risk Treatment
Safeguard Expectancy Score]],"")</f>
        <v/>
      </c>
      <c r="AG25" s="138" t="str">
        <f>IF(tblRiskRegister32[[#This Row],[Risk Score]]&gt;AcceptableRisk,IF(tblRiskRegister32[[#This Row],[Risk Treatment Safeguard Risk Score]]&lt;AcceptableRisk, IF(tblRiskRegister32[[#This Row],[Risk Treatment Safeguard Risk Score]]&lt;=tblRiskRegister32[[#This Row],[Risk Score]],"Yes","No"),"No"),"Yes")</f>
        <v>No</v>
      </c>
      <c r="AH25" s="18"/>
      <c r="AI25" s="18"/>
      <c r="AJ25" s="19"/>
    </row>
    <row r="26" spans="2:40" ht="38.25" x14ac:dyDescent="0.2">
      <c r="B26" s="44" t="s">
        <v>131</v>
      </c>
      <c r="C26" s="44"/>
      <c r="D26" s="112">
        <v>3.6</v>
      </c>
      <c r="E26" s="14" t="s">
        <v>87</v>
      </c>
      <c r="F26" s="17" t="s">
        <v>785</v>
      </c>
      <c r="G26" s="17" t="s">
        <v>785</v>
      </c>
      <c r="H26" s="17" t="s">
        <v>928</v>
      </c>
      <c r="I26" s="15"/>
      <c r="J26" s="15"/>
      <c r="K26" s="15"/>
      <c r="L26" s="16"/>
      <c r="M26" s="26">
        <f>IFERROR(VLOOKUP(tblRiskRegister32[[#This Row],[Asset Class]],tblVCDBIndex[],4,FALSE),"")</f>
        <v>1</v>
      </c>
      <c r="N26" s="29" t="str">
        <f>IFERROR(VLOOKUP(10*tblRiskRegister32[[#This Row],[Safeguard Maturity Score]]+tblRiskRegister32[[#This Row],[VCDB Index]],tblHITIndexWeightTable[],4,FALSE),"")</f>
        <v/>
      </c>
      <c r="O26" s="29" t="str">
        <f>VLOOKUP(tblRiskRegister32[[#This Row],[Asset Class]],tblInherentImpacts30[],2,FALSE)</f>
        <v/>
      </c>
      <c r="P26" s="29">
        <f>VLOOKUP(tblRiskRegister32[[#This Row],[Asset Class]],tblInherentImpacts30[],3,FALSE)</f>
        <v>0</v>
      </c>
      <c r="Q26" s="29">
        <f>VLOOKUP(tblRiskRegister32[[#This Row],[Asset Class]],tblInherentImpacts30[],4,FALSE)</f>
        <v>0</v>
      </c>
      <c r="R26" s="29">
        <f>VLOOKUP(tblRiskRegister32[[#This Row],[Asset Class]],tblInherentImpacts30[],5,FALSE)</f>
        <v>0</v>
      </c>
      <c r="S26" s="29" t="str">
        <f>IFERROR(MAX(tblRiskRegister32[[#This Row],[Impact to Mission]:[Impact to Obligations]])*tblRiskRegister32[[#This Row],[Expectancy Score]],"")</f>
        <v/>
      </c>
      <c r="T26" s="29" t="str">
        <f>tblRiskRegister32[[#This Row],[Risk Score]]</f>
        <v/>
      </c>
      <c r="U26" s="100"/>
      <c r="V26" s="112">
        <v>3.6</v>
      </c>
      <c r="W26" s="44" t="s">
        <v>87</v>
      </c>
      <c r="X26" s="44" t="s">
        <v>430</v>
      </c>
      <c r="Y26" s="30"/>
      <c r="Z26" s="16"/>
      <c r="AA26" s="27" t="str">
        <f>IFERROR(VLOOKUP(10*tblRiskRegister32[[#This Row],[Risk Treatment Safeguard Maturity Score]]+tblRiskRegister32[[#This Row],[VCDB Index]],tblHITIndexWeightTable[],4,FALSE),"")</f>
        <v/>
      </c>
      <c r="AB26" s="138" t="str">
        <f>VLOOKUP(tblRiskRegister32[[#This Row],[Asset Class]],tblInherentImpacts30[],2,FALSE)</f>
        <v/>
      </c>
      <c r="AC26" s="138">
        <f>VLOOKUP(tblRiskRegister32[[#This Row],[Asset Class]],tblInherentImpacts30[],3,FALSE)</f>
        <v>0</v>
      </c>
      <c r="AD26" s="138">
        <f>VLOOKUP(tblRiskRegister32[[#This Row],[Asset Class]],tblInherentImpacts30[],4,FALSE)</f>
        <v>0</v>
      </c>
      <c r="AE26" s="138">
        <f>VLOOKUP(tblRiskRegister32[[#This Row],[Asset Class]],tblInherentImpacts30[],5,FALSE)</f>
        <v>0</v>
      </c>
      <c r="AF26" s="138" t="str">
        <f>IFERROR(MAX(tblRiskRegister32[[#This Row],[Risk Treatment Safeguard Impact to Mission]:[Risk Treatment Safeguard Impact to Obligations]])*tblRiskRegister32[[#This Row],[Risk Treatment
Safeguard Expectancy Score]],"")</f>
        <v/>
      </c>
      <c r="AG26" s="138" t="str">
        <f>IF(tblRiskRegister32[[#This Row],[Risk Score]]&gt;AcceptableRisk,IF(tblRiskRegister32[[#This Row],[Risk Treatment Safeguard Risk Score]]&lt;AcceptableRisk, IF(tblRiskRegister32[[#This Row],[Risk Treatment Safeguard Risk Score]]&lt;=tblRiskRegister32[[#This Row],[Risk Score]],"Yes","No"),"No"),"Yes")</f>
        <v>No</v>
      </c>
      <c r="AH26" s="18"/>
      <c r="AI26" s="18"/>
      <c r="AJ26" s="19"/>
    </row>
    <row r="27" spans="2:40" ht="63.75" x14ac:dyDescent="0.2">
      <c r="B27" s="15" t="s">
        <v>130</v>
      </c>
      <c r="C27" s="15"/>
      <c r="D27" s="100">
        <v>3.7</v>
      </c>
      <c r="E27" s="14" t="s">
        <v>243</v>
      </c>
      <c r="F27" s="17"/>
      <c r="G27" s="17" t="s">
        <v>785</v>
      </c>
      <c r="H27" s="17" t="s">
        <v>926</v>
      </c>
      <c r="I27" s="15"/>
      <c r="J27" s="15"/>
      <c r="K27" s="15"/>
      <c r="L27" s="16"/>
      <c r="M27" s="26">
        <f>IFERROR(VLOOKUP(tblRiskRegister32[[#This Row],[Asset Class]],tblVCDBIndex[],4,FALSE),"")</f>
        <v>3</v>
      </c>
      <c r="N27" s="26" t="str">
        <f>IFERROR(VLOOKUP(10*tblRiskRegister32[[#This Row],[Safeguard Maturity Score]]+tblRiskRegister32[[#This Row],[VCDB Index]],tblHITIndexWeightTable[],4,FALSE),"")</f>
        <v/>
      </c>
      <c r="O27" s="26" t="str">
        <f>VLOOKUP(tblRiskRegister32[[#This Row],[Asset Class]],tblInherentImpacts30[],2,FALSE)</f>
        <v/>
      </c>
      <c r="P27" s="26">
        <f>VLOOKUP(tblRiskRegister32[[#This Row],[Asset Class]],tblInherentImpacts30[],3,FALSE)</f>
        <v>0</v>
      </c>
      <c r="Q27" s="26">
        <f>VLOOKUP(tblRiskRegister32[[#This Row],[Asset Class]],tblInherentImpacts30[],4,FALSE)</f>
        <v>0</v>
      </c>
      <c r="R27" s="26">
        <f>VLOOKUP(tblRiskRegister32[[#This Row],[Asset Class]],tblInherentImpacts30[],5,FALSE)</f>
        <v>0</v>
      </c>
      <c r="S27" s="26" t="str">
        <f>IFERROR(MAX(tblRiskRegister32[[#This Row],[Impact to Mission]:[Impact to Obligations]])*tblRiskRegister32[[#This Row],[Expectancy Score]],"")</f>
        <v/>
      </c>
      <c r="T27" s="26" t="str">
        <f>tblRiskRegister32[[#This Row],[Risk Score]]</f>
        <v/>
      </c>
      <c r="U27" s="100"/>
      <c r="V27" s="100">
        <v>3.7</v>
      </c>
      <c r="W27" s="15" t="s">
        <v>243</v>
      </c>
      <c r="X27" s="15" t="s">
        <v>431</v>
      </c>
      <c r="Y27" s="15"/>
      <c r="Z27" s="16"/>
      <c r="AA27" s="27" t="str">
        <f>IFERROR(VLOOKUP(10*tblRiskRegister32[[#This Row],[Risk Treatment Safeguard Maturity Score]]+tblRiskRegister32[[#This Row],[VCDB Index]],tblHITIndexWeightTable[],4,FALSE),"")</f>
        <v/>
      </c>
      <c r="AB27" s="138" t="str">
        <f>VLOOKUP(tblRiskRegister32[[#This Row],[Asset Class]],tblInherentImpacts30[],2,FALSE)</f>
        <v/>
      </c>
      <c r="AC27" s="138">
        <f>VLOOKUP(tblRiskRegister32[[#This Row],[Asset Class]],tblInherentImpacts30[],3,FALSE)</f>
        <v>0</v>
      </c>
      <c r="AD27" s="138">
        <f>VLOOKUP(tblRiskRegister32[[#This Row],[Asset Class]],tblInherentImpacts30[],4,FALSE)</f>
        <v>0</v>
      </c>
      <c r="AE27" s="138">
        <f>VLOOKUP(tblRiskRegister32[[#This Row],[Asset Class]],tblInherentImpacts30[],5,FALSE)</f>
        <v>0</v>
      </c>
      <c r="AF27" s="138" t="str">
        <f>IFERROR(MAX(tblRiskRegister32[[#This Row],[Risk Treatment Safeguard Impact to Mission]:[Risk Treatment Safeguard Impact to Obligations]])*tblRiskRegister32[[#This Row],[Risk Treatment
Safeguard Expectancy Score]],"")</f>
        <v/>
      </c>
      <c r="AG27" s="138" t="str">
        <f>IF(tblRiskRegister32[[#This Row],[Risk Score]]&gt;AcceptableRisk,IF(tblRiskRegister32[[#This Row],[Risk Treatment Safeguard Risk Score]]&lt;AcceptableRisk, IF(tblRiskRegister32[[#This Row],[Risk Treatment Safeguard Risk Score]]&lt;=tblRiskRegister32[[#This Row],[Risk Score]],"Yes","No"),"No"),"Yes")</f>
        <v>No</v>
      </c>
      <c r="AH27" s="18"/>
      <c r="AI27" s="18"/>
      <c r="AJ27" s="19"/>
    </row>
    <row r="28" spans="2:40" ht="51" x14ac:dyDescent="0.2">
      <c r="B28" s="15" t="s">
        <v>130</v>
      </c>
      <c r="C28" s="15"/>
      <c r="D28" s="100">
        <v>3.8</v>
      </c>
      <c r="E28" s="14" t="s">
        <v>244</v>
      </c>
      <c r="F28" s="17"/>
      <c r="G28" s="17" t="s">
        <v>785</v>
      </c>
      <c r="H28" s="17" t="s">
        <v>926</v>
      </c>
      <c r="I28" s="15"/>
      <c r="J28" s="15"/>
      <c r="K28" s="15"/>
      <c r="L28" s="16"/>
      <c r="M28" s="26">
        <f>IFERROR(VLOOKUP(tblRiskRegister32[[#This Row],[Asset Class]],tblVCDBIndex[],4,FALSE),"")</f>
        <v>3</v>
      </c>
      <c r="N28" s="26" t="str">
        <f>IFERROR(VLOOKUP(10*tblRiskRegister32[[#This Row],[Safeguard Maturity Score]]+tblRiskRegister32[[#This Row],[VCDB Index]],tblHITIndexWeightTable[],4,FALSE),"")</f>
        <v/>
      </c>
      <c r="O28" s="26" t="str">
        <f>VLOOKUP(tblRiskRegister32[[#This Row],[Asset Class]],tblInherentImpacts30[],2,FALSE)</f>
        <v/>
      </c>
      <c r="P28" s="26">
        <f>VLOOKUP(tblRiskRegister32[[#This Row],[Asset Class]],tblInherentImpacts30[],3,FALSE)</f>
        <v>0</v>
      </c>
      <c r="Q28" s="26">
        <f>VLOOKUP(tblRiskRegister32[[#This Row],[Asset Class]],tblInherentImpacts30[],4,FALSE)</f>
        <v>0</v>
      </c>
      <c r="R28" s="26">
        <f>VLOOKUP(tblRiskRegister32[[#This Row],[Asset Class]],tblInherentImpacts30[],5,FALSE)</f>
        <v>0</v>
      </c>
      <c r="S28" s="26" t="str">
        <f>IFERROR(MAX(tblRiskRegister32[[#This Row],[Impact to Mission]:[Impact to Obligations]])*tblRiskRegister32[[#This Row],[Expectancy Score]],"")</f>
        <v/>
      </c>
      <c r="T28" s="26" t="str">
        <f>tblRiskRegister32[[#This Row],[Risk Score]]</f>
        <v/>
      </c>
      <c r="U28" s="100"/>
      <c r="V28" s="100">
        <v>3.8</v>
      </c>
      <c r="W28" s="15" t="s">
        <v>244</v>
      </c>
      <c r="X28" s="15" t="s">
        <v>432</v>
      </c>
      <c r="Y28" s="15"/>
      <c r="Z28" s="16"/>
      <c r="AA28" s="27" t="str">
        <f>IFERROR(VLOOKUP(10*tblRiskRegister32[[#This Row],[Risk Treatment Safeguard Maturity Score]]+tblRiskRegister32[[#This Row],[VCDB Index]],tblHITIndexWeightTable[],4,FALSE),"")</f>
        <v/>
      </c>
      <c r="AB28" s="138" t="str">
        <f>VLOOKUP(tblRiskRegister32[[#This Row],[Asset Class]],tblInherentImpacts30[],2,FALSE)</f>
        <v/>
      </c>
      <c r="AC28" s="138">
        <f>VLOOKUP(tblRiskRegister32[[#This Row],[Asset Class]],tblInherentImpacts30[],3,FALSE)</f>
        <v>0</v>
      </c>
      <c r="AD28" s="138">
        <f>VLOOKUP(tblRiskRegister32[[#This Row],[Asset Class]],tblInherentImpacts30[],4,FALSE)</f>
        <v>0</v>
      </c>
      <c r="AE28" s="138">
        <f>VLOOKUP(tblRiskRegister32[[#This Row],[Asset Class]],tblInherentImpacts30[],5,FALSE)</f>
        <v>0</v>
      </c>
      <c r="AF28" s="138" t="str">
        <f>IFERROR(MAX(tblRiskRegister32[[#This Row],[Risk Treatment Safeguard Impact to Mission]:[Risk Treatment Safeguard Impact to Obligations]])*tblRiskRegister32[[#This Row],[Risk Treatment
Safeguard Expectancy Score]],"")</f>
        <v/>
      </c>
      <c r="AG28" s="138" t="str">
        <f>IF(tblRiskRegister32[[#This Row],[Risk Score]]&gt;AcceptableRisk,IF(tblRiskRegister32[[#This Row],[Risk Treatment Safeguard Risk Score]]&lt;AcceptableRisk, IF(tblRiskRegister32[[#This Row],[Risk Treatment Safeguard Risk Score]]&lt;=tblRiskRegister32[[#This Row],[Risk Score]],"Yes","No"),"No"),"Yes")</f>
        <v>No</v>
      </c>
      <c r="AH28" s="18"/>
      <c r="AI28" s="18"/>
      <c r="AJ28" s="19"/>
    </row>
    <row r="29" spans="2:40" ht="25.5" x14ac:dyDescent="0.2">
      <c r="B29" s="15" t="s">
        <v>130</v>
      </c>
      <c r="C29" s="15"/>
      <c r="D29" s="100">
        <v>3.9</v>
      </c>
      <c r="E29" s="14" t="s">
        <v>245</v>
      </c>
      <c r="F29" s="17"/>
      <c r="G29" s="17" t="s">
        <v>785</v>
      </c>
      <c r="H29" s="17" t="s">
        <v>928</v>
      </c>
      <c r="I29" s="15"/>
      <c r="J29" s="15"/>
      <c r="K29" s="15"/>
      <c r="L29" s="16"/>
      <c r="M29" s="26">
        <f>IFERROR(VLOOKUP(tblRiskRegister32[[#This Row],[Asset Class]],tblVCDBIndex[],4,FALSE),"")</f>
        <v>3</v>
      </c>
      <c r="N29" s="26" t="str">
        <f>IFERROR(VLOOKUP(10*tblRiskRegister32[[#This Row],[Safeguard Maturity Score]]+tblRiskRegister32[[#This Row],[VCDB Index]],tblHITIndexWeightTable[],4,FALSE),"")</f>
        <v/>
      </c>
      <c r="O29" s="26" t="str">
        <f>VLOOKUP(tblRiskRegister32[[#This Row],[Asset Class]],tblInherentImpacts30[],2,FALSE)</f>
        <v/>
      </c>
      <c r="P29" s="26">
        <f>VLOOKUP(tblRiskRegister32[[#This Row],[Asset Class]],tblInherentImpacts30[],3,FALSE)</f>
        <v>0</v>
      </c>
      <c r="Q29" s="26">
        <f>VLOOKUP(tblRiskRegister32[[#This Row],[Asset Class]],tblInherentImpacts30[],4,FALSE)</f>
        <v>0</v>
      </c>
      <c r="R29" s="26">
        <f>VLOOKUP(tblRiskRegister32[[#This Row],[Asset Class]],tblInherentImpacts30[],5,FALSE)</f>
        <v>0</v>
      </c>
      <c r="S29" s="26" t="str">
        <f>IFERROR(MAX(tblRiskRegister32[[#This Row],[Impact to Mission]:[Impact to Obligations]])*tblRiskRegister32[[#This Row],[Expectancy Score]],"")</f>
        <v/>
      </c>
      <c r="T29" s="26" t="str">
        <f>tblRiskRegister32[[#This Row],[Risk Score]]</f>
        <v/>
      </c>
      <c r="U29" s="100"/>
      <c r="V29" s="100">
        <v>3.9</v>
      </c>
      <c r="W29" s="15" t="s">
        <v>245</v>
      </c>
      <c r="X29" s="15" t="s">
        <v>433</v>
      </c>
      <c r="Y29" s="15"/>
      <c r="Z29" s="16"/>
      <c r="AA29" s="27" t="str">
        <f>IFERROR(VLOOKUP(10*tblRiskRegister32[[#This Row],[Risk Treatment Safeguard Maturity Score]]+tblRiskRegister32[[#This Row],[VCDB Index]],tblHITIndexWeightTable[],4,FALSE),"")</f>
        <v/>
      </c>
      <c r="AB29" s="138" t="str">
        <f>VLOOKUP(tblRiskRegister32[[#This Row],[Asset Class]],tblInherentImpacts30[],2,FALSE)</f>
        <v/>
      </c>
      <c r="AC29" s="138">
        <f>VLOOKUP(tblRiskRegister32[[#This Row],[Asset Class]],tblInherentImpacts30[],3,FALSE)</f>
        <v>0</v>
      </c>
      <c r="AD29" s="138">
        <f>VLOOKUP(tblRiskRegister32[[#This Row],[Asset Class]],tblInherentImpacts30[],4,FALSE)</f>
        <v>0</v>
      </c>
      <c r="AE29" s="138">
        <f>VLOOKUP(tblRiskRegister32[[#This Row],[Asset Class]],tblInherentImpacts30[],5,FALSE)</f>
        <v>0</v>
      </c>
      <c r="AF29" s="138" t="str">
        <f>IFERROR(MAX(tblRiskRegister32[[#This Row],[Risk Treatment Safeguard Impact to Mission]:[Risk Treatment Safeguard Impact to Obligations]])*tblRiskRegister32[[#This Row],[Risk Treatment
Safeguard Expectancy Score]],"")</f>
        <v/>
      </c>
      <c r="AG29" s="138" t="str">
        <f>IF(tblRiskRegister32[[#This Row],[Risk Score]]&gt;AcceptableRisk,IF(tblRiskRegister32[[#This Row],[Risk Treatment Safeguard Risk Score]]&lt;AcceptableRisk, IF(tblRiskRegister32[[#This Row],[Risk Treatment Safeguard Risk Score]]&lt;=tblRiskRegister32[[#This Row],[Risk Score]],"Yes","No"),"No"),"Yes")</f>
        <v>No</v>
      </c>
      <c r="AH29" s="18"/>
      <c r="AI29" s="18"/>
      <c r="AJ29" s="19"/>
    </row>
    <row r="30" spans="2:40" ht="25.5" x14ac:dyDescent="0.2">
      <c r="B30" s="15" t="s">
        <v>130</v>
      </c>
      <c r="C30" s="15"/>
      <c r="D30" s="288">
        <v>3.1</v>
      </c>
      <c r="E30" s="14" t="s">
        <v>246</v>
      </c>
      <c r="F30" s="17"/>
      <c r="G30" s="17" t="s">
        <v>785</v>
      </c>
      <c r="H30" s="17" t="s">
        <v>928</v>
      </c>
      <c r="I30" s="15"/>
      <c r="J30" s="15"/>
      <c r="K30" s="15"/>
      <c r="L30" s="16"/>
      <c r="M30" s="26">
        <f>IFERROR(VLOOKUP(tblRiskRegister32[[#This Row],[Asset Class]],tblVCDBIndex[],4,FALSE),"")</f>
        <v>3</v>
      </c>
      <c r="N30" s="26" t="str">
        <f>IFERROR(VLOOKUP(10*tblRiskRegister32[[#This Row],[Safeguard Maturity Score]]+tblRiskRegister32[[#This Row],[VCDB Index]],tblHITIndexWeightTable[],4,FALSE),"")</f>
        <v/>
      </c>
      <c r="O30" s="26" t="str">
        <f>VLOOKUP(tblRiskRegister32[[#This Row],[Asset Class]],tblInherentImpacts30[],2,FALSE)</f>
        <v/>
      </c>
      <c r="P30" s="26">
        <f>VLOOKUP(tblRiskRegister32[[#This Row],[Asset Class]],tblInherentImpacts30[],3,FALSE)</f>
        <v>0</v>
      </c>
      <c r="Q30" s="26">
        <f>VLOOKUP(tblRiskRegister32[[#This Row],[Asset Class]],tblInherentImpacts30[],4,FALSE)</f>
        <v>0</v>
      </c>
      <c r="R30" s="26">
        <f>VLOOKUP(tblRiskRegister32[[#This Row],[Asset Class]],tblInherentImpacts30[],5,FALSE)</f>
        <v>0</v>
      </c>
      <c r="S30" s="26" t="str">
        <f>IFERROR(MAX(tblRiskRegister32[[#This Row],[Impact to Mission]:[Impact to Obligations]])*tblRiskRegister32[[#This Row],[Expectancy Score]],"")</f>
        <v/>
      </c>
      <c r="T30" s="26" t="str">
        <f>tblRiskRegister32[[#This Row],[Risk Score]]</f>
        <v/>
      </c>
      <c r="U30" s="100"/>
      <c r="V30" s="100">
        <v>3.1</v>
      </c>
      <c r="W30" s="15" t="s">
        <v>246</v>
      </c>
      <c r="X30" s="15" t="s">
        <v>434</v>
      </c>
      <c r="Y30" s="15"/>
      <c r="Z30" s="16"/>
      <c r="AA30" s="27" t="str">
        <f>IFERROR(VLOOKUP(10*tblRiskRegister32[[#This Row],[Risk Treatment Safeguard Maturity Score]]+tblRiskRegister32[[#This Row],[VCDB Index]],tblHITIndexWeightTable[],4,FALSE),"")</f>
        <v/>
      </c>
      <c r="AB30" s="138" t="str">
        <f>VLOOKUP(tblRiskRegister32[[#This Row],[Asset Class]],tblInherentImpacts30[],2,FALSE)</f>
        <v/>
      </c>
      <c r="AC30" s="138">
        <f>VLOOKUP(tblRiskRegister32[[#This Row],[Asset Class]],tblInherentImpacts30[],3,FALSE)</f>
        <v>0</v>
      </c>
      <c r="AD30" s="138">
        <f>VLOOKUP(tblRiskRegister32[[#This Row],[Asset Class]],tblInherentImpacts30[],4,FALSE)</f>
        <v>0</v>
      </c>
      <c r="AE30" s="138">
        <f>VLOOKUP(tblRiskRegister32[[#This Row],[Asset Class]],tblInherentImpacts30[],5,FALSE)</f>
        <v>0</v>
      </c>
      <c r="AF30" s="138" t="str">
        <f>IFERROR(MAX(tblRiskRegister32[[#This Row],[Risk Treatment Safeguard Impact to Mission]:[Risk Treatment Safeguard Impact to Obligations]])*tblRiskRegister32[[#This Row],[Risk Treatment
Safeguard Expectancy Score]],"")</f>
        <v/>
      </c>
      <c r="AG30" s="138" t="str">
        <f>IF(tblRiskRegister32[[#This Row],[Risk Score]]&gt;AcceptableRisk,IF(tblRiskRegister32[[#This Row],[Risk Treatment Safeguard Risk Score]]&lt;AcceptableRisk, IF(tblRiskRegister32[[#This Row],[Risk Treatment Safeguard Risk Score]]&lt;=tblRiskRegister32[[#This Row],[Risk Score]],"Yes","No"),"No"),"Yes")</f>
        <v>No</v>
      </c>
      <c r="AH30" s="18"/>
      <c r="AI30" s="18"/>
      <c r="AJ30" s="19"/>
    </row>
    <row r="31" spans="2:40" ht="76.5" x14ac:dyDescent="0.2">
      <c r="B31" s="15" t="s">
        <v>130</v>
      </c>
      <c r="C31" s="15"/>
      <c r="D31" s="100">
        <v>3.11</v>
      </c>
      <c r="E31" s="14" t="s">
        <v>247</v>
      </c>
      <c r="F31" s="17"/>
      <c r="G31" s="17" t="s">
        <v>785</v>
      </c>
      <c r="H31" s="17" t="s">
        <v>928</v>
      </c>
      <c r="I31" s="15"/>
      <c r="J31" s="15"/>
      <c r="K31" s="15"/>
      <c r="L31" s="16"/>
      <c r="M31" s="26">
        <f>IFERROR(VLOOKUP(tblRiskRegister32[[#This Row],[Asset Class]],tblVCDBIndex[],4,FALSE),"")</f>
        <v>3</v>
      </c>
      <c r="N31" s="26" t="str">
        <f>IFERROR(VLOOKUP(10*tblRiskRegister32[[#This Row],[Safeguard Maturity Score]]+tblRiskRegister32[[#This Row],[VCDB Index]],tblHITIndexWeightTable[],4,FALSE),"")</f>
        <v/>
      </c>
      <c r="O31" s="26" t="str">
        <f>VLOOKUP(tblRiskRegister32[[#This Row],[Asset Class]],tblInherentImpacts30[],2,FALSE)</f>
        <v/>
      </c>
      <c r="P31" s="26">
        <f>VLOOKUP(tblRiskRegister32[[#This Row],[Asset Class]],tblInherentImpacts30[],3,FALSE)</f>
        <v>0</v>
      </c>
      <c r="Q31" s="26">
        <f>VLOOKUP(tblRiskRegister32[[#This Row],[Asset Class]],tblInherentImpacts30[],4,FALSE)</f>
        <v>0</v>
      </c>
      <c r="R31" s="26">
        <f>VLOOKUP(tblRiskRegister32[[#This Row],[Asset Class]],tblInherentImpacts30[],5,FALSE)</f>
        <v>0</v>
      </c>
      <c r="S31" s="26" t="str">
        <f>IFERROR(MAX(tblRiskRegister32[[#This Row],[Impact to Mission]:[Impact to Obligations]])*tblRiskRegister32[[#This Row],[Expectancy Score]],"")</f>
        <v/>
      </c>
      <c r="T31" s="26" t="str">
        <f>tblRiskRegister32[[#This Row],[Risk Score]]</f>
        <v/>
      </c>
      <c r="U31" s="100"/>
      <c r="V31" s="100">
        <v>3.11</v>
      </c>
      <c r="W31" s="15" t="s">
        <v>247</v>
      </c>
      <c r="X31" s="15" t="s">
        <v>435</v>
      </c>
      <c r="Y31" s="15"/>
      <c r="Z31" s="16"/>
      <c r="AA31" s="27" t="str">
        <f>IFERROR(VLOOKUP(10*tblRiskRegister32[[#This Row],[Risk Treatment Safeguard Maturity Score]]+tblRiskRegister32[[#This Row],[VCDB Index]],tblHITIndexWeightTable[],4,FALSE),"")</f>
        <v/>
      </c>
      <c r="AB31" s="138" t="str">
        <f>VLOOKUP(tblRiskRegister32[[#This Row],[Asset Class]],tblInherentImpacts30[],2,FALSE)</f>
        <v/>
      </c>
      <c r="AC31" s="138">
        <f>VLOOKUP(tblRiskRegister32[[#This Row],[Asset Class]],tblInherentImpacts30[],3,FALSE)</f>
        <v>0</v>
      </c>
      <c r="AD31" s="138">
        <f>VLOOKUP(tblRiskRegister32[[#This Row],[Asset Class]],tblInherentImpacts30[],4,FALSE)</f>
        <v>0</v>
      </c>
      <c r="AE31" s="138">
        <f>VLOOKUP(tblRiskRegister32[[#This Row],[Asset Class]],tblInherentImpacts30[],5,FALSE)</f>
        <v>0</v>
      </c>
      <c r="AF31" s="138" t="str">
        <f>IFERROR(MAX(tblRiskRegister32[[#This Row],[Risk Treatment Safeguard Impact to Mission]:[Risk Treatment Safeguard Impact to Obligations]])*tblRiskRegister32[[#This Row],[Risk Treatment
Safeguard Expectancy Score]],"")</f>
        <v/>
      </c>
      <c r="AG31" s="138" t="str">
        <f>IF(tblRiskRegister32[[#This Row],[Risk Score]]&gt;AcceptableRisk,IF(tblRiskRegister32[[#This Row],[Risk Treatment Safeguard Risk Score]]&lt;AcceptableRisk, IF(tblRiskRegister32[[#This Row],[Risk Treatment Safeguard Risk Score]]&lt;=tblRiskRegister32[[#This Row],[Risk Score]],"Yes","No"),"No"),"Yes")</f>
        <v>No</v>
      </c>
      <c r="AH31" s="18"/>
      <c r="AI31" s="18"/>
      <c r="AJ31" s="19"/>
    </row>
    <row r="32" spans="2:40" ht="38.25" x14ac:dyDescent="0.2">
      <c r="B32" s="44" t="s">
        <v>133</v>
      </c>
      <c r="C32" s="44"/>
      <c r="D32" s="112">
        <v>3.12</v>
      </c>
      <c r="E32" s="14" t="s">
        <v>273</v>
      </c>
      <c r="F32" s="17"/>
      <c r="G32" s="17" t="s">
        <v>785</v>
      </c>
      <c r="H32" s="17" t="s">
        <v>928</v>
      </c>
      <c r="I32" s="15"/>
      <c r="J32" s="15"/>
      <c r="K32" s="15"/>
      <c r="L32" s="16"/>
      <c r="M32" s="26">
        <f>IFERROR(VLOOKUP(tblRiskRegister32[[#This Row],[Asset Class]],tblVCDBIndex[],4,FALSE),"")</f>
        <v>1</v>
      </c>
      <c r="N32" s="29" t="str">
        <f>IFERROR(VLOOKUP(10*tblRiskRegister32[[#This Row],[Safeguard Maturity Score]]+tblRiskRegister32[[#This Row],[VCDB Index]],tblHITIndexWeightTable[],4,FALSE),"")</f>
        <v/>
      </c>
      <c r="O32" s="29" t="str">
        <f>VLOOKUP(tblRiskRegister32[[#This Row],[Asset Class]],tblInherentImpacts30[],2,FALSE)</f>
        <v/>
      </c>
      <c r="P32" s="29">
        <f>VLOOKUP(tblRiskRegister32[[#This Row],[Asset Class]],tblInherentImpacts30[],3,FALSE)</f>
        <v>0</v>
      </c>
      <c r="Q32" s="29">
        <f>VLOOKUP(tblRiskRegister32[[#This Row],[Asset Class]],tblInherentImpacts30[],4,FALSE)</f>
        <v>0</v>
      </c>
      <c r="R32" s="29">
        <f>VLOOKUP(tblRiskRegister32[[#This Row],[Asset Class]],tblInherentImpacts30[],5,FALSE)</f>
        <v>0</v>
      </c>
      <c r="S32" s="29" t="str">
        <f>IFERROR(MAX(tblRiskRegister32[[#This Row],[Impact to Mission]:[Impact to Obligations]])*tblRiskRegister32[[#This Row],[Expectancy Score]],"")</f>
        <v/>
      </c>
      <c r="T32" s="29" t="str">
        <f>tblRiskRegister32[[#This Row],[Risk Score]]</f>
        <v/>
      </c>
      <c r="U32" s="100"/>
      <c r="V32" s="112">
        <v>3.12</v>
      </c>
      <c r="W32" s="44" t="s">
        <v>273</v>
      </c>
      <c r="X32" s="44" t="s">
        <v>436</v>
      </c>
      <c r="Y32" s="30"/>
      <c r="Z32" s="16"/>
      <c r="AA32" s="27" t="str">
        <f>IFERROR(VLOOKUP(10*tblRiskRegister32[[#This Row],[Risk Treatment Safeguard Maturity Score]]+tblRiskRegister32[[#This Row],[VCDB Index]],tblHITIndexWeightTable[],4,FALSE),"")</f>
        <v/>
      </c>
      <c r="AB32" s="138" t="str">
        <f>VLOOKUP(tblRiskRegister32[[#This Row],[Asset Class]],tblInherentImpacts30[],2,FALSE)</f>
        <v/>
      </c>
      <c r="AC32" s="138">
        <f>VLOOKUP(tblRiskRegister32[[#This Row],[Asset Class]],tblInherentImpacts30[],3,FALSE)</f>
        <v>0</v>
      </c>
      <c r="AD32" s="138">
        <f>VLOOKUP(tblRiskRegister32[[#This Row],[Asset Class]],tblInherentImpacts30[],4,FALSE)</f>
        <v>0</v>
      </c>
      <c r="AE32" s="138">
        <f>VLOOKUP(tblRiskRegister32[[#This Row],[Asset Class]],tblInherentImpacts30[],5,FALSE)</f>
        <v>0</v>
      </c>
      <c r="AF32" s="138" t="str">
        <f>IFERROR(MAX(tblRiskRegister32[[#This Row],[Risk Treatment Safeguard Impact to Mission]:[Risk Treatment Safeguard Impact to Obligations]])*tblRiskRegister32[[#This Row],[Risk Treatment
Safeguard Expectancy Score]],"")</f>
        <v/>
      </c>
      <c r="AG32" s="138" t="str">
        <f>IF(tblRiskRegister32[[#This Row],[Risk Score]]&gt;AcceptableRisk,IF(tblRiskRegister32[[#This Row],[Risk Treatment Safeguard Risk Score]]&lt;AcceptableRisk, IF(tblRiskRegister32[[#This Row],[Risk Treatment Safeguard Risk Score]]&lt;=tblRiskRegister32[[#This Row],[Risk Score]],"Yes","No"),"No"),"Yes")</f>
        <v>No</v>
      </c>
      <c r="AH32" s="18"/>
      <c r="AI32" s="18"/>
      <c r="AJ32" s="19"/>
    </row>
    <row r="33" spans="2:36" ht="63.75" x14ac:dyDescent="0.2">
      <c r="B33" s="15" t="s">
        <v>132</v>
      </c>
      <c r="C33" s="15"/>
      <c r="D33" s="100">
        <v>4.0999999999999996</v>
      </c>
      <c r="E33" s="14" t="s">
        <v>88</v>
      </c>
      <c r="F33" s="17" t="s">
        <v>785</v>
      </c>
      <c r="G33" s="17" t="s">
        <v>785</v>
      </c>
      <c r="H33" s="17" t="s">
        <v>928</v>
      </c>
      <c r="I33" s="15"/>
      <c r="J33" s="15"/>
      <c r="K33" s="15"/>
      <c r="L33" s="16"/>
      <c r="M33" s="26">
        <f>IFERROR(VLOOKUP(tblRiskRegister32[[#This Row],[Asset Class]],tblVCDBIndex[],4,FALSE),"")</f>
        <v>2</v>
      </c>
      <c r="N33" s="26" t="str">
        <f>IFERROR(VLOOKUP(10*tblRiskRegister32[[#This Row],[Safeguard Maturity Score]]+tblRiskRegister32[[#This Row],[VCDB Index]],tblHITIndexWeightTable[],4,FALSE),"")</f>
        <v/>
      </c>
      <c r="O33" s="26" t="str">
        <f>VLOOKUP(tblRiskRegister32[[#This Row],[Asset Class]],tblInherentImpacts30[],2,FALSE)</f>
        <v/>
      </c>
      <c r="P33" s="26">
        <f>VLOOKUP(tblRiskRegister32[[#This Row],[Asset Class]],tblInherentImpacts30[],3,FALSE)</f>
        <v>0</v>
      </c>
      <c r="Q33" s="26">
        <f>VLOOKUP(tblRiskRegister32[[#This Row],[Asset Class]],tblInherentImpacts30[],4,FALSE)</f>
        <v>0</v>
      </c>
      <c r="R33" s="26">
        <f>VLOOKUP(tblRiskRegister32[[#This Row],[Asset Class]],tblInherentImpacts30[],5,FALSE)</f>
        <v>0</v>
      </c>
      <c r="S33" s="26" t="str">
        <f>IFERROR(MAX(tblRiskRegister32[[#This Row],[Impact to Mission]:[Impact to Obligations]])*tblRiskRegister32[[#This Row],[Expectancy Score]],"")</f>
        <v/>
      </c>
      <c r="T33" s="26" t="str">
        <f>tblRiskRegister32[[#This Row],[Risk Score]]</f>
        <v/>
      </c>
      <c r="U33" s="100"/>
      <c r="V33" s="100">
        <v>4.0999999999999996</v>
      </c>
      <c r="W33" s="15" t="s">
        <v>88</v>
      </c>
      <c r="X33" s="15" t="s">
        <v>437</v>
      </c>
      <c r="Y33" s="15"/>
      <c r="Z33" s="16"/>
      <c r="AA33" s="27" t="str">
        <f>IFERROR(VLOOKUP(10*tblRiskRegister32[[#This Row],[Risk Treatment Safeguard Maturity Score]]+tblRiskRegister32[[#This Row],[VCDB Index]],tblHITIndexWeightTable[],4,FALSE),"")</f>
        <v/>
      </c>
      <c r="AB33" s="138" t="str">
        <f>VLOOKUP(tblRiskRegister32[[#This Row],[Asset Class]],tblInherentImpacts30[],2,FALSE)</f>
        <v/>
      </c>
      <c r="AC33" s="138">
        <f>VLOOKUP(tblRiskRegister32[[#This Row],[Asset Class]],tblInherentImpacts30[],3,FALSE)</f>
        <v>0</v>
      </c>
      <c r="AD33" s="138">
        <f>VLOOKUP(tblRiskRegister32[[#This Row],[Asset Class]],tblInherentImpacts30[],4,FALSE)</f>
        <v>0</v>
      </c>
      <c r="AE33" s="138">
        <f>VLOOKUP(tblRiskRegister32[[#This Row],[Asset Class]],tblInherentImpacts30[],5,FALSE)</f>
        <v>0</v>
      </c>
      <c r="AF33" s="138" t="str">
        <f>IFERROR(MAX(tblRiskRegister32[[#This Row],[Risk Treatment Safeguard Impact to Mission]:[Risk Treatment Safeguard Impact to Obligations]])*tblRiskRegister32[[#This Row],[Risk Treatment
Safeguard Expectancy Score]],"")</f>
        <v/>
      </c>
      <c r="AG33" s="138" t="str">
        <f>IF(tblRiskRegister32[[#This Row],[Risk Score]]&gt;AcceptableRisk,IF(tblRiskRegister32[[#This Row],[Risk Treatment Safeguard Risk Score]]&lt;AcceptableRisk, IF(tblRiskRegister32[[#This Row],[Risk Treatment Safeguard Risk Score]]&lt;=tblRiskRegister32[[#This Row],[Risk Score]],"Yes","No"),"No"),"Yes")</f>
        <v>No</v>
      </c>
      <c r="AH33" s="18"/>
      <c r="AI33" s="18"/>
      <c r="AJ33" s="19"/>
    </row>
    <row r="34" spans="2:36" ht="51" x14ac:dyDescent="0.2">
      <c r="B34" s="44" t="s">
        <v>133</v>
      </c>
      <c r="C34" s="44"/>
      <c r="D34" s="112">
        <v>4.2</v>
      </c>
      <c r="E34" s="14" t="s">
        <v>89</v>
      </c>
      <c r="F34" s="17" t="s">
        <v>785</v>
      </c>
      <c r="G34" s="17" t="s">
        <v>785</v>
      </c>
      <c r="H34" s="17" t="s">
        <v>928</v>
      </c>
      <c r="I34" s="15"/>
      <c r="J34" s="15"/>
      <c r="K34" s="15"/>
      <c r="L34" s="16"/>
      <c r="M34" s="26">
        <f>IFERROR(VLOOKUP(tblRiskRegister32[[#This Row],[Asset Class]],tblVCDBIndex[],4,FALSE),"")</f>
        <v>1</v>
      </c>
      <c r="N34" s="29" t="str">
        <f>IFERROR(VLOOKUP(10*tblRiskRegister32[[#This Row],[Safeguard Maturity Score]]+tblRiskRegister32[[#This Row],[VCDB Index]],tblHITIndexWeightTable[],4,FALSE),"")</f>
        <v/>
      </c>
      <c r="O34" s="29" t="str">
        <f>VLOOKUP(tblRiskRegister32[[#This Row],[Asset Class]],tblInherentImpacts30[],2,FALSE)</f>
        <v/>
      </c>
      <c r="P34" s="29">
        <f>VLOOKUP(tblRiskRegister32[[#This Row],[Asset Class]],tblInherentImpacts30[],3,FALSE)</f>
        <v>0</v>
      </c>
      <c r="Q34" s="29">
        <f>VLOOKUP(tblRiskRegister32[[#This Row],[Asset Class]],tblInherentImpacts30[],4,FALSE)</f>
        <v>0</v>
      </c>
      <c r="R34" s="29">
        <f>VLOOKUP(tblRiskRegister32[[#This Row],[Asset Class]],tblInherentImpacts30[],5,FALSE)</f>
        <v>0</v>
      </c>
      <c r="S34" s="29" t="str">
        <f>IFERROR(MAX(tblRiskRegister32[[#This Row],[Impact to Mission]:[Impact to Obligations]])*tblRiskRegister32[[#This Row],[Expectancy Score]],"")</f>
        <v/>
      </c>
      <c r="T34" s="29" t="str">
        <f>tblRiskRegister32[[#This Row],[Risk Score]]</f>
        <v/>
      </c>
      <c r="U34" s="100"/>
      <c r="V34" s="112">
        <v>4.2</v>
      </c>
      <c r="W34" s="44" t="s">
        <v>89</v>
      </c>
      <c r="X34" s="44" t="s">
        <v>438</v>
      </c>
      <c r="Y34" s="30"/>
      <c r="Z34" s="16"/>
      <c r="AA34" s="27" t="str">
        <f>IFERROR(VLOOKUP(10*tblRiskRegister32[[#This Row],[Risk Treatment Safeguard Maturity Score]]+tblRiskRegister32[[#This Row],[VCDB Index]],tblHITIndexWeightTable[],4,FALSE),"")</f>
        <v/>
      </c>
      <c r="AB34" s="138" t="str">
        <f>VLOOKUP(tblRiskRegister32[[#This Row],[Asset Class]],tblInherentImpacts30[],2,FALSE)</f>
        <v/>
      </c>
      <c r="AC34" s="138">
        <f>VLOOKUP(tblRiskRegister32[[#This Row],[Asset Class]],tblInherentImpacts30[],3,FALSE)</f>
        <v>0</v>
      </c>
      <c r="AD34" s="138">
        <f>VLOOKUP(tblRiskRegister32[[#This Row],[Asset Class]],tblInherentImpacts30[],4,FALSE)</f>
        <v>0</v>
      </c>
      <c r="AE34" s="138">
        <f>VLOOKUP(tblRiskRegister32[[#This Row],[Asset Class]],tblInherentImpacts30[],5,FALSE)</f>
        <v>0</v>
      </c>
      <c r="AF34" s="138" t="str">
        <f>IFERROR(MAX(tblRiskRegister32[[#This Row],[Risk Treatment Safeguard Impact to Mission]:[Risk Treatment Safeguard Impact to Obligations]])*tblRiskRegister32[[#This Row],[Risk Treatment
Safeguard Expectancy Score]],"")</f>
        <v/>
      </c>
      <c r="AG34" s="138" t="str">
        <f>IF(tblRiskRegister32[[#This Row],[Risk Score]]&gt;AcceptableRisk,IF(tblRiskRegister32[[#This Row],[Risk Treatment Safeguard Risk Score]]&lt;AcceptableRisk, IF(tblRiskRegister32[[#This Row],[Risk Treatment Safeguard Risk Score]]&lt;=tblRiskRegister32[[#This Row],[Risk Score]],"Yes","No"),"No"),"Yes")</f>
        <v>No</v>
      </c>
      <c r="AH34" s="18"/>
      <c r="AI34" s="18"/>
      <c r="AJ34" s="19"/>
    </row>
    <row r="35" spans="2:36" ht="51" x14ac:dyDescent="0.2">
      <c r="B35" s="44" t="s">
        <v>134</v>
      </c>
      <c r="C35" s="44"/>
      <c r="D35" s="112">
        <v>4.3</v>
      </c>
      <c r="E35" s="14" t="s">
        <v>90</v>
      </c>
      <c r="F35" s="17" t="s">
        <v>785</v>
      </c>
      <c r="G35" s="17" t="s">
        <v>785</v>
      </c>
      <c r="H35" s="17" t="s">
        <v>928</v>
      </c>
      <c r="I35" s="15"/>
      <c r="J35" s="15"/>
      <c r="K35" s="15"/>
      <c r="L35" s="16"/>
      <c r="M35" s="26">
        <f>IFERROR(VLOOKUP(tblRiskRegister32[[#This Row],[Asset Class]],tblVCDBIndex[],4,FALSE),"")</f>
        <v>3</v>
      </c>
      <c r="N35" s="29" t="str">
        <f>IFERROR(VLOOKUP(10*tblRiskRegister32[[#This Row],[Safeguard Maturity Score]]+tblRiskRegister32[[#This Row],[VCDB Index]],tblHITIndexWeightTable[],4,FALSE),"")</f>
        <v/>
      </c>
      <c r="O35" s="29" t="str">
        <f>VLOOKUP(tblRiskRegister32[[#This Row],[Asset Class]],tblInherentImpacts30[],2,FALSE)</f>
        <v/>
      </c>
      <c r="P35" s="29">
        <f>VLOOKUP(tblRiskRegister32[[#This Row],[Asset Class]],tblInherentImpacts30[],3,FALSE)</f>
        <v>0</v>
      </c>
      <c r="Q35" s="29">
        <f>VLOOKUP(tblRiskRegister32[[#This Row],[Asset Class]],tblInherentImpacts30[],4,FALSE)</f>
        <v>0</v>
      </c>
      <c r="R35" s="29">
        <f>VLOOKUP(tblRiskRegister32[[#This Row],[Asset Class]],tblInherentImpacts30[],5,FALSE)</f>
        <v>0</v>
      </c>
      <c r="S35" s="29" t="str">
        <f>IFERROR(MAX(tblRiskRegister32[[#This Row],[Impact to Mission]:[Impact to Obligations]])*tblRiskRegister32[[#This Row],[Expectancy Score]],"")</f>
        <v/>
      </c>
      <c r="T35" s="29" t="str">
        <f>tblRiskRegister32[[#This Row],[Risk Score]]</f>
        <v/>
      </c>
      <c r="U35" s="100"/>
      <c r="V35" s="112">
        <v>4.3</v>
      </c>
      <c r="W35" s="44" t="s">
        <v>90</v>
      </c>
      <c r="X35" s="44" t="s">
        <v>439</v>
      </c>
      <c r="Y35" s="30"/>
      <c r="Z35" s="16"/>
      <c r="AA35" s="27" t="str">
        <f>IFERROR(VLOOKUP(10*tblRiskRegister32[[#This Row],[Risk Treatment Safeguard Maturity Score]]+tblRiskRegister32[[#This Row],[VCDB Index]],tblHITIndexWeightTable[],4,FALSE),"")</f>
        <v/>
      </c>
      <c r="AB35" s="138" t="str">
        <f>VLOOKUP(tblRiskRegister32[[#This Row],[Asset Class]],tblInherentImpacts30[],2,FALSE)</f>
        <v/>
      </c>
      <c r="AC35" s="138">
        <f>VLOOKUP(tblRiskRegister32[[#This Row],[Asset Class]],tblInherentImpacts30[],3,FALSE)</f>
        <v>0</v>
      </c>
      <c r="AD35" s="138">
        <f>VLOOKUP(tblRiskRegister32[[#This Row],[Asset Class]],tblInherentImpacts30[],4,FALSE)</f>
        <v>0</v>
      </c>
      <c r="AE35" s="138">
        <f>VLOOKUP(tblRiskRegister32[[#This Row],[Asset Class]],tblInherentImpacts30[],5,FALSE)</f>
        <v>0</v>
      </c>
      <c r="AF35" s="138" t="str">
        <f>IFERROR(MAX(tblRiskRegister32[[#This Row],[Risk Treatment Safeguard Impact to Mission]:[Risk Treatment Safeguard Impact to Obligations]])*tblRiskRegister32[[#This Row],[Risk Treatment
Safeguard Expectancy Score]],"")</f>
        <v/>
      </c>
      <c r="AG35" s="138" t="str">
        <f>IF(tblRiskRegister32[[#This Row],[Risk Score]]&gt;AcceptableRisk,IF(tblRiskRegister32[[#This Row],[Risk Treatment Safeguard Risk Score]]&lt;AcceptableRisk, IF(tblRiskRegister32[[#This Row],[Risk Treatment Safeguard Risk Score]]&lt;=tblRiskRegister32[[#This Row],[Risk Score]],"Yes","No"),"No"),"Yes")</f>
        <v>No</v>
      </c>
      <c r="AH35" s="18"/>
      <c r="AI35" s="18"/>
      <c r="AJ35" s="19"/>
    </row>
    <row r="36" spans="2:36" ht="38.25" x14ac:dyDescent="0.2">
      <c r="B36" s="44" t="s">
        <v>131</v>
      </c>
      <c r="C36" s="44"/>
      <c r="D36" s="112">
        <v>4.4000000000000004</v>
      </c>
      <c r="E36" s="14" t="s">
        <v>91</v>
      </c>
      <c r="F36" s="17" t="s">
        <v>785</v>
      </c>
      <c r="G36" s="17" t="s">
        <v>785</v>
      </c>
      <c r="H36" s="17" t="s">
        <v>928</v>
      </c>
      <c r="I36" s="15"/>
      <c r="J36" s="15"/>
      <c r="K36" s="15"/>
      <c r="L36" s="16"/>
      <c r="M36" s="26">
        <f>IFERROR(VLOOKUP(tblRiskRegister32[[#This Row],[Asset Class]],tblVCDBIndex[],4,FALSE),"")</f>
        <v>1</v>
      </c>
      <c r="N36" s="29" t="str">
        <f>IFERROR(VLOOKUP(10*tblRiskRegister32[[#This Row],[Safeguard Maturity Score]]+tblRiskRegister32[[#This Row],[VCDB Index]],tblHITIndexWeightTable[],4,FALSE),"")</f>
        <v/>
      </c>
      <c r="O36" s="29" t="str">
        <f>VLOOKUP(tblRiskRegister32[[#This Row],[Asset Class]],tblInherentImpacts30[],2,FALSE)</f>
        <v/>
      </c>
      <c r="P36" s="29">
        <f>VLOOKUP(tblRiskRegister32[[#This Row],[Asset Class]],tblInherentImpacts30[],3,FALSE)</f>
        <v>0</v>
      </c>
      <c r="Q36" s="29">
        <f>VLOOKUP(tblRiskRegister32[[#This Row],[Asset Class]],tblInherentImpacts30[],4,FALSE)</f>
        <v>0</v>
      </c>
      <c r="R36" s="29">
        <f>VLOOKUP(tblRiskRegister32[[#This Row],[Asset Class]],tblInherentImpacts30[],5,FALSE)</f>
        <v>0</v>
      </c>
      <c r="S36" s="29" t="str">
        <f>IFERROR(MAX(tblRiskRegister32[[#This Row],[Impact to Mission]:[Impact to Obligations]])*tblRiskRegister32[[#This Row],[Expectancy Score]],"")</f>
        <v/>
      </c>
      <c r="T36" s="29" t="str">
        <f>tblRiskRegister32[[#This Row],[Risk Score]]</f>
        <v/>
      </c>
      <c r="U36" s="100"/>
      <c r="V36" s="112">
        <v>4.4000000000000004</v>
      </c>
      <c r="W36" s="44" t="s">
        <v>91</v>
      </c>
      <c r="X36" s="44" t="s">
        <v>440</v>
      </c>
      <c r="Y36" s="30"/>
      <c r="Z36" s="16"/>
      <c r="AA36" s="27" t="str">
        <f>IFERROR(VLOOKUP(10*tblRiskRegister32[[#This Row],[Risk Treatment Safeguard Maturity Score]]+tblRiskRegister32[[#This Row],[VCDB Index]],tblHITIndexWeightTable[],4,FALSE),"")</f>
        <v/>
      </c>
      <c r="AB36" s="138" t="str">
        <f>VLOOKUP(tblRiskRegister32[[#This Row],[Asset Class]],tblInherentImpacts30[],2,FALSE)</f>
        <v/>
      </c>
      <c r="AC36" s="138">
        <f>VLOOKUP(tblRiskRegister32[[#This Row],[Asset Class]],tblInherentImpacts30[],3,FALSE)</f>
        <v>0</v>
      </c>
      <c r="AD36" s="138">
        <f>VLOOKUP(tblRiskRegister32[[#This Row],[Asset Class]],tblInherentImpacts30[],4,FALSE)</f>
        <v>0</v>
      </c>
      <c r="AE36" s="138">
        <f>VLOOKUP(tblRiskRegister32[[#This Row],[Asset Class]],tblInherentImpacts30[],5,FALSE)</f>
        <v>0</v>
      </c>
      <c r="AF36" s="138" t="str">
        <f>IFERROR(MAX(tblRiskRegister32[[#This Row],[Risk Treatment Safeguard Impact to Mission]:[Risk Treatment Safeguard Impact to Obligations]])*tblRiskRegister32[[#This Row],[Risk Treatment
Safeguard Expectancy Score]],"")</f>
        <v/>
      </c>
      <c r="AG36" s="138" t="str">
        <f>IF(tblRiskRegister32[[#This Row],[Risk Score]]&gt;AcceptableRisk,IF(tblRiskRegister32[[#This Row],[Risk Treatment Safeguard Risk Score]]&lt;AcceptableRisk, IF(tblRiskRegister32[[#This Row],[Risk Treatment Safeguard Risk Score]]&lt;=tblRiskRegister32[[#This Row],[Risk Score]],"Yes","No"),"No"),"Yes")</f>
        <v>No</v>
      </c>
      <c r="AH36" s="18"/>
      <c r="AI36" s="18"/>
      <c r="AJ36" s="19"/>
    </row>
    <row r="37" spans="2:36" ht="38.25" x14ac:dyDescent="0.2">
      <c r="B37" s="44" t="s">
        <v>131</v>
      </c>
      <c r="C37" s="44"/>
      <c r="D37" s="112">
        <v>4.5</v>
      </c>
      <c r="E37" s="14" t="s">
        <v>92</v>
      </c>
      <c r="F37" s="17" t="s">
        <v>785</v>
      </c>
      <c r="G37" s="17" t="s">
        <v>785</v>
      </c>
      <c r="H37" s="17" t="s">
        <v>928</v>
      </c>
      <c r="I37" s="15"/>
      <c r="J37" s="15"/>
      <c r="K37" s="15"/>
      <c r="L37" s="16"/>
      <c r="M37" s="26">
        <f>IFERROR(VLOOKUP(tblRiskRegister32[[#This Row],[Asset Class]],tblVCDBIndex[],4,FALSE),"")</f>
        <v>1</v>
      </c>
      <c r="N37" s="29" t="str">
        <f>IFERROR(VLOOKUP(10*tblRiskRegister32[[#This Row],[Safeguard Maturity Score]]+tblRiskRegister32[[#This Row],[VCDB Index]],tblHITIndexWeightTable[],4,FALSE),"")</f>
        <v/>
      </c>
      <c r="O37" s="29" t="str">
        <f>VLOOKUP(tblRiskRegister32[[#This Row],[Asset Class]],tblInherentImpacts30[],2,FALSE)</f>
        <v/>
      </c>
      <c r="P37" s="29">
        <f>VLOOKUP(tblRiskRegister32[[#This Row],[Asset Class]],tblInherentImpacts30[],3,FALSE)</f>
        <v>0</v>
      </c>
      <c r="Q37" s="29">
        <f>VLOOKUP(tblRiskRegister32[[#This Row],[Asset Class]],tblInherentImpacts30[],4,FALSE)</f>
        <v>0</v>
      </c>
      <c r="R37" s="29">
        <f>VLOOKUP(tblRiskRegister32[[#This Row],[Asset Class]],tblInherentImpacts30[],5,FALSE)</f>
        <v>0</v>
      </c>
      <c r="S37" s="29" t="str">
        <f>IFERROR(MAX(tblRiskRegister32[[#This Row],[Impact to Mission]:[Impact to Obligations]])*tblRiskRegister32[[#This Row],[Expectancy Score]],"")</f>
        <v/>
      </c>
      <c r="T37" s="29" t="str">
        <f>tblRiskRegister32[[#This Row],[Risk Score]]</f>
        <v/>
      </c>
      <c r="U37" s="100"/>
      <c r="V37" s="112">
        <v>4.5</v>
      </c>
      <c r="W37" s="44" t="s">
        <v>92</v>
      </c>
      <c r="X37" s="44" t="s">
        <v>441</v>
      </c>
      <c r="Y37" s="30"/>
      <c r="Z37" s="16"/>
      <c r="AA37" s="27" t="str">
        <f>IFERROR(VLOOKUP(10*tblRiskRegister32[[#This Row],[Risk Treatment Safeguard Maturity Score]]+tblRiskRegister32[[#This Row],[VCDB Index]],tblHITIndexWeightTable[],4,FALSE),"")</f>
        <v/>
      </c>
      <c r="AB37" s="138" t="str">
        <f>VLOOKUP(tblRiskRegister32[[#This Row],[Asset Class]],tblInherentImpacts30[],2,FALSE)</f>
        <v/>
      </c>
      <c r="AC37" s="138">
        <f>VLOOKUP(tblRiskRegister32[[#This Row],[Asset Class]],tblInherentImpacts30[],3,FALSE)</f>
        <v>0</v>
      </c>
      <c r="AD37" s="138">
        <f>VLOOKUP(tblRiskRegister32[[#This Row],[Asset Class]],tblInherentImpacts30[],4,FALSE)</f>
        <v>0</v>
      </c>
      <c r="AE37" s="138">
        <f>VLOOKUP(tblRiskRegister32[[#This Row],[Asset Class]],tblInherentImpacts30[],5,FALSE)</f>
        <v>0</v>
      </c>
      <c r="AF37" s="138" t="str">
        <f>IFERROR(MAX(tblRiskRegister32[[#This Row],[Risk Treatment Safeguard Impact to Mission]:[Risk Treatment Safeguard Impact to Obligations]])*tblRiskRegister32[[#This Row],[Risk Treatment
Safeguard Expectancy Score]],"")</f>
        <v/>
      </c>
      <c r="AG37" s="138" t="str">
        <f>IF(tblRiskRegister32[[#This Row],[Risk Score]]&gt;AcceptableRisk,IF(tblRiskRegister32[[#This Row],[Risk Treatment Safeguard Risk Score]]&lt;AcceptableRisk, IF(tblRiskRegister32[[#This Row],[Risk Treatment Safeguard Risk Score]]&lt;=tblRiskRegister32[[#This Row],[Risk Score]],"Yes","No"),"No"),"Yes")</f>
        <v>No</v>
      </c>
      <c r="AH37" s="18"/>
      <c r="AI37" s="18"/>
      <c r="AJ37" s="19"/>
    </row>
    <row r="38" spans="2:36" ht="76.5" x14ac:dyDescent="0.2">
      <c r="B38" s="44" t="s">
        <v>133</v>
      </c>
      <c r="C38" s="44"/>
      <c r="D38" s="112">
        <v>4.5999999999999996</v>
      </c>
      <c r="E38" s="14" t="s">
        <v>93</v>
      </c>
      <c r="F38" s="17" t="s">
        <v>785</v>
      </c>
      <c r="G38" s="17" t="s">
        <v>785</v>
      </c>
      <c r="H38" s="17" t="s">
        <v>928</v>
      </c>
      <c r="I38" s="15"/>
      <c r="J38" s="15"/>
      <c r="K38" s="15"/>
      <c r="L38" s="16"/>
      <c r="M38" s="26">
        <f>IFERROR(VLOOKUP(tblRiskRegister32[[#This Row],[Asset Class]],tblVCDBIndex[],4,FALSE),"")</f>
        <v>1</v>
      </c>
      <c r="N38" s="29" t="str">
        <f>IFERROR(VLOOKUP(10*tblRiskRegister32[[#This Row],[Safeguard Maturity Score]]+tblRiskRegister32[[#This Row],[VCDB Index]],tblHITIndexWeightTable[],4,FALSE),"")</f>
        <v/>
      </c>
      <c r="O38" s="29" t="str">
        <f>VLOOKUP(tblRiskRegister32[[#This Row],[Asset Class]],tblInherentImpacts30[],2,FALSE)</f>
        <v/>
      </c>
      <c r="P38" s="29">
        <f>VLOOKUP(tblRiskRegister32[[#This Row],[Asset Class]],tblInherentImpacts30[],3,FALSE)</f>
        <v>0</v>
      </c>
      <c r="Q38" s="29">
        <f>VLOOKUP(tblRiskRegister32[[#This Row],[Asset Class]],tblInherentImpacts30[],4,FALSE)</f>
        <v>0</v>
      </c>
      <c r="R38" s="29">
        <f>VLOOKUP(tblRiskRegister32[[#This Row],[Asset Class]],tblInherentImpacts30[],5,FALSE)</f>
        <v>0</v>
      </c>
      <c r="S38" s="29" t="str">
        <f>IFERROR(MAX(tblRiskRegister32[[#This Row],[Impact to Mission]:[Impact to Obligations]])*tblRiskRegister32[[#This Row],[Expectancy Score]],"")</f>
        <v/>
      </c>
      <c r="T38" s="29" t="str">
        <f>tblRiskRegister32[[#This Row],[Risk Score]]</f>
        <v/>
      </c>
      <c r="U38" s="100"/>
      <c r="V38" s="112">
        <v>4.5999999999999996</v>
      </c>
      <c r="W38" s="44" t="s">
        <v>93</v>
      </c>
      <c r="X38" s="44" t="s">
        <v>442</v>
      </c>
      <c r="Y38" s="30"/>
      <c r="Z38" s="16"/>
      <c r="AA38" s="27" t="str">
        <f>IFERROR(VLOOKUP(10*tblRiskRegister32[[#This Row],[Risk Treatment Safeguard Maturity Score]]+tblRiskRegister32[[#This Row],[VCDB Index]],tblHITIndexWeightTable[],4,FALSE),"")</f>
        <v/>
      </c>
      <c r="AB38" s="138" t="str">
        <f>VLOOKUP(tblRiskRegister32[[#This Row],[Asset Class]],tblInherentImpacts30[],2,FALSE)</f>
        <v/>
      </c>
      <c r="AC38" s="138">
        <f>VLOOKUP(tblRiskRegister32[[#This Row],[Asset Class]],tblInherentImpacts30[],3,FALSE)</f>
        <v>0</v>
      </c>
      <c r="AD38" s="138">
        <f>VLOOKUP(tblRiskRegister32[[#This Row],[Asset Class]],tblInherentImpacts30[],4,FALSE)</f>
        <v>0</v>
      </c>
      <c r="AE38" s="138">
        <f>VLOOKUP(tblRiskRegister32[[#This Row],[Asset Class]],tblInherentImpacts30[],5,FALSE)</f>
        <v>0</v>
      </c>
      <c r="AF38" s="138" t="str">
        <f>IFERROR(MAX(tblRiskRegister32[[#This Row],[Risk Treatment Safeguard Impact to Mission]:[Risk Treatment Safeguard Impact to Obligations]])*tblRiskRegister32[[#This Row],[Risk Treatment
Safeguard Expectancy Score]],"")</f>
        <v/>
      </c>
      <c r="AG38" s="138" t="str">
        <f>IF(tblRiskRegister32[[#This Row],[Risk Score]]&gt;AcceptableRisk,IF(tblRiskRegister32[[#This Row],[Risk Treatment Safeguard Risk Score]]&lt;AcceptableRisk, IF(tblRiskRegister32[[#This Row],[Risk Treatment Safeguard Risk Score]]&lt;=tblRiskRegister32[[#This Row],[Risk Score]],"Yes","No"),"No"),"Yes")</f>
        <v>No</v>
      </c>
      <c r="AH38" s="18"/>
      <c r="AI38" s="18"/>
      <c r="AJ38" s="19"/>
    </row>
    <row r="39" spans="2:36" ht="51" x14ac:dyDescent="0.2">
      <c r="B39" s="44" t="s">
        <v>134</v>
      </c>
      <c r="C39" s="44"/>
      <c r="D39" s="112">
        <v>4.7</v>
      </c>
      <c r="E39" s="14" t="s">
        <v>94</v>
      </c>
      <c r="F39" s="17" t="s">
        <v>785</v>
      </c>
      <c r="G39" s="17" t="s">
        <v>785</v>
      </c>
      <c r="H39" s="17" t="s">
        <v>928</v>
      </c>
      <c r="I39" s="15"/>
      <c r="J39" s="15"/>
      <c r="K39" s="15"/>
      <c r="L39" s="16"/>
      <c r="M39" s="26">
        <f>IFERROR(VLOOKUP(tblRiskRegister32[[#This Row],[Asset Class]],tblVCDBIndex[],4,FALSE),"")</f>
        <v>3</v>
      </c>
      <c r="N39" s="29" t="str">
        <f>IFERROR(VLOOKUP(10*tblRiskRegister32[[#This Row],[Safeguard Maturity Score]]+tblRiskRegister32[[#This Row],[VCDB Index]],tblHITIndexWeightTable[],4,FALSE),"")</f>
        <v/>
      </c>
      <c r="O39" s="29" t="str">
        <f>VLOOKUP(tblRiskRegister32[[#This Row],[Asset Class]],tblInherentImpacts30[],2,FALSE)</f>
        <v/>
      </c>
      <c r="P39" s="29">
        <f>VLOOKUP(tblRiskRegister32[[#This Row],[Asset Class]],tblInherentImpacts30[],3,FALSE)</f>
        <v>0</v>
      </c>
      <c r="Q39" s="29">
        <f>VLOOKUP(tblRiskRegister32[[#This Row],[Asset Class]],tblInherentImpacts30[],4,FALSE)</f>
        <v>0</v>
      </c>
      <c r="R39" s="29">
        <f>VLOOKUP(tblRiskRegister32[[#This Row],[Asset Class]],tblInherentImpacts30[],5,FALSE)</f>
        <v>0</v>
      </c>
      <c r="S39" s="29" t="str">
        <f>IFERROR(MAX(tblRiskRegister32[[#This Row],[Impact to Mission]:[Impact to Obligations]])*tblRiskRegister32[[#This Row],[Expectancy Score]],"")</f>
        <v/>
      </c>
      <c r="T39" s="29" t="str">
        <f>tblRiskRegister32[[#This Row],[Risk Score]]</f>
        <v/>
      </c>
      <c r="U39" s="100"/>
      <c r="V39" s="112">
        <v>4.7</v>
      </c>
      <c r="W39" s="44" t="s">
        <v>94</v>
      </c>
      <c r="X39" s="44" t="s">
        <v>443</v>
      </c>
      <c r="Y39" s="30"/>
      <c r="Z39" s="16"/>
      <c r="AA39" s="27" t="str">
        <f>IFERROR(VLOOKUP(10*tblRiskRegister32[[#This Row],[Risk Treatment Safeguard Maturity Score]]+tblRiskRegister32[[#This Row],[VCDB Index]],tblHITIndexWeightTable[],4,FALSE),"")</f>
        <v/>
      </c>
      <c r="AB39" s="138" t="str">
        <f>VLOOKUP(tblRiskRegister32[[#This Row],[Asset Class]],tblInherentImpacts30[],2,FALSE)</f>
        <v/>
      </c>
      <c r="AC39" s="138">
        <f>VLOOKUP(tblRiskRegister32[[#This Row],[Asset Class]],tblInherentImpacts30[],3,FALSE)</f>
        <v>0</v>
      </c>
      <c r="AD39" s="138">
        <f>VLOOKUP(tblRiskRegister32[[#This Row],[Asset Class]],tblInherentImpacts30[],4,FALSE)</f>
        <v>0</v>
      </c>
      <c r="AE39" s="138">
        <f>VLOOKUP(tblRiskRegister32[[#This Row],[Asset Class]],tblInherentImpacts30[],5,FALSE)</f>
        <v>0</v>
      </c>
      <c r="AF39" s="138" t="str">
        <f>IFERROR(MAX(tblRiskRegister32[[#This Row],[Risk Treatment Safeguard Impact to Mission]:[Risk Treatment Safeguard Impact to Obligations]])*tblRiskRegister32[[#This Row],[Risk Treatment
Safeguard Expectancy Score]],"")</f>
        <v/>
      </c>
      <c r="AG39" s="138" t="str">
        <f>IF(tblRiskRegister32[[#This Row],[Risk Score]]&gt;AcceptableRisk,IF(tblRiskRegister32[[#This Row],[Risk Treatment Safeguard Risk Score]]&lt;AcceptableRisk, IF(tblRiskRegister32[[#This Row],[Risk Treatment Safeguard Risk Score]]&lt;=tblRiskRegister32[[#This Row],[Risk Score]],"Yes","No"),"No"),"Yes")</f>
        <v>No</v>
      </c>
      <c r="AH39" s="18"/>
      <c r="AI39" s="18"/>
      <c r="AJ39" s="19"/>
    </row>
    <row r="40" spans="2:36" ht="51" x14ac:dyDescent="0.2">
      <c r="B40" s="44" t="s">
        <v>131</v>
      </c>
      <c r="C40" s="44"/>
      <c r="D40" s="112">
        <v>4.8</v>
      </c>
      <c r="E40" s="14" t="s">
        <v>251</v>
      </c>
      <c r="F40" s="17"/>
      <c r="G40" s="17" t="s">
        <v>785</v>
      </c>
      <c r="H40" s="17" t="s">
        <v>928</v>
      </c>
      <c r="I40" s="15"/>
      <c r="J40" s="15"/>
      <c r="K40" s="15"/>
      <c r="L40" s="16"/>
      <c r="M40" s="26">
        <f>IFERROR(VLOOKUP(tblRiskRegister32[[#This Row],[Asset Class]],tblVCDBIndex[],4,FALSE),"")</f>
        <v>1</v>
      </c>
      <c r="N40" s="29" t="str">
        <f>IFERROR(VLOOKUP(10*tblRiskRegister32[[#This Row],[Safeguard Maturity Score]]+tblRiskRegister32[[#This Row],[VCDB Index]],tblHITIndexWeightTable[],4,FALSE),"")</f>
        <v/>
      </c>
      <c r="O40" s="29" t="str">
        <f>VLOOKUP(tblRiskRegister32[[#This Row],[Asset Class]],tblInherentImpacts30[],2,FALSE)</f>
        <v/>
      </c>
      <c r="P40" s="29">
        <f>VLOOKUP(tblRiskRegister32[[#This Row],[Asset Class]],tblInherentImpacts30[],3,FALSE)</f>
        <v>0</v>
      </c>
      <c r="Q40" s="29">
        <f>VLOOKUP(tblRiskRegister32[[#This Row],[Asset Class]],tblInherentImpacts30[],4,FALSE)</f>
        <v>0</v>
      </c>
      <c r="R40" s="29">
        <f>VLOOKUP(tblRiskRegister32[[#This Row],[Asset Class]],tblInherentImpacts30[],5,FALSE)</f>
        <v>0</v>
      </c>
      <c r="S40" s="29" t="str">
        <f>IFERROR(MAX(tblRiskRegister32[[#This Row],[Impact to Mission]:[Impact to Obligations]])*tblRiskRegister32[[#This Row],[Expectancy Score]],"")</f>
        <v/>
      </c>
      <c r="T40" s="29" t="str">
        <f>tblRiskRegister32[[#This Row],[Risk Score]]</f>
        <v/>
      </c>
      <c r="U40" s="100"/>
      <c r="V40" s="112">
        <v>4.8</v>
      </c>
      <c r="W40" s="44" t="s">
        <v>251</v>
      </c>
      <c r="X40" s="44" t="s">
        <v>444</v>
      </c>
      <c r="Y40" s="30"/>
      <c r="Z40" s="16"/>
      <c r="AA40" s="27" t="str">
        <f>IFERROR(VLOOKUP(10*tblRiskRegister32[[#This Row],[Risk Treatment Safeguard Maturity Score]]+tblRiskRegister32[[#This Row],[VCDB Index]],tblHITIndexWeightTable[],4,FALSE),"")</f>
        <v/>
      </c>
      <c r="AB40" s="138" t="str">
        <f>VLOOKUP(tblRiskRegister32[[#This Row],[Asset Class]],tblInherentImpacts30[],2,FALSE)</f>
        <v/>
      </c>
      <c r="AC40" s="138">
        <f>VLOOKUP(tblRiskRegister32[[#This Row],[Asset Class]],tblInherentImpacts30[],3,FALSE)</f>
        <v>0</v>
      </c>
      <c r="AD40" s="138">
        <f>VLOOKUP(tblRiskRegister32[[#This Row],[Asset Class]],tblInherentImpacts30[],4,FALSE)</f>
        <v>0</v>
      </c>
      <c r="AE40" s="138">
        <f>VLOOKUP(tblRiskRegister32[[#This Row],[Asset Class]],tblInherentImpacts30[],5,FALSE)</f>
        <v>0</v>
      </c>
      <c r="AF40" s="138" t="str">
        <f>IFERROR(MAX(tblRiskRegister32[[#This Row],[Risk Treatment Safeguard Impact to Mission]:[Risk Treatment Safeguard Impact to Obligations]])*tblRiskRegister32[[#This Row],[Risk Treatment
Safeguard Expectancy Score]],"")</f>
        <v/>
      </c>
      <c r="AG40" s="138" t="str">
        <f>IF(tblRiskRegister32[[#This Row],[Risk Score]]&gt;AcceptableRisk,IF(tblRiskRegister32[[#This Row],[Risk Treatment Safeguard Risk Score]]&lt;AcceptableRisk, IF(tblRiskRegister32[[#This Row],[Risk Treatment Safeguard Risk Score]]&lt;=tblRiskRegister32[[#This Row],[Risk Score]],"Yes","No"),"No"),"Yes")</f>
        <v>No</v>
      </c>
      <c r="AH40" s="18"/>
      <c r="AI40" s="18"/>
      <c r="AJ40" s="19"/>
    </row>
    <row r="41" spans="2:36" ht="38.25" x14ac:dyDescent="0.2">
      <c r="B41" s="44" t="s">
        <v>131</v>
      </c>
      <c r="C41" s="44"/>
      <c r="D41" s="112">
        <v>4.9000000000000004</v>
      </c>
      <c r="E41" s="14" t="s">
        <v>252</v>
      </c>
      <c r="F41" s="17"/>
      <c r="G41" s="17" t="s">
        <v>785</v>
      </c>
      <c r="H41" s="17" t="s">
        <v>928</v>
      </c>
      <c r="I41" s="15"/>
      <c r="J41" s="15"/>
      <c r="K41" s="15"/>
      <c r="L41" s="16"/>
      <c r="M41" s="26">
        <f>IFERROR(VLOOKUP(tblRiskRegister32[[#This Row],[Asset Class]],tblVCDBIndex[],4,FALSE),"")</f>
        <v>1</v>
      </c>
      <c r="N41" s="29" t="str">
        <f>IFERROR(VLOOKUP(10*tblRiskRegister32[[#This Row],[Safeguard Maturity Score]]+tblRiskRegister32[[#This Row],[VCDB Index]],tblHITIndexWeightTable[],4,FALSE),"")</f>
        <v/>
      </c>
      <c r="O41" s="29" t="str">
        <f>VLOOKUP(tblRiskRegister32[[#This Row],[Asset Class]],tblInherentImpacts30[],2,FALSE)</f>
        <v/>
      </c>
      <c r="P41" s="29">
        <f>VLOOKUP(tblRiskRegister32[[#This Row],[Asset Class]],tblInherentImpacts30[],3,FALSE)</f>
        <v>0</v>
      </c>
      <c r="Q41" s="29">
        <f>VLOOKUP(tblRiskRegister32[[#This Row],[Asset Class]],tblInherentImpacts30[],4,FALSE)</f>
        <v>0</v>
      </c>
      <c r="R41" s="29">
        <f>VLOOKUP(tblRiskRegister32[[#This Row],[Asset Class]],tblInherentImpacts30[],5,FALSE)</f>
        <v>0</v>
      </c>
      <c r="S41" s="29" t="str">
        <f>IFERROR(MAX(tblRiskRegister32[[#This Row],[Impact to Mission]:[Impact to Obligations]])*tblRiskRegister32[[#This Row],[Expectancy Score]],"")</f>
        <v/>
      </c>
      <c r="T41" s="29" t="str">
        <f>tblRiskRegister32[[#This Row],[Risk Score]]</f>
        <v/>
      </c>
      <c r="U41" s="100"/>
      <c r="V41" s="112">
        <v>4.9000000000000004</v>
      </c>
      <c r="W41" s="44" t="s">
        <v>252</v>
      </c>
      <c r="X41" s="44" t="s">
        <v>445</v>
      </c>
      <c r="Y41" s="30"/>
      <c r="Z41" s="16"/>
      <c r="AA41" s="27" t="str">
        <f>IFERROR(VLOOKUP(10*tblRiskRegister32[[#This Row],[Risk Treatment Safeguard Maturity Score]]+tblRiskRegister32[[#This Row],[VCDB Index]],tblHITIndexWeightTable[],4,FALSE),"")</f>
        <v/>
      </c>
      <c r="AB41" s="138" t="str">
        <f>VLOOKUP(tblRiskRegister32[[#This Row],[Asset Class]],tblInherentImpacts30[],2,FALSE)</f>
        <v/>
      </c>
      <c r="AC41" s="138">
        <f>VLOOKUP(tblRiskRegister32[[#This Row],[Asset Class]],tblInherentImpacts30[],3,FALSE)</f>
        <v>0</v>
      </c>
      <c r="AD41" s="138">
        <f>VLOOKUP(tblRiskRegister32[[#This Row],[Asset Class]],tblInherentImpacts30[],4,FALSE)</f>
        <v>0</v>
      </c>
      <c r="AE41" s="138">
        <f>VLOOKUP(tblRiskRegister32[[#This Row],[Asset Class]],tblInherentImpacts30[],5,FALSE)</f>
        <v>0</v>
      </c>
      <c r="AF41" s="138" t="str">
        <f>IFERROR(MAX(tblRiskRegister32[[#This Row],[Risk Treatment Safeguard Impact to Mission]:[Risk Treatment Safeguard Impact to Obligations]])*tblRiskRegister32[[#This Row],[Risk Treatment
Safeguard Expectancy Score]],"")</f>
        <v/>
      </c>
      <c r="AG41" s="138" t="str">
        <f>IF(tblRiskRegister32[[#This Row],[Risk Score]]&gt;AcceptableRisk,IF(tblRiskRegister32[[#This Row],[Risk Treatment Safeguard Risk Score]]&lt;AcceptableRisk, IF(tblRiskRegister32[[#This Row],[Risk Treatment Safeguard Risk Score]]&lt;=tblRiskRegister32[[#This Row],[Risk Score]],"Yes","No"),"No"),"Yes")</f>
        <v>No</v>
      </c>
      <c r="AH41" s="18"/>
      <c r="AI41" s="18"/>
      <c r="AJ41" s="19"/>
    </row>
    <row r="42" spans="2:36" ht="76.5" x14ac:dyDescent="0.2">
      <c r="B42" s="44" t="s">
        <v>131</v>
      </c>
      <c r="C42" s="44"/>
      <c r="D42" s="288">
        <v>4.0999999999999996</v>
      </c>
      <c r="E42" s="14" t="s">
        <v>253</v>
      </c>
      <c r="F42" s="17"/>
      <c r="G42" s="17" t="s">
        <v>785</v>
      </c>
      <c r="H42" s="17" t="s">
        <v>927</v>
      </c>
      <c r="I42" s="15"/>
      <c r="J42" s="15"/>
      <c r="K42" s="15"/>
      <c r="L42" s="16"/>
      <c r="M42" s="26">
        <f>IFERROR(VLOOKUP(tblRiskRegister32[[#This Row],[Asset Class]],tblVCDBIndex[],4,FALSE),"")</f>
        <v>1</v>
      </c>
      <c r="N42" s="29" t="str">
        <f>IFERROR(VLOOKUP(10*tblRiskRegister32[[#This Row],[Safeguard Maturity Score]]+tblRiskRegister32[[#This Row],[VCDB Index]],tblHITIndexWeightTable[],4,FALSE),"")</f>
        <v/>
      </c>
      <c r="O42" s="29" t="str">
        <f>VLOOKUP(tblRiskRegister32[[#This Row],[Asset Class]],tblInherentImpacts30[],2,FALSE)</f>
        <v/>
      </c>
      <c r="P42" s="29">
        <f>VLOOKUP(tblRiskRegister32[[#This Row],[Asset Class]],tblInherentImpacts30[],3,FALSE)</f>
        <v>0</v>
      </c>
      <c r="Q42" s="29">
        <f>VLOOKUP(tblRiskRegister32[[#This Row],[Asset Class]],tblInherentImpacts30[],4,FALSE)</f>
        <v>0</v>
      </c>
      <c r="R42" s="29">
        <f>VLOOKUP(tblRiskRegister32[[#This Row],[Asset Class]],tblInherentImpacts30[],5,FALSE)</f>
        <v>0</v>
      </c>
      <c r="S42" s="29" t="str">
        <f>IFERROR(MAX(tblRiskRegister32[[#This Row],[Impact to Mission]:[Impact to Obligations]])*tblRiskRegister32[[#This Row],[Expectancy Score]],"")</f>
        <v/>
      </c>
      <c r="T42" s="29" t="str">
        <f>tblRiskRegister32[[#This Row],[Risk Score]]</f>
        <v/>
      </c>
      <c r="U42" s="100"/>
      <c r="V42" s="112">
        <v>4.0999999999999996</v>
      </c>
      <c r="W42" s="44" t="s">
        <v>253</v>
      </c>
      <c r="X42" s="44" t="s">
        <v>446</v>
      </c>
      <c r="Y42" s="30"/>
      <c r="Z42" s="16"/>
      <c r="AA42" s="27" t="str">
        <f>IFERROR(VLOOKUP(10*tblRiskRegister32[[#This Row],[Risk Treatment Safeguard Maturity Score]]+tblRiskRegister32[[#This Row],[VCDB Index]],tblHITIndexWeightTable[],4,FALSE),"")</f>
        <v/>
      </c>
      <c r="AB42" s="138" t="str">
        <f>VLOOKUP(tblRiskRegister32[[#This Row],[Asset Class]],tblInherentImpacts30[],2,FALSE)</f>
        <v/>
      </c>
      <c r="AC42" s="138">
        <f>VLOOKUP(tblRiskRegister32[[#This Row],[Asset Class]],tblInherentImpacts30[],3,FALSE)</f>
        <v>0</v>
      </c>
      <c r="AD42" s="138">
        <f>VLOOKUP(tblRiskRegister32[[#This Row],[Asset Class]],tblInherentImpacts30[],4,FALSE)</f>
        <v>0</v>
      </c>
      <c r="AE42" s="138">
        <f>VLOOKUP(tblRiskRegister32[[#This Row],[Asset Class]],tblInherentImpacts30[],5,FALSE)</f>
        <v>0</v>
      </c>
      <c r="AF42" s="138" t="str">
        <f>IFERROR(MAX(tblRiskRegister32[[#This Row],[Risk Treatment Safeguard Impact to Mission]:[Risk Treatment Safeguard Impact to Obligations]])*tblRiskRegister32[[#This Row],[Risk Treatment
Safeguard Expectancy Score]],"")</f>
        <v/>
      </c>
      <c r="AG42" s="138" t="str">
        <f>IF(tblRiskRegister32[[#This Row],[Risk Score]]&gt;AcceptableRisk,IF(tblRiskRegister32[[#This Row],[Risk Treatment Safeguard Risk Score]]&lt;AcceptableRisk, IF(tblRiskRegister32[[#This Row],[Risk Treatment Safeguard Risk Score]]&lt;=tblRiskRegister32[[#This Row],[Risk Score]],"Yes","No"),"No"),"Yes")</f>
        <v>No</v>
      </c>
      <c r="AH42" s="18"/>
      <c r="AI42" s="18"/>
      <c r="AJ42" s="19"/>
    </row>
    <row r="43" spans="2:36" ht="38.25" x14ac:dyDescent="0.2">
      <c r="B43" s="44" t="s">
        <v>131</v>
      </c>
      <c r="C43" s="44"/>
      <c r="D43" s="112">
        <v>4.1100000000000003</v>
      </c>
      <c r="E43" s="14" t="s">
        <v>254</v>
      </c>
      <c r="F43" s="17"/>
      <c r="G43" s="17" t="s">
        <v>785</v>
      </c>
      <c r="H43" s="17" t="s">
        <v>928</v>
      </c>
      <c r="I43" s="15"/>
      <c r="J43" s="15"/>
      <c r="K43" s="15"/>
      <c r="L43" s="16"/>
      <c r="M43" s="26">
        <f>IFERROR(VLOOKUP(tblRiskRegister32[[#This Row],[Asset Class]],tblVCDBIndex[],4,FALSE),"")</f>
        <v>1</v>
      </c>
      <c r="N43" s="29" t="str">
        <f>IFERROR(VLOOKUP(10*tblRiskRegister32[[#This Row],[Safeguard Maturity Score]]+tblRiskRegister32[[#This Row],[VCDB Index]],tblHITIndexWeightTable[],4,FALSE),"")</f>
        <v/>
      </c>
      <c r="O43" s="29" t="str">
        <f>VLOOKUP(tblRiskRegister32[[#This Row],[Asset Class]],tblInherentImpacts30[],2,FALSE)</f>
        <v/>
      </c>
      <c r="P43" s="29">
        <f>VLOOKUP(tblRiskRegister32[[#This Row],[Asset Class]],tblInherentImpacts30[],3,FALSE)</f>
        <v>0</v>
      </c>
      <c r="Q43" s="29">
        <f>VLOOKUP(tblRiskRegister32[[#This Row],[Asset Class]],tblInherentImpacts30[],4,FALSE)</f>
        <v>0</v>
      </c>
      <c r="R43" s="29">
        <f>VLOOKUP(tblRiskRegister32[[#This Row],[Asset Class]],tblInherentImpacts30[],5,FALSE)</f>
        <v>0</v>
      </c>
      <c r="S43" s="29" t="str">
        <f>IFERROR(MAX(tblRiskRegister32[[#This Row],[Impact to Mission]:[Impact to Obligations]])*tblRiskRegister32[[#This Row],[Expectancy Score]],"")</f>
        <v/>
      </c>
      <c r="T43" s="29" t="str">
        <f>tblRiskRegister32[[#This Row],[Risk Score]]</f>
        <v/>
      </c>
      <c r="U43" s="100"/>
      <c r="V43" s="112">
        <v>4.1100000000000003</v>
      </c>
      <c r="W43" s="44" t="s">
        <v>254</v>
      </c>
      <c r="X43" s="44" t="s">
        <v>447</v>
      </c>
      <c r="Y43" s="30"/>
      <c r="Z43" s="16"/>
      <c r="AA43" s="27" t="str">
        <f>IFERROR(VLOOKUP(10*tblRiskRegister32[[#This Row],[Risk Treatment Safeguard Maturity Score]]+tblRiskRegister32[[#This Row],[VCDB Index]],tblHITIndexWeightTable[],4,FALSE),"")</f>
        <v/>
      </c>
      <c r="AB43" s="138" t="str">
        <f>VLOOKUP(tblRiskRegister32[[#This Row],[Asset Class]],tblInherentImpacts30[],2,FALSE)</f>
        <v/>
      </c>
      <c r="AC43" s="138">
        <f>VLOOKUP(tblRiskRegister32[[#This Row],[Asset Class]],tblInherentImpacts30[],3,FALSE)</f>
        <v>0</v>
      </c>
      <c r="AD43" s="138">
        <f>VLOOKUP(tblRiskRegister32[[#This Row],[Asset Class]],tblInherentImpacts30[],4,FALSE)</f>
        <v>0</v>
      </c>
      <c r="AE43" s="138">
        <f>VLOOKUP(tblRiskRegister32[[#This Row],[Asset Class]],tblInherentImpacts30[],5,FALSE)</f>
        <v>0</v>
      </c>
      <c r="AF43" s="138" t="str">
        <f>IFERROR(MAX(tblRiskRegister32[[#This Row],[Risk Treatment Safeguard Impact to Mission]:[Risk Treatment Safeguard Impact to Obligations]])*tblRiskRegister32[[#This Row],[Risk Treatment
Safeguard Expectancy Score]],"")</f>
        <v/>
      </c>
      <c r="AG43" s="138" t="str">
        <f>IF(tblRiskRegister32[[#This Row],[Risk Score]]&gt;AcceptableRisk,IF(tblRiskRegister32[[#This Row],[Risk Treatment Safeguard Risk Score]]&lt;AcceptableRisk, IF(tblRiskRegister32[[#This Row],[Risk Treatment Safeguard Risk Score]]&lt;=tblRiskRegister32[[#This Row],[Risk Score]],"Yes","No"),"No"),"Yes")</f>
        <v>No</v>
      </c>
      <c r="AH43" s="18"/>
      <c r="AI43" s="18"/>
      <c r="AJ43" s="19"/>
    </row>
    <row r="44" spans="2:36" ht="76.5" x14ac:dyDescent="0.2">
      <c r="B44" s="44" t="s">
        <v>134</v>
      </c>
      <c r="C44" s="44"/>
      <c r="D44" s="112">
        <v>5.0999999999999996</v>
      </c>
      <c r="E44" s="14" t="s">
        <v>95</v>
      </c>
      <c r="F44" s="17" t="s">
        <v>785</v>
      </c>
      <c r="G44" s="17" t="s">
        <v>785</v>
      </c>
      <c r="H44" s="17" t="s">
        <v>926</v>
      </c>
      <c r="I44" s="15"/>
      <c r="J44" s="15"/>
      <c r="K44" s="15"/>
      <c r="L44" s="16"/>
      <c r="M44" s="26">
        <f>IFERROR(VLOOKUP(tblRiskRegister32[[#This Row],[Asset Class]],tblVCDBIndex[],4,FALSE),"")</f>
        <v>3</v>
      </c>
      <c r="N44" s="29" t="str">
        <f>IFERROR(VLOOKUP(10*tblRiskRegister32[[#This Row],[Safeguard Maturity Score]]+tblRiskRegister32[[#This Row],[VCDB Index]],tblHITIndexWeightTable[],4,FALSE),"")</f>
        <v/>
      </c>
      <c r="O44" s="29" t="str">
        <f>VLOOKUP(tblRiskRegister32[[#This Row],[Asset Class]],tblInherentImpacts30[],2,FALSE)</f>
        <v/>
      </c>
      <c r="P44" s="29">
        <f>VLOOKUP(tblRiskRegister32[[#This Row],[Asset Class]],tblInherentImpacts30[],3,FALSE)</f>
        <v>0</v>
      </c>
      <c r="Q44" s="29">
        <f>VLOOKUP(tblRiskRegister32[[#This Row],[Asset Class]],tblInherentImpacts30[],4,FALSE)</f>
        <v>0</v>
      </c>
      <c r="R44" s="29">
        <f>VLOOKUP(tblRiskRegister32[[#This Row],[Asset Class]],tblInherentImpacts30[],5,FALSE)</f>
        <v>0</v>
      </c>
      <c r="S44" s="29" t="str">
        <f>IFERROR(MAX(tblRiskRegister32[[#This Row],[Impact to Mission]:[Impact to Obligations]])*tblRiskRegister32[[#This Row],[Expectancy Score]],"")</f>
        <v/>
      </c>
      <c r="T44" s="29" t="str">
        <f>tblRiskRegister32[[#This Row],[Risk Score]]</f>
        <v/>
      </c>
      <c r="U44" s="100"/>
      <c r="V44" s="112">
        <v>5.0999999999999996</v>
      </c>
      <c r="W44" s="44" t="s">
        <v>95</v>
      </c>
      <c r="X44" s="44" t="s">
        <v>448</v>
      </c>
      <c r="Y44" s="30"/>
      <c r="Z44" s="16"/>
      <c r="AA44" s="27" t="str">
        <f>IFERROR(VLOOKUP(10*tblRiskRegister32[[#This Row],[Risk Treatment Safeguard Maturity Score]]+tblRiskRegister32[[#This Row],[VCDB Index]],tblHITIndexWeightTable[],4,FALSE),"")</f>
        <v/>
      </c>
      <c r="AB44" s="138" t="str">
        <f>VLOOKUP(tblRiskRegister32[[#This Row],[Asset Class]],tblInherentImpacts30[],2,FALSE)</f>
        <v/>
      </c>
      <c r="AC44" s="138">
        <f>VLOOKUP(tblRiskRegister32[[#This Row],[Asset Class]],tblInherentImpacts30[],3,FALSE)</f>
        <v>0</v>
      </c>
      <c r="AD44" s="138">
        <f>VLOOKUP(tblRiskRegister32[[#This Row],[Asset Class]],tblInherentImpacts30[],4,FALSE)</f>
        <v>0</v>
      </c>
      <c r="AE44" s="138">
        <f>VLOOKUP(tblRiskRegister32[[#This Row],[Asset Class]],tblInherentImpacts30[],5,FALSE)</f>
        <v>0</v>
      </c>
      <c r="AF44" s="138" t="str">
        <f>IFERROR(MAX(tblRiskRegister32[[#This Row],[Risk Treatment Safeguard Impact to Mission]:[Risk Treatment Safeguard Impact to Obligations]])*tblRiskRegister32[[#This Row],[Risk Treatment
Safeguard Expectancy Score]],"")</f>
        <v/>
      </c>
      <c r="AG44" s="138" t="str">
        <f>IF(tblRiskRegister32[[#This Row],[Risk Score]]&gt;AcceptableRisk,IF(tblRiskRegister32[[#This Row],[Risk Treatment Safeguard Risk Score]]&lt;AcceptableRisk, IF(tblRiskRegister32[[#This Row],[Risk Treatment Safeguard Risk Score]]&lt;=tblRiskRegister32[[#This Row],[Risk Score]],"Yes","No"),"No"),"Yes")</f>
        <v>No</v>
      </c>
      <c r="AH44" s="18"/>
      <c r="AI44" s="18"/>
      <c r="AJ44" s="19"/>
    </row>
    <row r="45" spans="2:36" ht="38.25" x14ac:dyDescent="0.2">
      <c r="B45" s="44" t="s">
        <v>134</v>
      </c>
      <c r="C45" s="44"/>
      <c r="D45" s="112">
        <v>5.2</v>
      </c>
      <c r="E45" s="14" t="s">
        <v>22</v>
      </c>
      <c r="F45" s="17" t="s">
        <v>785</v>
      </c>
      <c r="G45" s="17" t="s">
        <v>785</v>
      </c>
      <c r="H45" s="17" t="s">
        <v>928</v>
      </c>
      <c r="I45" s="15"/>
      <c r="J45" s="15"/>
      <c r="K45" s="15"/>
      <c r="L45" s="16"/>
      <c r="M45" s="26">
        <f>IFERROR(VLOOKUP(tblRiskRegister32[[#This Row],[Asset Class]],tblVCDBIndex[],4,FALSE),"")</f>
        <v>3</v>
      </c>
      <c r="N45" s="29" t="str">
        <f>IFERROR(VLOOKUP(10*tblRiskRegister32[[#This Row],[Safeguard Maturity Score]]+tblRiskRegister32[[#This Row],[VCDB Index]],tblHITIndexWeightTable[],4,FALSE),"")</f>
        <v/>
      </c>
      <c r="O45" s="29" t="str">
        <f>VLOOKUP(tblRiskRegister32[[#This Row],[Asset Class]],tblInherentImpacts30[],2,FALSE)</f>
        <v/>
      </c>
      <c r="P45" s="29">
        <f>VLOOKUP(tblRiskRegister32[[#This Row],[Asset Class]],tblInherentImpacts30[],3,FALSE)</f>
        <v>0</v>
      </c>
      <c r="Q45" s="29">
        <f>VLOOKUP(tblRiskRegister32[[#This Row],[Asset Class]],tblInherentImpacts30[],4,FALSE)</f>
        <v>0</v>
      </c>
      <c r="R45" s="29">
        <f>VLOOKUP(tblRiskRegister32[[#This Row],[Asset Class]],tblInherentImpacts30[],5,FALSE)</f>
        <v>0</v>
      </c>
      <c r="S45" s="29" t="str">
        <f>IFERROR(MAX(tblRiskRegister32[[#This Row],[Impact to Mission]:[Impact to Obligations]])*tblRiskRegister32[[#This Row],[Expectancy Score]],"")</f>
        <v/>
      </c>
      <c r="T45" s="29" t="str">
        <f>tblRiskRegister32[[#This Row],[Risk Score]]</f>
        <v/>
      </c>
      <c r="U45" s="100"/>
      <c r="V45" s="112">
        <v>5.2</v>
      </c>
      <c r="W45" s="44" t="s">
        <v>22</v>
      </c>
      <c r="X45" s="44" t="s">
        <v>449</v>
      </c>
      <c r="Y45" s="30"/>
      <c r="Z45" s="16"/>
      <c r="AA45" s="27" t="str">
        <f>IFERROR(VLOOKUP(10*tblRiskRegister32[[#This Row],[Risk Treatment Safeguard Maturity Score]]+tblRiskRegister32[[#This Row],[VCDB Index]],tblHITIndexWeightTable[],4,FALSE),"")</f>
        <v/>
      </c>
      <c r="AB45" s="138" t="str">
        <f>VLOOKUP(tblRiskRegister32[[#This Row],[Asset Class]],tblInherentImpacts30[],2,FALSE)</f>
        <v/>
      </c>
      <c r="AC45" s="138">
        <f>VLOOKUP(tblRiskRegister32[[#This Row],[Asset Class]],tblInherentImpacts30[],3,FALSE)</f>
        <v>0</v>
      </c>
      <c r="AD45" s="138">
        <f>VLOOKUP(tblRiskRegister32[[#This Row],[Asset Class]],tblInherentImpacts30[],4,FALSE)</f>
        <v>0</v>
      </c>
      <c r="AE45" s="138">
        <f>VLOOKUP(tblRiskRegister32[[#This Row],[Asset Class]],tblInherentImpacts30[],5,FALSE)</f>
        <v>0</v>
      </c>
      <c r="AF45" s="138" t="str">
        <f>IFERROR(MAX(tblRiskRegister32[[#This Row],[Risk Treatment Safeguard Impact to Mission]:[Risk Treatment Safeguard Impact to Obligations]])*tblRiskRegister32[[#This Row],[Risk Treatment
Safeguard Expectancy Score]],"")</f>
        <v/>
      </c>
      <c r="AG45" s="138" t="str">
        <f>IF(tblRiskRegister32[[#This Row],[Risk Score]]&gt;AcceptableRisk,IF(tblRiskRegister32[[#This Row],[Risk Treatment Safeguard Risk Score]]&lt;AcceptableRisk, IF(tblRiskRegister32[[#This Row],[Risk Treatment Safeguard Risk Score]]&lt;=tblRiskRegister32[[#This Row],[Risk Score]],"Yes","No"),"No"),"Yes")</f>
        <v>No</v>
      </c>
      <c r="AH45" s="18"/>
      <c r="AI45" s="18"/>
      <c r="AJ45" s="19"/>
    </row>
    <row r="46" spans="2:36" ht="25.5" x14ac:dyDescent="0.2">
      <c r="B46" s="44" t="s">
        <v>134</v>
      </c>
      <c r="C46" s="44"/>
      <c r="D46" s="112">
        <v>5.3</v>
      </c>
      <c r="E46" s="14" t="s">
        <v>33</v>
      </c>
      <c r="F46" s="17" t="s">
        <v>785</v>
      </c>
      <c r="G46" s="17" t="s">
        <v>785</v>
      </c>
      <c r="H46" s="17" t="s">
        <v>927</v>
      </c>
      <c r="I46" s="15"/>
      <c r="J46" s="15"/>
      <c r="K46" s="15"/>
      <c r="L46" s="16"/>
      <c r="M46" s="26">
        <f>IFERROR(VLOOKUP(tblRiskRegister32[[#This Row],[Asset Class]],tblVCDBIndex[],4,FALSE),"")</f>
        <v>3</v>
      </c>
      <c r="N46" s="29" t="str">
        <f>IFERROR(VLOOKUP(10*tblRiskRegister32[[#This Row],[Safeguard Maturity Score]]+tblRiskRegister32[[#This Row],[VCDB Index]],tblHITIndexWeightTable[],4,FALSE),"")</f>
        <v/>
      </c>
      <c r="O46" s="29" t="str">
        <f>VLOOKUP(tblRiskRegister32[[#This Row],[Asset Class]],tblInherentImpacts30[],2,FALSE)</f>
        <v/>
      </c>
      <c r="P46" s="29">
        <f>VLOOKUP(tblRiskRegister32[[#This Row],[Asset Class]],tblInherentImpacts30[],3,FALSE)</f>
        <v>0</v>
      </c>
      <c r="Q46" s="29">
        <f>VLOOKUP(tblRiskRegister32[[#This Row],[Asset Class]],tblInherentImpacts30[],4,FALSE)</f>
        <v>0</v>
      </c>
      <c r="R46" s="29">
        <f>VLOOKUP(tblRiskRegister32[[#This Row],[Asset Class]],tblInherentImpacts30[],5,FALSE)</f>
        <v>0</v>
      </c>
      <c r="S46" s="29" t="str">
        <f>IFERROR(MAX(tblRiskRegister32[[#This Row],[Impact to Mission]:[Impact to Obligations]])*tblRiskRegister32[[#This Row],[Expectancy Score]],"")</f>
        <v/>
      </c>
      <c r="T46" s="29" t="str">
        <f>tblRiskRegister32[[#This Row],[Risk Score]]</f>
        <v/>
      </c>
      <c r="U46" s="100"/>
      <c r="V46" s="112">
        <v>5.3</v>
      </c>
      <c r="W46" s="44" t="s">
        <v>33</v>
      </c>
      <c r="X46" s="44" t="s">
        <v>450</v>
      </c>
      <c r="Y46" s="30"/>
      <c r="Z46" s="16"/>
      <c r="AA46" s="27" t="str">
        <f>IFERROR(VLOOKUP(10*tblRiskRegister32[[#This Row],[Risk Treatment Safeguard Maturity Score]]+tblRiskRegister32[[#This Row],[VCDB Index]],tblHITIndexWeightTable[],4,FALSE),"")</f>
        <v/>
      </c>
      <c r="AB46" s="138" t="str">
        <f>VLOOKUP(tblRiskRegister32[[#This Row],[Asset Class]],tblInherentImpacts30[],2,FALSE)</f>
        <v/>
      </c>
      <c r="AC46" s="138">
        <f>VLOOKUP(tblRiskRegister32[[#This Row],[Asset Class]],tblInherentImpacts30[],3,FALSE)</f>
        <v>0</v>
      </c>
      <c r="AD46" s="138">
        <f>VLOOKUP(tblRiskRegister32[[#This Row],[Asset Class]],tblInherentImpacts30[],4,FALSE)</f>
        <v>0</v>
      </c>
      <c r="AE46" s="138">
        <f>VLOOKUP(tblRiskRegister32[[#This Row],[Asset Class]],tblInherentImpacts30[],5,FALSE)</f>
        <v>0</v>
      </c>
      <c r="AF46" s="138" t="str">
        <f>IFERROR(MAX(tblRiskRegister32[[#This Row],[Risk Treatment Safeguard Impact to Mission]:[Risk Treatment Safeguard Impact to Obligations]])*tblRiskRegister32[[#This Row],[Risk Treatment
Safeguard Expectancy Score]],"")</f>
        <v/>
      </c>
      <c r="AG46" s="138" t="str">
        <f>IF(tblRiskRegister32[[#This Row],[Risk Score]]&gt;AcceptableRisk,IF(tblRiskRegister32[[#This Row],[Risk Treatment Safeguard Risk Score]]&lt;AcceptableRisk, IF(tblRiskRegister32[[#This Row],[Risk Treatment Safeguard Risk Score]]&lt;=tblRiskRegister32[[#This Row],[Risk Score]],"Yes","No"),"No"),"Yes")</f>
        <v>No</v>
      </c>
      <c r="AH46" s="18"/>
      <c r="AI46" s="18"/>
      <c r="AJ46" s="19"/>
    </row>
    <row r="47" spans="2:36" ht="51" x14ac:dyDescent="0.2">
      <c r="B47" s="44" t="s">
        <v>134</v>
      </c>
      <c r="C47" s="44"/>
      <c r="D47" s="112">
        <v>5.4</v>
      </c>
      <c r="E47" s="14" t="s">
        <v>96</v>
      </c>
      <c r="F47" s="17" t="s">
        <v>785</v>
      </c>
      <c r="G47" s="17" t="s">
        <v>785</v>
      </c>
      <c r="H47" s="17" t="s">
        <v>928</v>
      </c>
      <c r="I47" s="15"/>
      <c r="J47" s="15"/>
      <c r="K47" s="15"/>
      <c r="L47" s="16"/>
      <c r="M47" s="26">
        <f>IFERROR(VLOOKUP(tblRiskRegister32[[#This Row],[Asset Class]],tblVCDBIndex[],4,FALSE),"")</f>
        <v>3</v>
      </c>
      <c r="N47" s="29" t="str">
        <f>IFERROR(VLOOKUP(10*tblRiskRegister32[[#This Row],[Safeguard Maturity Score]]+tblRiskRegister32[[#This Row],[VCDB Index]],tblHITIndexWeightTable[],4,FALSE),"")</f>
        <v/>
      </c>
      <c r="O47" s="29" t="str">
        <f>VLOOKUP(tblRiskRegister32[[#This Row],[Asset Class]],tblInherentImpacts30[],2,FALSE)</f>
        <v/>
      </c>
      <c r="P47" s="29">
        <f>VLOOKUP(tblRiskRegister32[[#This Row],[Asset Class]],tblInherentImpacts30[],3,FALSE)</f>
        <v>0</v>
      </c>
      <c r="Q47" s="29">
        <f>VLOOKUP(tblRiskRegister32[[#This Row],[Asset Class]],tblInherentImpacts30[],4,FALSE)</f>
        <v>0</v>
      </c>
      <c r="R47" s="29">
        <f>VLOOKUP(tblRiskRegister32[[#This Row],[Asset Class]],tblInherentImpacts30[],5,FALSE)</f>
        <v>0</v>
      </c>
      <c r="S47" s="29" t="str">
        <f>IFERROR(MAX(tblRiskRegister32[[#This Row],[Impact to Mission]:[Impact to Obligations]])*tblRiskRegister32[[#This Row],[Expectancy Score]],"")</f>
        <v/>
      </c>
      <c r="T47" s="29" t="str">
        <f>tblRiskRegister32[[#This Row],[Risk Score]]</f>
        <v/>
      </c>
      <c r="U47" s="100"/>
      <c r="V47" s="112">
        <v>5.4</v>
      </c>
      <c r="W47" s="44" t="s">
        <v>96</v>
      </c>
      <c r="X47" s="44" t="s">
        <v>451</v>
      </c>
      <c r="Y47" s="30"/>
      <c r="Z47" s="16"/>
      <c r="AA47" s="27" t="str">
        <f>IFERROR(VLOOKUP(10*tblRiskRegister32[[#This Row],[Risk Treatment Safeguard Maturity Score]]+tblRiskRegister32[[#This Row],[VCDB Index]],tblHITIndexWeightTable[],4,FALSE),"")</f>
        <v/>
      </c>
      <c r="AB47" s="138" t="str">
        <f>VLOOKUP(tblRiskRegister32[[#This Row],[Asset Class]],tblInherentImpacts30[],2,FALSE)</f>
        <v/>
      </c>
      <c r="AC47" s="138">
        <f>VLOOKUP(tblRiskRegister32[[#This Row],[Asset Class]],tblInherentImpacts30[],3,FALSE)</f>
        <v>0</v>
      </c>
      <c r="AD47" s="138">
        <f>VLOOKUP(tblRiskRegister32[[#This Row],[Asset Class]],tblInherentImpacts30[],4,FALSE)</f>
        <v>0</v>
      </c>
      <c r="AE47" s="138">
        <f>VLOOKUP(tblRiskRegister32[[#This Row],[Asset Class]],tblInherentImpacts30[],5,FALSE)</f>
        <v>0</v>
      </c>
      <c r="AF47" s="138" t="str">
        <f>IFERROR(MAX(tblRiskRegister32[[#This Row],[Risk Treatment Safeguard Impact to Mission]:[Risk Treatment Safeguard Impact to Obligations]])*tblRiskRegister32[[#This Row],[Risk Treatment
Safeguard Expectancy Score]],"")</f>
        <v/>
      </c>
      <c r="AG47" s="138" t="str">
        <f>IF(tblRiskRegister32[[#This Row],[Risk Score]]&gt;AcceptableRisk,IF(tblRiskRegister32[[#This Row],[Risk Treatment Safeguard Risk Score]]&lt;AcceptableRisk, IF(tblRiskRegister32[[#This Row],[Risk Treatment Safeguard Risk Score]]&lt;=tblRiskRegister32[[#This Row],[Risk Score]],"Yes","No"),"No"),"Yes")</f>
        <v>No</v>
      </c>
      <c r="AH47" s="18"/>
      <c r="AI47" s="18"/>
      <c r="AJ47" s="19"/>
    </row>
    <row r="48" spans="2:36" ht="51" x14ac:dyDescent="0.2">
      <c r="B48" s="44" t="s">
        <v>134</v>
      </c>
      <c r="C48" s="44"/>
      <c r="D48" s="112">
        <v>5.5</v>
      </c>
      <c r="E48" s="14" t="s">
        <v>295</v>
      </c>
      <c r="F48" s="17"/>
      <c r="G48" s="17" t="s">
        <v>785</v>
      </c>
      <c r="H48" s="17" t="s">
        <v>926</v>
      </c>
      <c r="I48" s="15"/>
      <c r="J48" s="15"/>
      <c r="K48" s="15"/>
      <c r="L48" s="16"/>
      <c r="M48" s="26">
        <f>IFERROR(VLOOKUP(tblRiskRegister32[[#This Row],[Asset Class]],tblVCDBIndex[],4,FALSE),"")</f>
        <v>3</v>
      </c>
      <c r="N48" s="29" t="str">
        <f>IFERROR(VLOOKUP(10*tblRiskRegister32[[#This Row],[Safeguard Maturity Score]]+tblRiskRegister32[[#This Row],[VCDB Index]],tblHITIndexWeightTable[],4,FALSE),"")</f>
        <v/>
      </c>
      <c r="O48" s="29" t="str">
        <f>VLOOKUP(tblRiskRegister32[[#This Row],[Asset Class]],tblInherentImpacts30[],2,FALSE)</f>
        <v/>
      </c>
      <c r="P48" s="29">
        <f>VLOOKUP(tblRiskRegister32[[#This Row],[Asset Class]],tblInherentImpacts30[],3,FALSE)</f>
        <v>0</v>
      </c>
      <c r="Q48" s="29">
        <f>VLOOKUP(tblRiskRegister32[[#This Row],[Asset Class]],tblInherentImpacts30[],4,FALSE)</f>
        <v>0</v>
      </c>
      <c r="R48" s="29">
        <f>VLOOKUP(tblRiskRegister32[[#This Row],[Asset Class]],tblInherentImpacts30[],5,FALSE)</f>
        <v>0</v>
      </c>
      <c r="S48" s="29" t="str">
        <f>IFERROR(MAX(tblRiskRegister32[[#This Row],[Impact to Mission]:[Impact to Obligations]])*tblRiskRegister32[[#This Row],[Expectancy Score]],"")</f>
        <v/>
      </c>
      <c r="T48" s="29" t="str">
        <f>tblRiskRegister32[[#This Row],[Risk Score]]</f>
        <v/>
      </c>
      <c r="U48" s="100"/>
      <c r="V48" s="112">
        <v>5.5</v>
      </c>
      <c r="W48" s="44" t="s">
        <v>295</v>
      </c>
      <c r="X48" s="44" t="s">
        <v>452</v>
      </c>
      <c r="Y48" s="30"/>
      <c r="Z48" s="16"/>
      <c r="AA48" s="27" t="str">
        <f>IFERROR(VLOOKUP(10*tblRiskRegister32[[#This Row],[Risk Treatment Safeguard Maturity Score]]+tblRiskRegister32[[#This Row],[VCDB Index]],tblHITIndexWeightTable[],4,FALSE),"")</f>
        <v/>
      </c>
      <c r="AB48" s="138" t="str">
        <f>VLOOKUP(tblRiskRegister32[[#This Row],[Asset Class]],tblInherentImpacts30[],2,FALSE)</f>
        <v/>
      </c>
      <c r="AC48" s="138">
        <f>VLOOKUP(tblRiskRegister32[[#This Row],[Asset Class]],tblInherentImpacts30[],3,FALSE)</f>
        <v>0</v>
      </c>
      <c r="AD48" s="138">
        <f>VLOOKUP(tblRiskRegister32[[#This Row],[Asset Class]],tblInherentImpacts30[],4,FALSE)</f>
        <v>0</v>
      </c>
      <c r="AE48" s="138">
        <f>VLOOKUP(tblRiskRegister32[[#This Row],[Asset Class]],tblInherentImpacts30[],5,FALSE)</f>
        <v>0</v>
      </c>
      <c r="AF48" s="138" t="str">
        <f>IFERROR(MAX(tblRiskRegister32[[#This Row],[Risk Treatment Safeguard Impact to Mission]:[Risk Treatment Safeguard Impact to Obligations]])*tblRiskRegister32[[#This Row],[Risk Treatment
Safeguard Expectancy Score]],"")</f>
        <v/>
      </c>
      <c r="AG48" s="138" t="str">
        <f>IF(tblRiskRegister32[[#This Row],[Risk Score]]&gt;AcceptableRisk,IF(tblRiskRegister32[[#This Row],[Risk Treatment Safeguard Risk Score]]&lt;AcceptableRisk, IF(tblRiskRegister32[[#This Row],[Risk Treatment Safeguard Risk Score]]&lt;=tblRiskRegister32[[#This Row],[Risk Score]],"Yes","No"),"No"),"Yes")</f>
        <v>No</v>
      </c>
      <c r="AH48" s="18"/>
      <c r="AI48" s="18"/>
      <c r="AJ48" s="19"/>
    </row>
    <row r="49" spans="2:36" ht="25.5" x14ac:dyDescent="0.2">
      <c r="B49" s="44" t="s">
        <v>134</v>
      </c>
      <c r="C49" s="44"/>
      <c r="D49" s="112">
        <v>5.6</v>
      </c>
      <c r="E49" s="14" t="s">
        <v>296</v>
      </c>
      <c r="F49" s="17"/>
      <c r="G49" s="17" t="s">
        <v>785</v>
      </c>
      <c r="H49" s="17" t="s">
        <v>928</v>
      </c>
      <c r="I49" s="15"/>
      <c r="J49" s="15"/>
      <c r="K49" s="15"/>
      <c r="L49" s="16"/>
      <c r="M49" s="26">
        <f>IFERROR(VLOOKUP(tblRiskRegister32[[#This Row],[Asset Class]],tblVCDBIndex[],4,FALSE),"")</f>
        <v>3</v>
      </c>
      <c r="N49" s="29" t="str">
        <f>IFERROR(VLOOKUP(10*tblRiskRegister32[[#This Row],[Safeguard Maturity Score]]+tblRiskRegister32[[#This Row],[VCDB Index]],tblHITIndexWeightTable[],4,FALSE),"")</f>
        <v/>
      </c>
      <c r="O49" s="29" t="str">
        <f>VLOOKUP(tblRiskRegister32[[#This Row],[Asset Class]],tblInherentImpacts30[],2,FALSE)</f>
        <v/>
      </c>
      <c r="P49" s="29">
        <f>VLOOKUP(tblRiskRegister32[[#This Row],[Asset Class]],tblInherentImpacts30[],3,FALSE)</f>
        <v>0</v>
      </c>
      <c r="Q49" s="29">
        <f>VLOOKUP(tblRiskRegister32[[#This Row],[Asset Class]],tblInherentImpacts30[],4,FALSE)</f>
        <v>0</v>
      </c>
      <c r="R49" s="29">
        <f>VLOOKUP(tblRiskRegister32[[#This Row],[Asset Class]],tblInherentImpacts30[],5,FALSE)</f>
        <v>0</v>
      </c>
      <c r="S49" s="29" t="str">
        <f>IFERROR(MAX(tblRiskRegister32[[#This Row],[Impact to Mission]:[Impact to Obligations]])*tblRiskRegister32[[#This Row],[Expectancy Score]],"")</f>
        <v/>
      </c>
      <c r="T49" s="29" t="str">
        <f>tblRiskRegister32[[#This Row],[Risk Score]]</f>
        <v/>
      </c>
      <c r="U49" s="100"/>
      <c r="V49" s="112">
        <v>5.6</v>
      </c>
      <c r="W49" s="44" t="s">
        <v>296</v>
      </c>
      <c r="X49" s="44" t="s">
        <v>453</v>
      </c>
      <c r="Y49" s="30"/>
      <c r="Z49" s="16"/>
      <c r="AA49" s="27" t="str">
        <f>IFERROR(VLOOKUP(10*tblRiskRegister32[[#This Row],[Risk Treatment Safeguard Maturity Score]]+tblRiskRegister32[[#This Row],[VCDB Index]],tblHITIndexWeightTable[],4,FALSE),"")</f>
        <v/>
      </c>
      <c r="AB49" s="138" t="str">
        <f>VLOOKUP(tblRiskRegister32[[#This Row],[Asset Class]],tblInherentImpacts30[],2,FALSE)</f>
        <v/>
      </c>
      <c r="AC49" s="138">
        <f>VLOOKUP(tblRiskRegister32[[#This Row],[Asset Class]],tblInherentImpacts30[],3,FALSE)</f>
        <v>0</v>
      </c>
      <c r="AD49" s="138">
        <f>VLOOKUP(tblRiskRegister32[[#This Row],[Asset Class]],tblInherentImpacts30[],4,FALSE)</f>
        <v>0</v>
      </c>
      <c r="AE49" s="138">
        <f>VLOOKUP(tblRiskRegister32[[#This Row],[Asset Class]],tblInherentImpacts30[],5,FALSE)</f>
        <v>0</v>
      </c>
      <c r="AF49" s="138" t="str">
        <f>IFERROR(MAX(tblRiskRegister32[[#This Row],[Risk Treatment Safeguard Impact to Mission]:[Risk Treatment Safeguard Impact to Obligations]])*tblRiskRegister32[[#This Row],[Risk Treatment
Safeguard Expectancy Score]],"")</f>
        <v/>
      </c>
      <c r="AG49" s="138" t="str">
        <f>IF(tblRiskRegister32[[#This Row],[Risk Score]]&gt;AcceptableRisk,IF(tblRiskRegister32[[#This Row],[Risk Treatment Safeguard Risk Score]]&lt;AcceptableRisk, IF(tblRiskRegister32[[#This Row],[Risk Treatment Safeguard Risk Score]]&lt;=tblRiskRegister32[[#This Row],[Risk Score]],"Yes","No"),"No"),"Yes")</f>
        <v>No</v>
      </c>
      <c r="AH49" s="18"/>
      <c r="AI49" s="18"/>
      <c r="AJ49" s="19"/>
    </row>
    <row r="50" spans="2:36" ht="25.5" x14ac:dyDescent="0.2">
      <c r="B50" s="44" t="s">
        <v>134</v>
      </c>
      <c r="C50" s="44"/>
      <c r="D50" s="112">
        <v>6.1</v>
      </c>
      <c r="E50" s="14" t="s">
        <v>97</v>
      </c>
      <c r="F50" s="17" t="s">
        <v>785</v>
      </c>
      <c r="G50" s="17" t="s">
        <v>785</v>
      </c>
      <c r="H50" s="17" t="s">
        <v>928</v>
      </c>
      <c r="I50" s="15"/>
      <c r="J50" s="15"/>
      <c r="K50" s="15"/>
      <c r="L50" s="16"/>
      <c r="M50" s="26">
        <f>IFERROR(VLOOKUP(tblRiskRegister32[[#This Row],[Asset Class]],tblVCDBIndex[],4,FALSE),"")</f>
        <v>3</v>
      </c>
      <c r="N50" s="29" t="str">
        <f>IFERROR(VLOOKUP(10*tblRiskRegister32[[#This Row],[Safeguard Maturity Score]]+tblRiskRegister32[[#This Row],[VCDB Index]],tblHITIndexWeightTable[],4,FALSE),"")</f>
        <v/>
      </c>
      <c r="O50" s="29" t="str">
        <f>VLOOKUP(tblRiskRegister32[[#This Row],[Asset Class]],tblInherentImpacts30[],2,FALSE)</f>
        <v/>
      </c>
      <c r="P50" s="29">
        <f>VLOOKUP(tblRiskRegister32[[#This Row],[Asset Class]],tblInherentImpacts30[],3,FALSE)</f>
        <v>0</v>
      </c>
      <c r="Q50" s="29">
        <f>VLOOKUP(tblRiskRegister32[[#This Row],[Asset Class]],tblInherentImpacts30[],4,FALSE)</f>
        <v>0</v>
      </c>
      <c r="R50" s="29">
        <f>VLOOKUP(tblRiskRegister32[[#This Row],[Asset Class]],tblInherentImpacts30[],5,FALSE)</f>
        <v>0</v>
      </c>
      <c r="S50" s="29" t="str">
        <f>IFERROR(MAX(tblRiskRegister32[[#This Row],[Impact to Mission]:[Impact to Obligations]])*tblRiskRegister32[[#This Row],[Expectancy Score]],"")</f>
        <v/>
      </c>
      <c r="T50" s="29" t="str">
        <f>tblRiskRegister32[[#This Row],[Risk Score]]</f>
        <v/>
      </c>
      <c r="U50" s="100"/>
      <c r="V50" s="112">
        <v>6.1</v>
      </c>
      <c r="W50" s="44" t="s">
        <v>97</v>
      </c>
      <c r="X50" s="44" t="s">
        <v>454</v>
      </c>
      <c r="Y50" s="30"/>
      <c r="Z50" s="16"/>
      <c r="AA50" s="27" t="str">
        <f>IFERROR(VLOOKUP(10*tblRiskRegister32[[#This Row],[Risk Treatment Safeguard Maturity Score]]+tblRiskRegister32[[#This Row],[VCDB Index]],tblHITIndexWeightTable[],4,FALSE),"")</f>
        <v/>
      </c>
      <c r="AB50" s="138" t="str">
        <f>VLOOKUP(tblRiskRegister32[[#This Row],[Asset Class]],tblInherentImpacts30[],2,FALSE)</f>
        <v/>
      </c>
      <c r="AC50" s="138">
        <f>VLOOKUP(tblRiskRegister32[[#This Row],[Asset Class]],tblInherentImpacts30[],3,FALSE)</f>
        <v>0</v>
      </c>
      <c r="AD50" s="138">
        <f>VLOOKUP(tblRiskRegister32[[#This Row],[Asset Class]],tblInherentImpacts30[],4,FALSE)</f>
        <v>0</v>
      </c>
      <c r="AE50" s="138">
        <f>VLOOKUP(tblRiskRegister32[[#This Row],[Asset Class]],tblInherentImpacts30[],5,FALSE)</f>
        <v>0</v>
      </c>
      <c r="AF50" s="138" t="str">
        <f>IFERROR(MAX(tblRiskRegister32[[#This Row],[Risk Treatment Safeguard Impact to Mission]:[Risk Treatment Safeguard Impact to Obligations]])*tblRiskRegister32[[#This Row],[Risk Treatment
Safeguard Expectancy Score]],"")</f>
        <v/>
      </c>
      <c r="AG50" s="138" t="str">
        <f>IF(tblRiskRegister32[[#This Row],[Risk Score]]&gt;AcceptableRisk,IF(tblRiskRegister32[[#This Row],[Risk Treatment Safeguard Risk Score]]&lt;AcceptableRisk, IF(tblRiskRegister32[[#This Row],[Risk Treatment Safeguard Risk Score]]&lt;=tblRiskRegister32[[#This Row],[Risk Score]],"Yes","No"),"No"),"Yes")</f>
        <v>No</v>
      </c>
      <c r="AH50" s="18"/>
      <c r="AI50" s="18"/>
      <c r="AJ50" s="19"/>
    </row>
    <row r="51" spans="2:36" ht="51" x14ac:dyDescent="0.2">
      <c r="B51" s="44" t="s">
        <v>134</v>
      </c>
      <c r="C51" s="44"/>
      <c r="D51" s="112">
        <v>6.2</v>
      </c>
      <c r="E51" s="14" t="s">
        <v>98</v>
      </c>
      <c r="F51" s="17" t="s">
        <v>785</v>
      </c>
      <c r="G51" s="17" t="s">
        <v>785</v>
      </c>
      <c r="H51" s="17" t="s">
        <v>928</v>
      </c>
      <c r="I51" s="15"/>
      <c r="J51" s="15"/>
      <c r="K51" s="15"/>
      <c r="L51" s="16"/>
      <c r="M51" s="26">
        <f>IFERROR(VLOOKUP(tblRiskRegister32[[#This Row],[Asset Class]],tblVCDBIndex[],4,FALSE),"")</f>
        <v>3</v>
      </c>
      <c r="N51" s="29" t="str">
        <f>IFERROR(VLOOKUP(10*tblRiskRegister32[[#This Row],[Safeguard Maturity Score]]+tblRiskRegister32[[#This Row],[VCDB Index]],tblHITIndexWeightTable[],4,FALSE),"")</f>
        <v/>
      </c>
      <c r="O51" s="29" t="str">
        <f>VLOOKUP(tblRiskRegister32[[#This Row],[Asset Class]],tblInherentImpacts30[],2,FALSE)</f>
        <v/>
      </c>
      <c r="P51" s="29">
        <f>VLOOKUP(tblRiskRegister32[[#This Row],[Asset Class]],tblInherentImpacts30[],3,FALSE)</f>
        <v>0</v>
      </c>
      <c r="Q51" s="29">
        <f>VLOOKUP(tblRiskRegister32[[#This Row],[Asset Class]],tblInherentImpacts30[],4,FALSE)</f>
        <v>0</v>
      </c>
      <c r="R51" s="29">
        <f>VLOOKUP(tblRiskRegister32[[#This Row],[Asset Class]],tblInherentImpacts30[],5,FALSE)</f>
        <v>0</v>
      </c>
      <c r="S51" s="29" t="str">
        <f>IFERROR(MAX(tblRiskRegister32[[#This Row],[Impact to Mission]:[Impact to Obligations]])*tblRiskRegister32[[#This Row],[Expectancy Score]],"")</f>
        <v/>
      </c>
      <c r="T51" s="29" t="str">
        <f>tblRiskRegister32[[#This Row],[Risk Score]]</f>
        <v/>
      </c>
      <c r="U51" s="100"/>
      <c r="V51" s="112">
        <v>6.2</v>
      </c>
      <c r="W51" s="44" t="s">
        <v>98</v>
      </c>
      <c r="X51" s="44" t="s">
        <v>455</v>
      </c>
      <c r="Y51" s="30"/>
      <c r="Z51" s="16"/>
      <c r="AA51" s="27" t="str">
        <f>IFERROR(VLOOKUP(10*tblRiskRegister32[[#This Row],[Risk Treatment Safeguard Maturity Score]]+tblRiskRegister32[[#This Row],[VCDB Index]],tblHITIndexWeightTable[],4,FALSE),"")</f>
        <v/>
      </c>
      <c r="AB51" s="138" t="str">
        <f>VLOOKUP(tblRiskRegister32[[#This Row],[Asset Class]],tblInherentImpacts30[],2,FALSE)</f>
        <v/>
      </c>
      <c r="AC51" s="138">
        <f>VLOOKUP(tblRiskRegister32[[#This Row],[Asset Class]],tblInherentImpacts30[],3,FALSE)</f>
        <v>0</v>
      </c>
      <c r="AD51" s="138">
        <f>VLOOKUP(tblRiskRegister32[[#This Row],[Asset Class]],tblInherentImpacts30[],4,FALSE)</f>
        <v>0</v>
      </c>
      <c r="AE51" s="138">
        <f>VLOOKUP(tblRiskRegister32[[#This Row],[Asset Class]],tblInherentImpacts30[],5,FALSE)</f>
        <v>0</v>
      </c>
      <c r="AF51" s="138" t="str">
        <f>IFERROR(MAX(tblRiskRegister32[[#This Row],[Risk Treatment Safeguard Impact to Mission]:[Risk Treatment Safeguard Impact to Obligations]])*tblRiskRegister32[[#This Row],[Risk Treatment
Safeguard Expectancy Score]],"")</f>
        <v/>
      </c>
      <c r="AG51" s="138" t="str">
        <f>IF(tblRiskRegister32[[#This Row],[Risk Score]]&gt;AcceptableRisk,IF(tblRiskRegister32[[#This Row],[Risk Treatment Safeguard Risk Score]]&lt;AcceptableRisk, IF(tblRiskRegister32[[#This Row],[Risk Treatment Safeguard Risk Score]]&lt;=tblRiskRegister32[[#This Row],[Risk Score]],"Yes","No"),"No"),"Yes")</f>
        <v>No</v>
      </c>
      <c r="AH51" s="18"/>
      <c r="AI51" s="18"/>
      <c r="AJ51" s="19"/>
    </row>
    <row r="52" spans="2:36" ht="38.25" x14ac:dyDescent="0.2">
      <c r="B52" s="44" t="s">
        <v>134</v>
      </c>
      <c r="C52" s="44"/>
      <c r="D52" s="112">
        <v>6.3</v>
      </c>
      <c r="E52" s="14" t="s">
        <v>99</v>
      </c>
      <c r="F52" s="17" t="s">
        <v>785</v>
      </c>
      <c r="G52" s="17" t="s">
        <v>785</v>
      </c>
      <c r="H52" s="17" t="s">
        <v>928</v>
      </c>
      <c r="I52" s="15"/>
      <c r="J52" s="15"/>
      <c r="K52" s="15"/>
      <c r="L52" s="16"/>
      <c r="M52" s="26">
        <f>IFERROR(VLOOKUP(tblRiskRegister32[[#This Row],[Asset Class]],tblVCDBIndex[],4,FALSE),"")</f>
        <v>3</v>
      </c>
      <c r="N52" s="29" t="str">
        <f>IFERROR(VLOOKUP(10*tblRiskRegister32[[#This Row],[Safeguard Maturity Score]]+tblRiskRegister32[[#This Row],[VCDB Index]],tblHITIndexWeightTable[],4,FALSE),"")</f>
        <v/>
      </c>
      <c r="O52" s="29" t="str">
        <f>VLOOKUP(tblRiskRegister32[[#This Row],[Asset Class]],tblInherentImpacts30[],2,FALSE)</f>
        <v/>
      </c>
      <c r="P52" s="29">
        <f>VLOOKUP(tblRiskRegister32[[#This Row],[Asset Class]],tblInherentImpacts30[],3,FALSE)</f>
        <v>0</v>
      </c>
      <c r="Q52" s="29">
        <f>VLOOKUP(tblRiskRegister32[[#This Row],[Asset Class]],tblInherentImpacts30[],4,FALSE)</f>
        <v>0</v>
      </c>
      <c r="R52" s="29">
        <f>VLOOKUP(tblRiskRegister32[[#This Row],[Asset Class]],tblInherentImpacts30[],5,FALSE)</f>
        <v>0</v>
      </c>
      <c r="S52" s="29" t="str">
        <f>IFERROR(MAX(tblRiskRegister32[[#This Row],[Impact to Mission]:[Impact to Obligations]])*tblRiskRegister32[[#This Row],[Expectancy Score]],"")</f>
        <v/>
      </c>
      <c r="T52" s="29" t="str">
        <f>tblRiskRegister32[[#This Row],[Risk Score]]</f>
        <v/>
      </c>
      <c r="U52" s="100"/>
      <c r="V52" s="112">
        <v>6.3</v>
      </c>
      <c r="W52" s="44" t="s">
        <v>99</v>
      </c>
      <c r="X52" s="44" t="s">
        <v>456</v>
      </c>
      <c r="Y52" s="30"/>
      <c r="Z52" s="16"/>
      <c r="AA52" s="27" t="str">
        <f>IFERROR(VLOOKUP(10*tblRiskRegister32[[#This Row],[Risk Treatment Safeguard Maturity Score]]+tblRiskRegister32[[#This Row],[VCDB Index]],tblHITIndexWeightTable[],4,FALSE),"")</f>
        <v/>
      </c>
      <c r="AB52" s="138" t="str">
        <f>VLOOKUP(tblRiskRegister32[[#This Row],[Asset Class]],tblInherentImpacts30[],2,FALSE)</f>
        <v/>
      </c>
      <c r="AC52" s="138">
        <f>VLOOKUP(tblRiskRegister32[[#This Row],[Asset Class]],tblInherentImpacts30[],3,FALSE)</f>
        <v>0</v>
      </c>
      <c r="AD52" s="138">
        <f>VLOOKUP(tblRiskRegister32[[#This Row],[Asset Class]],tblInherentImpacts30[],4,FALSE)</f>
        <v>0</v>
      </c>
      <c r="AE52" s="138">
        <f>VLOOKUP(tblRiskRegister32[[#This Row],[Asset Class]],tblInherentImpacts30[],5,FALSE)</f>
        <v>0</v>
      </c>
      <c r="AF52" s="138" t="str">
        <f>IFERROR(MAX(tblRiskRegister32[[#This Row],[Risk Treatment Safeguard Impact to Mission]:[Risk Treatment Safeguard Impact to Obligations]])*tblRiskRegister32[[#This Row],[Risk Treatment
Safeguard Expectancy Score]],"")</f>
        <v/>
      </c>
      <c r="AG52" s="138" t="str">
        <f>IF(tblRiskRegister32[[#This Row],[Risk Score]]&gt;AcceptableRisk,IF(tblRiskRegister32[[#This Row],[Risk Treatment Safeguard Risk Score]]&lt;AcceptableRisk, IF(tblRiskRegister32[[#This Row],[Risk Treatment Safeguard Risk Score]]&lt;=tblRiskRegister32[[#This Row],[Risk Score]],"Yes","No"),"No"),"Yes")</f>
        <v>No</v>
      </c>
      <c r="AH52" s="18"/>
      <c r="AI52" s="18"/>
      <c r="AJ52" s="19"/>
    </row>
    <row r="53" spans="2:36" ht="25.5" x14ac:dyDescent="0.2">
      <c r="B53" s="44" t="s">
        <v>134</v>
      </c>
      <c r="C53" s="44"/>
      <c r="D53" s="112">
        <v>6.4</v>
      </c>
      <c r="E53" s="14" t="s">
        <v>100</v>
      </c>
      <c r="F53" s="17" t="s">
        <v>785</v>
      </c>
      <c r="G53" s="17" t="s">
        <v>785</v>
      </c>
      <c r="H53" s="17" t="s">
        <v>928</v>
      </c>
      <c r="I53" s="15"/>
      <c r="J53" s="15"/>
      <c r="K53" s="15"/>
      <c r="L53" s="16"/>
      <c r="M53" s="26">
        <f>IFERROR(VLOOKUP(tblRiskRegister32[[#This Row],[Asset Class]],tblVCDBIndex[],4,FALSE),"")</f>
        <v>3</v>
      </c>
      <c r="N53" s="29" t="str">
        <f>IFERROR(VLOOKUP(10*tblRiskRegister32[[#This Row],[Safeguard Maturity Score]]+tblRiskRegister32[[#This Row],[VCDB Index]],tblHITIndexWeightTable[],4,FALSE),"")</f>
        <v/>
      </c>
      <c r="O53" s="29" t="str">
        <f>VLOOKUP(tblRiskRegister32[[#This Row],[Asset Class]],tblInherentImpacts30[],2,FALSE)</f>
        <v/>
      </c>
      <c r="P53" s="29">
        <f>VLOOKUP(tblRiskRegister32[[#This Row],[Asset Class]],tblInherentImpacts30[],3,FALSE)</f>
        <v>0</v>
      </c>
      <c r="Q53" s="29">
        <f>VLOOKUP(tblRiskRegister32[[#This Row],[Asset Class]],tblInherentImpacts30[],4,FALSE)</f>
        <v>0</v>
      </c>
      <c r="R53" s="29">
        <f>VLOOKUP(tblRiskRegister32[[#This Row],[Asset Class]],tblInherentImpacts30[],5,FALSE)</f>
        <v>0</v>
      </c>
      <c r="S53" s="29" t="str">
        <f>IFERROR(MAX(tblRiskRegister32[[#This Row],[Impact to Mission]:[Impact to Obligations]])*tblRiskRegister32[[#This Row],[Expectancy Score]],"")</f>
        <v/>
      </c>
      <c r="T53" s="29" t="str">
        <f>tblRiskRegister32[[#This Row],[Risk Score]]</f>
        <v/>
      </c>
      <c r="U53" s="100"/>
      <c r="V53" s="112">
        <v>6.4</v>
      </c>
      <c r="W53" s="44" t="s">
        <v>100</v>
      </c>
      <c r="X53" s="44" t="s">
        <v>457</v>
      </c>
      <c r="Y53" s="30"/>
      <c r="Z53" s="16"/>
      <c r="AA53" s="27" t="str">
        <f>IFERROR(VLOOKUP(10*tblRiskRegister32[[#This Row],[Risk Treatment Safeguard Maturity Score]]+tblRiskRegister32[[#This Row],[VCDB Index]],tblHITIndexWeightTable[],4,FALSE),"")</f>
        <v/>
      </c>
      <c r="AB53" s="138" t="str">
        <f>VLOOKUP(tblRiskRegister32[[#This Row],[Asset Class]],tblInherentImpacts30[],2,FALSE)</f>
        <v/>
      </c>
      <c r="AC53" s="138">
        <f>VLOOKUP(tblRiskRegister32[[#This Row],[Asset Class]],tblInherentImpacts30[],3,FALSE)</f>
        <v>0</v>
      </c>
      <c r="AD53" s="138">
        <f>VLOOKUP(tblRiskRegister32[[#This Row],[Asset Class]],tblInherentImpacts30[],4,FALSE)</f>
        <v>0</v>
      </c>
      <c r="AE53" s="138">
        <f>VLOOKUP(tblRiskRegister32[[#This Row],[Asset Class]],tblInherentImpacts30[],5,FALSE)</f>
        <v>0</v>
      </c>
      <c r="AF53" s="138" t="str">
        <f>IFERROR(MAX(tblRiskRegister32[[#This Row],[Risk Treatment Safeguard Impact to Mission]:[Risk Treatment Safeguard Impact to Obligations]])*tblRiskRegister32[[#This Row],[Risk Treatment
Safeguard Expectancy Score]],"")</f>
        <v/>
      </c>
      <c r="AG53" s="138" t="str">
        <f>IF(tblRiskRegister32[[#This Row],[Risk Score]]&gt;AcceptableRisk,IF(tblRiskRegister32[[#This Row],[Risk Treatment Safeguard Risk Score]]&lt;AcceptableRisk, IF(tblRiskRegister32[[#This Row],[Risk Treatment Safeguard Risk Score]]&lt;=tblRiskRegister32[[#This Row],[Risk Score]],"Yes","No"),"No"),"Yes")</f>
        <v>No</v>
      </c>
      <c r="AH53" s="18"/>
      <c r="AI53" s="18"/>
      <c r="AJ53" s="19"/>
    </row>
    <row r="54" spans="2:36" ht="25.5" x14ac:dyDescent="0.2">
      <c r="B54" s="44" t="s">
        <v>134</v>
      </c>
      <c r="C54" s="44"/>
      <c r="D54" s="112">
        <v>6.5</v>
      </c>
      <c r="E54" s="14" t="s">
        <v>101</v>
      </c>
      <c r="F54" s="17" t="s">
        <v>785</v>
      </c>
      <c r="G54" s="17" t="s">
        <v>785</v>
      </c>
      <c r="H54" s="17" t="s">
        <v>928</v>
      </c>
      <c r="I54" s="15"/>
      <c r="J54" s="15"/>
      <c r="K54" s="15"/>
      <c r="L54" s="16"/>
      <c r="M54" s="26">
        <f>IFERROR(VLOOKUP(tblRiskRegister32[[#This Row],[Asset Class]],tblVCDBIndex[],4,FALSE),"")</f>
        <v>3</v>
      </c>
      <c r="N54" s="29" t="str">
        <f>IFERROR(VLOOKUP(10*tblRiskRegister32[[#This Row],[Safeguard Maturity Score]]+tblRiskRegister32[[#This Row],[VCDB Index]],tblHITIndexWeightTable[],4,FALSE),"")</f>
        <v/>
      </c>
      <c r="O54" s="29" t="str">
        <f>VLOOKUP(tblRiskRegister32[[#This Row],[Asset Class]],tblInherentImpacts30[],2,FALSE)</f>
        <v/>
      </c>
      <c r="P54" s="29">
        <f>VLOOKUP(tblRiskRegister32[[#This Row],[Asset Class]],tblInherentImpacts30[],3,FALSE)</f>
        <v>0</v>
      </c>
      <c r="Q54" s="29">
        <f>VLOOKUP(tblRiskRegister32[[#This Row],[Asset Class]],tblInherentImpacts30[],4,FALSE)</f>
        <v>0</v>
      </c>
      <c r="R54" s="29">
        <f>VLOOKUP(tblRiskRegister32[[#This Row],[Asset Class]],tblInherentImpacts30[],5,FALSE)</f>
        <v>0</v>
      </c>
      <c r="S54" s="29" t="str">
        <f>IFERROR(MAX(tblRiskRegister32[[#This Row],[Impact to Mission]:[Impact to Obligations]])*tblRiskRegister32[[#This Row],[Expectancy Score]],"")</f>
        <v/>
      </c>
      <c r="T54" s="29" t="str">
        <f>tblRiskRegister32[[#This Row],[Risk Score]]</f>
        <v/>
      </c>
      <c r="U54" s="100"/>
      <c r="V54" s="112">
        <v>6.5</v>
      </c>
      <c r="W54" s="44" t="s">
        <v>101</v>
      </c>
      <c r="X54" s="44" t="s">
        <v>458</v>
      </c>
      <c r="Y54" s="30"/>
      <c r="Z54" s="16"/>
      <c r="AA54" s="27" t="str">
        <f>IFERROR(VLOOKUP(10*tblRiskRegister32[[#This Row],[Risk Treatment Safeguard Maturity Score]]+tblRiskRegister32[[#This Row],[VCDB Index]],tblHITIndexWeightTable[],4,FALSE),"")</f>
        <v/>
      </c>
      <c r="AB54" s="138" t="str">
        <f>VLOOKUP(tblRiskRegister32[[#This Row],[Asset Class]],tblInherentImpacts30[],2,FALSE)</f>
        <v/>
      </c>
      <c r="AC54" s="138">
        <f>VLOOKUP(tblRiskRegister32[[#This Row],[Asset Class]],tblInherentImpacts30[],3,FALSE)</f>
        <v>0</v>
      </c>
      <c r="AD54" s="138">
        <f>VLOOKUP(tblRiskRegister32[[#This Row],[Asset Class]],tblInherentImpacts30[],4,FALSE)</f>
        <v>0</v>
      </c>
      <c r="AE54" s="138">
        <f>VLOOKUP(tblRiskRegister32[[#This Row],[Asset Class]],tblInherentImpacts30[],5,FALSE)</f>
        <v>0</v>
      </c>
      <c r="AF54" s="138" t="str">
        <f>IFERROR(MAX(tblRiskRegister32[[#This Row],[Risk Treatment Safeguard Impact to Mission]:[Risk Treatment Safeguard Impact to Obligations]])*tblRiskRegister32[[#This Row],[Risk Treatment
Safeguard Expectancy Score]],"")</f>
        <v/>
      </c>
      <c r="AG54" s="138" t="str">
        <f>IF(tblRiskRegister32[[#This Row],[Risk Score]]&gt;AcceptableRisk,IF(tblRiskRegister32[[#This Row],[Risk Treatment Safeguard Risk Score]]&lt;AcceptableRisk, IF(tblRiskRegister32[[#This Row],[Risk Treatment Safeguard Risk Score]]&lt;=tblRiskRegister32[[#This Row],[Risk Score]],"Yes","No"),"No"),"Yes")</f>
        <v>No</v>
      </c>
      <c r="AH54" s="18"/>
      <c r="AI54" s="18"/>
      <c r="AJ54" s="19"/>
    </row>
    <row r="55" spans="2:36" ht="51" x14ac:dyDescent="0.2">
      <c r="B55" s="44" t="s">
        <v>134</v>
      </c>
      <c r="C55" s="44"/>
      <c r="D55" s="112">
        <v>6.6</v>
      </c>
      <c r="E55" s="14" t="s">
        <v>297</v>
      </c>
      <c r="F55" s="17"/>
      <c r="G55" s="17" t="s">
        <v>785</v>
      </c>
      <c r="H55" s="17" t="s">
        <v>926</v>
      </c>
      <c r="I55" s="15"/>
      <c r="J55" s="15"/>
      <c r="K55" s="15"/>
      <c r="L55" s="16"/>
      <c r="M55" s="26">
        <f>IFERROR(VLOOKUP(tblRiskRegister32[[#This Row],[Asset Class]],tblVCDBIndex[],4,FALSE),"")</f>
        <v>3</v>
      </c>
      <c r="N55" s="29" t="str">
        <f>IFERROR(VLOOKUP(10*tblRiskRegister32[[#This Row],[Safeguard Maturity Score]]+tblRiskRegister32[[#This Row],[VCDB Index]],tblHITIndexWeightTable[],4,FALSE),"")</f>
        <v/>
      </c>
      <c r="O55" s="29" t="str">
        <f>VLOOKUP(tblRiskRegister32[[#This Row],[Asset Class]],tblInherentImpacts30[],2,FALSE)</f>
        <v/>
      </c>
      <c r="P55" s="29">
        <f>VLOOKUP(tblRiskRegister32[[#This Row],[Asset Class]],tblInherentImpacts30[],3,FALSE)</f>
        <v>0</v>
      </c>
      <c r="Q55" s="29">
        <f>VLOOKUP(tblRiskRegister32[[#This Row],[Asset Class]],tblInherentImpacts30[],4,FALSE)</f>
        <v>0</v>
      </c>
      <c r="R55" s="29">
        <f>VLOOKUP(tblRiskRegister32[[#This Row],[Asset Class]],tblInherentImpacts30[],5,FALSE)</f>
        <v>0</v>
      </c>
      <c r="S55" s="29" t="str">
        <f>IFERROR(MAX(tblRiskRegister32[[#This Row],[Impact to Mission]:[Impact to Obligations]])*tblRiskRegister32[[#This Row],[Expectancy Score]],"")</f>
        <v/>
      </c>
      <c r="T55" s="29" t="str">
        <f>tblRiskRegister32[[#This Row],[Risk Score]]</f>
        <v/>
      </c>
      <c r="U55" s="100"/>
      <c r="V55" s="112">
        <v>6.6</v>
      </c>
      <c r="W55" s="44" t="s">
        <v>297</v>
      </c>
      <c r="X55" s="44" t="s">
        <v>459</v>
      </c>
      <c r="Y55" s="30"/>
      <c r="Z55" s="16"/>
      <c r="AA55" s="27" t="str">
        <f>IFERROR(VLOOKUP(10*tblRiskRegister32[[#This Row],[Risk Treatment Safeguard Maturity Score]]+tblRiskRegister32[[#This Row],[VCDB Index]],tblHITIndexWeightTable[],4,FALSE),"")</f>
        <v/>
      </c>
      <c r="AB55" s="138" t="str">
        <f>VLOOKUP(tblRiskRegister32[[#This Row],[Asset Class]],tblInherentImpacts30[],2,FALSE)</f>
        <v/>
      </c>
      <c r="AC55" s="138">
        <f>VLOOKUP(tblRiskRegister32[[#This Row],[Asset Class]],tblInherentImpacts30[],3,FALSE)</f>
        <v>0</v>
      </c>
      <c r="AD55" s="138">
        <f>VLOOKUP(tblRiskRegister32[[#This Row],[Asset Class]],tblInherentImpacts30[],4,FALSE)</f>
        <v>0</v>
      </c>
      <c r="AE55" s="138">
        <f>VLOOKUP(tblRiskRegister32[[#This Row],[Asset Class]],tblInherentImpacts30[],5,FALSE)</f>
        <v>0</v>
      </c>
      <c r="AF55" s="138" t="str">
        <f>IFERROR(MAX(tblRiskRegister32[[#This Row],[Risk Treatment Safeguard Impact to Mission]:[Risk Treatment Safeguard Impact to Obligations]])*tblRiskRegister32[[#This Row],[Risk Treatment
Safeguard Expectancy Score]],"")</f>
        <v/>
      </c>
      <c r="AG55" s="138" t="str">
        <f>IF(tblRiskRegister32[[#This Row],[Risk Score]]&gt;AcceptableRisk,IF(tblRiskRegister32[[#This Row],[Risk Treatment Safeguard Risk Score]]&lt;AcceptableRisk, IF(tblRiskRegister32[[#This Row],[Risk Treatment Safeguard Risk Score]]&lt;=tblRiskRegister32[[#This Row],[Risk Score]],"Yes","No"),"No"),"Yes")</f>
        <v>No</v>
      </c>
      <c r="AH55" s="18"/>
      <c r="AI55" s="18"/>
      <c r="AJ55" s="19"/>
    </row>
    <row r="56" spans="2:36" ht="25.5" x14ac:dyDescent="0.2">
      <c r="B56" s="44" t="s">
        <v>134</v>
      </c>
      <c r="C56" s="44"/>
      <c r="D56" s="112">
        <v>6.7</v>
      </c>
      <c r="E56" s="14" t="s">
        <v>298</v>
      </c>
      <c r="F56" s="17"/>
      <c r="G56" s="17" t="s">
        <v>785</v>
      </c>
      <c r="H56" s="17" t="s">
        <v>928</v>
      </c>
      <c r="I56" s="15"/>
      <c r="J56" s="15"/>
      <c r="K56" s="15"/>
      <c r="L56" s="16"/>
      <c r="M56" s="26">
        <f>IFERROR(VLOOKUP(tblRiskRegister32[[#This Row],[Asset Class]],tblVCDBIndex[],4,FALSE),"")</f>
        <v>3</v>
      </c>
      <c r="N56" s="29" t="str">
        <f>IFERROR(VLOOKUP(10*tblRiskRegister32[[#This Row],[Safeguard Maturity Score]]+tblRiskRegister32[[#This Row],[VCDB Index]],tblHITIndexWeightTable[],4,FALSE),"")</f>
        <v/>
      </c>
      <c r="O56" s="29" t="str">
        <f>VLOOKUP(tblRiskRegister32[[#This Row],[Asset Class]],tblInherentImpacts30[],2,FALSE)</f>
        <v/>
      </c>
      <c r="P56" s="29">
        <f>VLOOKUP(tblRiskRegister32[[#This Row],[Asset Class]],tblInherentImpacts30[],3,FALSE)</f>
        <v>0</v>
      </c>
      <c r="Q56" s="29">
        <f>VLOOKUP(tblRiskRegister32[[#This Row],[Asset Class]],tblInherentImpacts30[],4,FALSE)</f>
        <v>0</v>
      </c>
      <c r="R56" s="29">
        <f>VLOOKUP(tblRiskRegister32[[#This Row],[Asset Class]],tblInherentImpacts30[],5,FALSE)</f>
        <v>0</v>
      </c>
      <c r="S56" s="29" t="str">
        <f>IFERROR(MAX(tblRiskRegister32[[#This Row],[Impact to Mission]:[Impact to Obligations]])*tblRiskRegister32[[#This Row],[Expectancy Score]],"")</f>
        <v/>
      </c>
      <c r="T56" s="29" t="str">
        <f>tblRiskRegister32[[#This Row],[Risk Score]]</f>
        <v/>
      </c>
      <c r="U56" s="100"/>
      <c r="V56" s="112">
        <v>6.7</v>
      </c>
      <c r="W56" s="44" t="s">
        <v>298</v>
      </c>
      <c r="X56" s="44" t="s">
        <v>460</v>
      </c>
      <c r="Y56" s="30"/>
      <c r="Z56" s="16"/>
      <c r="AA56" s="27" t="str">
        <f>IFERROR(VLOOKUP(10*tblRiskRegister32[[#This Row],[Risk Treatment Safeguard Maturity Score]]+tblRiskRegister32[[#This Row],[VCDB Index]],tblHITIndexWeightTable[],4,FALSE),"")</f>
        <v/>
      </c>
      <c r="AB56" s="138" t="str">
        <f>VLOOKUP(tblRiskRegister32[[#This Row],[Asset Class]],tblInherentImpacts30[],2,FALSE)</f>
        <v/>
      </c>
      <c r="AC56" s="138">
        <f>VLOOKUP(tblRiskRegister32[[#This Row],[Asset Class]],tblInherentImpacts30[],3,FALSE)</f>
        <v>0</v>
      </c>
      <c r="AD56" s="138">
        <f>VLOOKUP(tblRiskRegister32[[#This Row],[Asset Class]],tblInherentImpacts30[],4,FALSE)</f>
        <v>0</v>
      </c>
      <c r="AE56" s="138">
        <f>VLOOKUP(tblRiskRegister32[[#This Row],[Asset Class]],tblInherentImpacts30[],5,FALSE)</f>
        <v>0</v>
      </c>
      <c r="AF56" s="138" t="str">
        <f>IFERROR(MAX(tblRiskRegister32[[#This Row],[Risk Treatment Safeguard Impact to Mission]:[Risk Treatment Safeguard Impact to Obligations]])*tblRiskRegister32[[#This Row],[Risk Treatment
Safeguard Expectancy Score]],"")</f>
        <v/>
      </c>
      <c r="AG56" s="138" t="str">
        <f>IF(tblRiskRegister32[[#This Row],[Risk Score]]&gt;AcceptableRisk,IF(tblRiskRegister32[[#This Row],[Risk Treatment Safeguard Risk Score]]&lt;AcceptableRisk, IF(tblRiskRegister32[[#This Row],[Risk Treatment Safeguard Risk Score]]&lt;=tblRiskRegister32[[#This Row],[Risk Score]],"Yes","No"),"No"),"Yes")</f>
        <v>No</v>
      </c>
      <c r="AH56" s="18"/>
      <c r="AI56" s="18"/>
      <c r="AJ56" s="19"/>
    </row>
    <row r="57" spans="2:36" ht="38.25" x14ac:dyDescent="0.2">
      <c r="B57" s="15" t="s">
        <v>132</v>
      </c>
      <c r="C57" s="15"/>
      <c r="D57" s="100">
        <v>7.1</v>
      </c>
      <c r="E57" s="14" t="s">
        <v>102</v>
      </c>
      <c r="F57" s="17" t="s">
        <v>785</v>
      </c>
      <c r="G57" s="17" t="s">
        <v>785</v>
      </c>
      <c r="H57" s="17" t="s">
        <v>928</v>
      </c>
      <c r="I57" s="15"/>
      <c r="J57" s="15"/>
      <c r="K57" s="15"/>
      <c r="L57" s="16"/>
      <c r="M57" s="26">
        <f>IFERROR(VLOOKUP(tblRiskRegister32[[#This Row],[Asset Class]],tblVCDBIndex[],4,FALSE),"")</f>
        <v>2</v>
      </c>
      <c r="N57" s="26" t="str">
        <f>IFERROR(VLOOKUP(10*tblRiskRegister32[[#This Row],[Safeguard Maturity Score]]+tblRiskRegister32[[#This Row],[VCDB Index]],tblHITIndexWeightTable[],4,FALSE),"")</f>
        <v/>
      </c>
      <c r="O57" s="26" t="str">
        <f>VLOOKUP(tblRiskRegister32[[#This Row],[Asset Class]],tblInherentImpacts30[],2,FALSE)</f>
        <v/>
      </c>
      <c r="P57" s="26">
        <f>VLOOKUP(tblRiskRegister32[[#This Row],[Asset Class]],tblInherentImpacts30[],3,FALSE)</f>
        <v>0</v>
      </c>
      <c r="Q57" s="26">
        <f>VLOOKUP(tblRiskRegister32[[#This Row],[Asset Class]],tblInherentImpacts30[],4,FALSE)</f>
        <v>0</v>
      </c>
      <c r="R57" s="26">
        <f>VLOOKUP(tblRiskRegister32[[#This Row],[Asset Class]],tblInherentImpacts30[],5,FALSE)</f>
        <v>0</v>
      </c>
      <c r="S57" s="26" t="str">
        <f>IFERROR(MAX(tblRiskRegister32[[#This Row],[Impact to Mission]:[Impact to Obligations]])*tblRiskRegister32[[#This Row],[Expectancy Score]],"")</f>
        <v/>
      </c>
      <c r="T57" s="26" t="str">
        <f>tblRiskRegister32[[#This Row],[Risk Score]]</f>
        <v/>
      </c>
      <c r="U57" s="100"/>
      <c r="V57" s="100">
        <v>7.1</v>
      </c>
      <c r="W57" s="15" t="s">
        <v>102</v>
      </c>
      <c r="X57" s="15" t="s">
        <v>461</v>
      </c>
      <c r="Y57" s="15"/>
      <c r="Z57" s="16"/>
      <c r="AA57" s="27" t="str">
        <f>IFERROR(VLOOKUP(10*tblRiskRegister32[[#This Row],[Risk Treatment Safeguard Maturity Score]]+tblRiskRegister32[[#This Row],[VCDB Index]],tblHITIndexWeightTable[],4,FALSE),"")</f>
        <v/>
      </c>
      <c r="AB57" s="138" t="str">
        <f>VLOOKUP(tblRiskRegister32[[#This Row],[Asset Class]],tblInherentImpacts30[],2,FALSE)</f>
        <v/>
      </c>
      <c r="AC57" s="138">
        <f>VLOOKUP(tblRiskRegister32[[#This Row],[Asset Class]],tblInherentImpacts30[],3,FALSE)</f>
        <v>0</v>
      </c>
      <c r="AD57" s="138">
        <f>VLOOKUP(tblRiskRegister32[[#This Row],[Asset Class]],tblInherentImpacts30[],4,FALSE)</f>
        <v>0</v>
      </c>
      <c r="AE57" s="138">
        <f>VLOOKUP(tblRiskRegister32[[#This Row],[Asset Class]],tblInherentImpacts30[],5,FALSE)</f>
        <v>0</v>
      </c>
      <c r="AF57" s="138" t="str">
        <f>IFERROR(MAX(tblRiskRegister32[[#This Row],[Risk Treatment Safeguard Impact to Mission]:[Risk Treatment Safeguard Impact to Obligations]])*tblRiskRegister32[[#This Row],[Risk Treatment
Safeguard Expectancy Score]],"")</f>
        <v/>
      </c>
      <c r="AG57" s="138" t="str">
        <f>IF(tblRiskRegister32[[#This Row],[Risk Score]]&gt;AcceptableRisk,IF(tblRiskRegister32[[#This Row],[Risk Treatment Safeguard Risk Score]]&lt;AcceptableRisk, IF(tblRiskRegister32[[#This Row],[Risk Treatment Safeguard Risk Score]]&lt;=tblRiskRegister32[[#This Row],[Risk Score]],"Yes","No"),"No"),"Yes")</f>
        <v>No</v>
      </c>
      <c r="AH57" s="18"/>
      <c r="AI57" s="18"/>
      <c r="AJ57" s="19"/>
    </row>
    <row r="58" spans="2:36" ht="25.5" x14ac:dyDescent="0.2">
      <c r="B58" s="15" t="s">
        <v>132</v>
      </c>
      <c r="C58" s="15"/>
      <c r="D58" s="100">
        <v>7.2</v>
      </c>
      <c r="E58" s="14" t="s">
        <v>103</v>
      </c>
      <c r="F58" s="17" t="s">
        <v>785</v>
      </c>
      <c r="G58" s="17" t="s">
        <v>785</v>
      </c>
      <c r="H58" s="17" t="s">
        <v>927</v>
      </c>
      <c r="I58" s="15"/>
      <c r="J58" s="15"/>
      <c r="K58" s="15"/>
      <c r="L58" s="16"/>
      <c r="M58" s="26">
        <f>IFERROR(VLOOKUP(tblRiskRegister32[[#This Row],[Asset Class]],tblVCDBIndex[],4,FALSE),"")</f>
        <v>2</v>
      </c>
      <c r="N58" s="26" t="str">
        <f>IFERROR(VLOOKUP(10*tblRiskRegister32[[#This Row],[Safeguard Maturity Score]]+tblRiskRegister32[[#This Row],[VCDB Index]],tblHITIndexWeightTable[],4,FALSE),"")</f>
        <v/>
      </c>
      <c r="O58" s="26" t="str">
        <f>VLOOKUP(tblRiskRegister32[[#This Row],[Asset Class]],tblInherentImpacts30[],2,FALSE)</f>
        <v/>
      </c>
      <c r="P58" s="26">
        <f>VLOOKUP(tblRiskRegister32[[#This Row],[Asset Class]],tblInherentImpacts30[],3,FALSE)</f>
        <v>0</v>
      </c>
      <c r="Q58" s="26">
        <f>VLOOKUP(tblRiskRegister32[[#This Row],[Asset Class]],tblInherentImpacts30[],4,FALSE)</f>
        <v>0</v>
      </c>
      <c r="R58" s="26">
        <f>VLOOKUP(tblRiskRegister32[[#This Row],[Asset Class]],tblInherentImpacts30[],5,FALSE)</f>
        <v>0</v>
      </c>
      <c r="S58" s="26" t="str">
        <f>IFERROR(MAX(tblRiskRegister32[[#This Row],[Impact to Mission]:[Impact to Obligations]])*tblRiskRegister32[[#This Row],[Expectancy Score]],"")</f>
        <v/>
      </c>
      <c r="T58" s="26" t="str">
        <f>tblRiskRegister32[[#This Row],[Risk Score]]</f>
        <v/>
      </c>
      <c r="U58" s="100"/>
      <c r="V58" s="100">
        <v>7.2</v>
      </c>
      <c r="W58" s="15" t="s">
        <v>103</v>
      </c>
      <c r="X58" s="15" t="s">
        <v>462</v>
      </c>
      <c r="Y58" s="15"/>
      <c r="Z58" s="16"/>
      <c r="AA58" s="27" t="str">
        <f>IFERROR(VLOOKUP(10*tblRiskRegister32[[#This Row],[Risk Treatment Safeguard Maturity Score]]+tblRiskRegister32[[#This Row],[VCDB Index]],tblHITIndexWeightTable[],4,FALSE),"")</f>
        <v/>
      </c>
      <c r="AB58" s="138" t="str">
        <f>VLOOKUP(tblRiskRegister32[[#This Row],[Asset Class]],tblInherentImpacts30[],2,FALSE)</f>
        <v/>
      </c>
      <c r="AC58" s="138">
        <f>VLOOKUP(tblRiskRegister32[[#This Row],[Asset Class]],tblInherentImpacts30[],3,FALSE)</f>
        <v>0</v>
      </c>
      <c r="AD58" s="138">
        <f>VLOOKUP(tblRiskRegister32[[#This Row],[Asset Class]],tblInherentImpacts30[],4,FALSE)</f>
        <v>0</v>
      </c>
      <c r="AE58" s="138">
        <f>VLOOKUP(tblRiskRegister32[[#This Row],[Asset Class]],tblInherentImpacts30[],5,FALSE)</f>
        <v>0</v>
      </c>
      <c r="AF58" s="138" t="str">
        <f>IFERROR(MAX(tblRiskRegister32[[#This Row],[Risk Treatment Safeguard Impact to Mission]:[Risk Treatment Safeguard Impact to Obligations]])*tblRiskRegister32[[#This Row],[Risk Treatment
Safeguard Expectancy Score]],"")</f>
        <v/>
      </c>
      <c r="AG58" s="138" t="str">
        <f>IF(tblRiskRegister32[[#This Row],[Risk Score]]&gt;AcceptableRisk,IF(tblRiskRegister32[[#This Row],[Risk Treatment Safeguard Risk Score]]&lt;AcceptableRisk, IF(tblRiskRegister32[[#This Row],[Risk Treatment Safeguard Risk Score]]&lt;=tblRiskRegister32[[#This Row],[Risk Score]],"Yes","No"),"No"),"Yes")</f>
        <v>No</v>
      </c>
      <c r="AH58" s="18"/>
      <c r="AI58" s="18"/>
      <c r="AJ58" s="19"/>
    </row>
    <row r="59" spans="2:36" ht="38.25" x14ac:dyDescent="0.2">
      <c r="B59" s="15" t="s">
        <v>132</v>
      </c>
      <c r="C59" s="15"/>
      <c r="D59" s="100">
        <v>7.3</v>
      </c>
      <c r="E59" s="14" t="s">
        <v>104</v>
      </c>
      <c r="F59" s="17" t="s">
        <v>785</v>
      </c>
      <c r="G59" s="17" t="s">
        <v>785</v>
      </c>
      <c r="H59" s="17" t="s">
        <v>928</v>
      </c>
      <c r="I59" s="15"/>
      <c r="J59" s="15"/>
      <c r="K59" s="15"/>
      <c r="L59" s="16"/>
      <c r="M59" s="26">
        <f>IFERROR(VLOOKUP(tblRiskRegister32[[#This Row],[Asset Class]],tblVCDBIndex[],4,FALSE),"")</f>
        <v>2</v>
      </c>
      <c r="N59" s="26" t="str">
        <f>IFERROR(VLOOKUP(10*tblRiskRegister32[[#This Row],[Safeguard Maturity Score]]+tblRiskRegister32[[#This Row],[VCDB Index]],tblHITIndexWeightTable[],4,FALSE),"")</f>
        <v/>
      </c>
      <c r="O59" s="26" t="str">
        <f>VLOOKUP(tblRiskRegister32[[#This Row],[Asset Class]],tblInherentImpacts30[],2,FALSE)</f>
        <v/>
      </c>
      <c r="P59" s="26">
        <f>VLOOKUP(tblRiskRegister32[[#This Row],[Asset Class]],tblInherentImpacts30[],3,FALSE)</f>
        <v>0</v>
      </c>
      <c r="Q59" s="26">
        <f>VLOOKUP(tblRiskRegister32[[#This Row],[Asset Class]],tblInherentImpacts30[],4,FALSE)</f>
        <v>0</v>
      </c>
      <c r="R59" s="26">
        <f>VLOOKUP(tblRiskRegister32[[#This Row],[Asset Class]],tblInherentImpacts30[],5,FALSE)</f>
        <v>0</v>
      </c>
      <c r="S59" s="26" t="str">
        <f>IFERROR(MAX(tblRiskRegister32[[#This Row],[Impact to Mission]:[Impact to Obligations]])*tblRiskRegister32[[#This Row],[Expectancy Score]],"")</f>
        <v/>
      </c>
      <c r="T59" s="26" t="str">
        <f>tblRiskRegister32[[#This Row],[Risk Score]]</f>
        <v/>
      </c>
      <c r="U59" s="100"/>
      <c r="V59" s="100">
        <v>7.3</v>
      </c>
      <c r="W59" s="15" t="s">
        <v>104</v>
      </c>
      <c r="X59" s="15" t="s">
        <v>463</v>
      </c>
      <c r="Y59" s="15"/>
      <c r="Z59" s="16"/>
      <c r="AA59" s="27" t="str">
        <f>IFERROR(VLOOKUP(10*tblRiskRegister32[[#This Row],[Risk Treatment Safeguard Maturity Score]]+tblRiskRegister32[[#This Row],[VCDB Index]],tblHITIndexWeightTable[],4,FALSE),"")</f>
        <v/>
      </c>
      <c r="AB59" s="138" t="str">
        <f>VLOOKUP(tblRiskRegister32[[#This Row],[Asset Class]],tblInherentImpacts30[],2,FALSE)</f>
        <v/>
      </c>
      <c r="AC59" s="138">
        <f>VLOOKUP(tblRiskRegister32[[#This Row],[Asset Class]],tblInherentImpacts30[],3,FALSE)</f>
        <v>0</v>
      </c>
      <c r="AD59" s="138">
        <f>VLOOKUP(tblRiskRegister32[[#This Row],[Asset Class]],tblInherentImpacts30[],4,FALSE)</f>
        <v>0</v>
      </c>
      <c r="AE59" s="138">
        <f>VLOOKUP(tblRiskRegister32[[#This Row],[Asset Class]],tblInherentImpacts30[],5,FALSE)</f>
        <v>0</v>
      </c>
      <c r="AF59" s="138" t="str">
        <f>IFERROR(MAX(tblRiskRegister32[[#This Row],[Risk Treatment Safeguard Impact to Mission]:[Risk Treatment Safeguard Impact to Obligations]])*tblRiskRegister32[[#This Row],[Risk Treatment
Safeguard Expectancy Score]],"")</f>
        <v/>
      </c>
      <c r="AG59" s="138" t="str">
        <f>IF(tblRiskRegister32[[#This Row],[Risk Score]]&gt;AcceptableRisk,IF(tblRiskRegister32[[#This Row],[Risk Treatment Safeguard Risk Score]]&lt;AcceptableRisk, IF(tblRiskRegister32[[#This Row],[Risk Treatment Safeguard Risk Score]]&lt;=tblRiskRegister32[[#This Row],[Risk Score]],"Yes","No"),"No"),"Yes")</f>
        <v>No</v>
      </c>
      <c r="AH59" s="18"/>
      <c r="AI59" s="18"/>
      <c r="AJ59" s="19"/>
    </row>
    <row r="60" spans="2:36" ht="38.25" x14ac:dyDescent="0.2">
      <c r="B60" s="15" t="s">
        <v>132</v>
      </c>
      <c r="C60" s="15"/>
      <c r="D60" s="100">
        <v>7.4</v>
      </c>
      <c r="E60" s="14" t="s">
        <v>105</v>
      </c>
      <c r="F60" s="17" t="s">
        <v>785</v>
      </c>
      <c r="G60" s="17" t="s">
        <v>785</v>
      </c>
      <c r="H60" s="17" t="s">
        <v>928</v>
      </c>
      <c r="I60" s="15"/>
      <c r="J60" s="15"/>
      <c r="K60" s="15"/>
      <c r="L60" s="16"/>
      <c r="M60" s="26">
        <f>IFERROR(VLOOKUP(tblRiskRegister32[[#This Row],[Asset Class]],tblVCDBIndex[],4,FALSE),"")</f>
        <v>2</v>
      </c>
      <c r="N60" s="26" t="str">
        <f>IFERROR(VLOOKUP(10*tblRiskRegister32[[#This Row],[Safeguard Maturity Score]]+tblRiskRegister32[[#This Row],[VCDB Index]],tblHITIndexWeightTable[],4,FALSE),"")</f>
        <v/>
      </c>
      <c r="O60" s="26" t="str">
        <f>VLOOKUP(tblRiskRegister32[[#This Row],[Asset Class]],tblInherentImpacts30[],2,FALSE)</f>
        <v/>
      </c>
      <c r="P60" s="26">
        <f>VLOOKUP(tblRiskRegister32[[#This Row],[Asset Class]],tblInherentImpacts30[],3,FALSE)</f>
        <v>0</v>
      </c>
      <c r="Q60" s="26">
        <f>VLOOKUP(tblRiskRegister32[[#This Row],[Asset Class]],tblInherentImpacts30[],4,FALSE)</f>
        <v>0</v>
      </c>
      <c r="R60" s="26">
        <f>VLOOKUP(tblRiskRegister32[[#This Row],[Asset Class]],tblInherentImpacts30[],5,FALSE)</f>
        <v>0</v>
      </c>
      <c r="S60" s="26" t="str">
        <f>IFERROR(MAX(tblRiskRegister32[[#This Row],[Impact to Mission]:[Impact to Obligations]])*tblRiskRegister32[[#This Row],[Expectancy Score]],"")</f>
        <v/>
      </c>
      <c r="T60" s="26" t="str">
        <f>tblRiskRegister32[[#This Row],[Risk Score]]</f>
        <v/>
      </c>
      <c r="U60" s="100"/>
      <c r="V60" s="100">
        <v>7.4</v>
      </c>
      <c r="W60" s="15" t="s">
        <v>105</v>
      </c>
      <c r="X60" s="15" t="s">
        <v>464</v>
      </c>
      <c r="Y60" s="15"/>
      <c r="Z60" s="16"/>
      <c r="AA60" s="27" t="str">
        <f>IFERROR(VLOOKUP(10*tblRiskRegister32[[#This Row],[Risk Treatment Safeguard Maturity Score]]+tblRiskRegister32[[#This Row],[VCDB Index]],tblHITIndexWeightTable[],4,FALSE),"")</f>
        <v/>
      </c>
      <c r="AB60" s="138" t="str">
        <f>VLOOKUP(tblRiskRegister32[[#This Row],[Asset Class]],tblInherentImpacts30[],2,FALSE)</f>
        <v/>
      </c>
      <c r="AC60" s="138">
        <f>VLOOKUP(tblRiskRegister32[[#This Row],[Asset Class]],tblInherentImpacts30[],3,FALSE)</f>
        <v>0</v>
      </c>
      <c r="AD60" s="138">
        <f>VLOOKUP(tblRiskRegister32[[#This Row],[Asset Class]],tblInherentImpacts30[],4,FALSE)</f>
        <v>0</v>
      </c>
      <c r="AE60" s="138">
        <f>VLOOKUP(tblRiskRegister32[[#This Row],[Asset Class]],tblInherentImpacts30[],5,FALSE)</f>
        <v>0</v>
      </c>
      <c r="AF60" s="138" t="str">
        <f>IFERROR(MAX(tblRiskRegister32[[#This Row],[Risk Treatment Safeguard Impact to Mission]:[Risk Treatment Safeguard Impact to Obligations]])*tblRiskRegister32[[#This Row],[Risk Treatment
Safeguard Expectancy Score]],"")</f>
        <v/>
      </c>
      <c r="AG60" s="138" t="str">
        <f>IF(tblRiskRegister32[[#This Row],[Risk Score]]&gt;AcceptableRisk,IF(tblRiskRegister32[[#This Row],[Risk Treatment Safeguard Risk Score]]&lt;AcceptableRisk, IF(tblRiskRegister32[[#This Row],[Risk Treatment Safeguard Risk Score]]&lt;=tblRiskRegister32[[#This Row],[Risk Score]],"Yes","No"),"No"),"Yes")</f>
        <v>No</v>
      </c>
      <c r="AH60" s="18"/>
      <c r="AI60" s="18"/>
      <c r="AJ60" s="19"/>
    </row>
    <row r="61" spans="2:36" ht="38.25" x14ac:dyDescent="0.2">
      <c r="B61" s="15" t="s">
        <v>132</v>
      </c>
      <c r="C61" s="15"/>
      <c r="D61" s="100">
        <v>7.5</v>
      </c>
      <c r="E61" s="14" t="s">
        <v>229</v>
      </c>
      <c r="F61" s="17"/>
      <c r="G61" s="17" t="s">
        <v>785</v>
      </c>
      <c r="H61" s="17" t="s">
        <v>926</v>
      </c>
      <c r="I61" s="15"/>
      <c r="J61" s="15"/>
      <c r="K61" s="15"/>
      <c r="L61" s="16"/>
      <c r="M61" s="26">
        <f>IFERROR(VLOOKUP(tblRiskRegister32[[#This Row],[Asset Class]],tblVCDBIndex[],4,FALSE),"")</f>
        <v>2</v>
      </c>
      <c r="N61" s="26" t="str">
        <f>IFERROR(VLOOKUP(10*tblRiskRegister32[[#This Row],[Safeguard Maturity Score]]+tblRiskRegister32[[#This Row],[VCDB Index]],tblHITIndexWeightTable[],4,FALSE),"")</f>
        <v/>
      </c>
      <c r="O61" s="26" t="str">
        <f>VLOOKUP(tblRiskRegister32[[#This Row],[Asset Class]],tblInherentImpacts30[],2,FALSE)</f>
        <v/>
      </c>
      <c r="P61" s="26">
        <f>VLOOKUP(tblRiskRegister32[[#This Row],[Asset Class]],tblInherentImpacts30[],3,FALSE)</f>
        <v>0</v>
      </c>
      <c r="Q61" s="26">
        <f>VLOOKUP(tblRiskRegister32[[#This Row],[Asset Class]],tblInherentImpacts30[],4,FALSE)</f>
        <v>0</v>
      </c>
      <c r="R61" s="26">
        <f>VLOOKUP(tblRiskRegister32[[#This Row],[Asset Class]],tblInherentImpacts30[],5,FALSE)</f>
        <v>0</v>
      </c>
      <c r="S61" s="26" t="str">
        <f>IFERROR(MAX(tblRiskRegister32[[#This Row],[Impact to Mission]:[Impact to Obligations]])*tblRiskRegister32[[#This Row],[Expectancy Score]],"")</f>
        <v/>
      </c>
      <c r="T61" s="26" t="str">
        <f>tblRiskRegister32[[#This Row],[Risk Score]]</f>
        <v/>
      </c>
      <c r="U61" s="100"/>
      <c r="V61" s="100">
        <v>7.5</v>
      </c>
      <c r="W61" s="15" t="s">
        <v>229</v>
      </c>
      <c r="X61" s="15" t="s">
        <v>465</v>
      </c>
      <c r="Y61" s="15"/>
      <c r="Z61" s="16"/>
      <c r="AA61" s="27" t="str">
        <f>IFERROR(VLOOKUP(10*tblRiskRegister32[[#This Row],[Risk Treatment Safeguard Maturity Score]]+tblRiskRegister32[[#This Row],[VCDB Index]],tblHITIndexWeightTable[],4,FALSE),"")</f>
        <v/>
      </c>
      <c r="AB61" s="138" t="str">
        <f>VLOOKUP(tblRiskRegister32[[#This Row],[Asset Class]],tblInherentImpacts30[],2,FALSE)</f>
        <v/>
      </c>
      <c r="AC61" s="138">
        <f>VLOOKUP(tblRiskRegister32[[#This Row],[Asset Class]],tblInherentImpacts30[],3,FALSE)</f>
        <v>0</v>
      </c>
      <c r="AD61" s="138">
        <f>VLOOKUP(tblRiskRegister32[[#This Row],[Asset Class]],tblInherentImpacts30[],4,FALSE)</f>
        <v>0</v>
      </c>
      <c r="AE61" s="138">
        <f>VLOOKUP(tblRiskRegister32[[#This Row],[Asset Class]],tblInherentImpacts30[],5,FALSE)</f>
        <v>0</v>
      </c>
      <c r="AF61" s="138" t="str">
        <f>IFERROR(MAX(tblRiskRegister32[[#This Row],[Risk Treatment Safeguard Impact to Mission]:[Risk Treatment Safeguard Impact to Obligations]])*tblRiskRegister32[[#This Row],[Risk Treatment
Safeguard Expectancy Score]],"")</f>
        <v/>
      </c>
      <c r="AG61" s="138" t="str">
        <f>IF(tblRiskRegister32[[#This Row],[Risk Score]]&gt;AcceptableRisk,IF(tblRiskRegister32[[#This Row],[Risk Treatment Safeguard Risk Score]]&lt;AcceptableRisk, IF(tblRiskRegister32[[#This Row],[Risk Treatment Safeguard Risk Score]]&lt;=tblRiskRegister32[[#This Row],[Risk Score]],"Yes","No"),"No"),"Yes")</f>
        <v>No</v>
      </c>
      <c r="AH61" s="18"/>
      <c r="AI61" s="18"/>
      <c r="AJ61" s="19"/>
    </row>
    <row r="62" spans="2:36" ht="51" x14ac:dyDescent="0.2">
      <c r="B62" s="15" t="s">
        <v>132</v>
      </c>
      <c r="C62" s="15"/>
      <c r="D62" s="100">
        <v>7.6</v>
      </c>
      <c r="E62" s="14" t="s">
        <v>230</v>
      </c>
      <c r="F62" s="17"/>
      <c r="G62" s="17" t="s">
        <v>785</v>
      </c>
      <c r="H62" s="17" t="s">
        <v>926</v>
      </c>
      <c r="I62" s="15"/>
      <c r="J62" s="15"/>
      <c r="K62" s="15"/>
      <c r="L62" s="16"/>
      <c r="M62" s="26">
        <f>IFERROR(VLOOKUP(tblRiskRegister32[[#This Row],[Asset Class]],tblVCDBIndex[],4,FALSE),"")</f>
        <v>2</v>
      </c>
      <c r="N62" s="26" t="str">
        <f>IFERROR(VLOOKUP(10*tblRiskRegister32[[#This Row],[Safeguard Maturity Score]]+tblRiskRegister32[[#This Row],[VCDB Index]],tblHITIndexWeightTable[],4,FALSE),"")</f>
        <v/>
      </c>
      <c r="O62" s="26" t="str">
        <f>VLOOKUP(tblRiskRegister32[[#This Row],[Asset Class]],tblInherentImpacts30[],2,FALSE)</f>
        <v/>
      </c>
      <c r="P62" s="26">
        <f>VLOOKUP(tblRiskRegister32[[#This Row],[Asset Class]],tblInherentImpacts30[],3,FALSE)</f>
        <v>0</v>
      </c>
      <c r="Q62" s="26">
        <f>VLOOKUP(tblRiskRegister32[[#This Row],[Asset Class]],tblInherentImpacts30[],4,FALSE)</f>
        <v>0</v>
      </c>
      <c r="R62" s="26">
        <f>VLOOKUP(tblRiskRegister32[[#This Row],[Asset Class]],tblInherentImpacts30[],5,FALSE)</f>
        <v>0</v>
      </c>
      <c r="S62" s="26" t="str">
        <f>IFERROR(MAX(tblRiskRegister32[[#This Row],[Impact to Mission]:[Impact to Obligations]])*tblRiskRegister32[[#This Row],[Expectancy Score]],"")</f>
        <v/>
      </c>
      <c r="T62" s="26" t="str">
        <f>tblRiskRegister32[[#This Row],[Risk Score]]</f>
        <v/>
      </c>
      <c r="U62" s="100"/>
      <c r="V62" s="100">
        <v>7.6</v>
      </c>
      <c r="W62" s="15" t="s">
        <v>230</v>
      </c>
      <c r="X62" s="15" t="s">
        <v>466</v>
      </c>
      <c r="Y62" s="15"/>
      <c r="Z62" s="16"/>
      <c r="AA62" s="27" t="str">
        <f>IFERROR(VLOOKUP(10*tblRiskRegister32[[#This Row],[Risk Treatment Safeguard Maturity Score]]+tblRiskRegister32[[#This Row],[VCDB Index]],tblHITIndexWeightTable[],4,FALSE),"")</f>
        <v/>
      </c>
      <c r="AB62" s="138" t="str">
        <f>VLOOKUP(tblRiskRegister32[[#This Row],[Asset Class]],tblInherentImpacts30[],2,FALSE)</f>
        <v/>
      </c>
      <c r="AC62" s="138">
        <f>VLOOKUP(tblRiskRegister32[[#This Row],[Asset Class]],tblInherentImpacts30[],3,FALSE)</f>
        <v>0</v>
      </c>
      <c r="AD62" s="138">
        <f>VLOOKUP(tblRiskRegister32[[#This Row],[Asset Class]],tblInherentImpacts30[],4,FALSE)</f>
        <v>0</v>
      </c>
      <c r="AE62" s="138">
        <f>VLOOKUP(tblRiskRegister32[[#This Row],[Asset Class]],tblInherentImpacts30[],5,FALSE)</f>
        <v>0</v>
      </c>
      <c r="AF62" s="138" t="str">
        <f>IFERROR(MAX(tblRiskRegister32[[#This Row],[Risk Treatment Safeguard Impact to Mission]:[Risk Treatment Safeguard Impact to Obligations]])*tblRiskRegister32[[#This Row],[Risk Treatment
Safeguard Expectancy Score]],"")</f>
        <v/>
      </c>
      <c r="AG62" s="138" t="str">
        <f>IF(tblRiskRegister32[[#This Row],[Risk Score]]&gt;AcceptableRisk,IF(tblRiskRegister32[[#This Row],[Risk Treatment Safeguard Risk Score]]&lt;AcceptableRisk, IF(tblRiskRegister32[[#This Row],[Risk Treatment Safeguard Risk Score]]&lt;=tblRiskRegister32[[#This Row],[Risk Score]],"Yes","No"),"No"),"Yes")</f>
        <v>No</v>
      </c>
      <c r="AH62" s="18"/>
      <c r="AI62" s="18"/>
      <c r="AJ62" s="19"/>
    </row>
    <row r="63" spans="2:36" ht="25.5" x14ac:dyDescent="0.2">
      <c r="B63" s="15" t="s">
        <v>132</v>
      </c>
      <c r="C63" s="15"/>
      <c r="D63" s="100">
        <v>7.7</v>
      </c>
      <c r="E63" s="14" t="s">
        <v>231</v>
      </c>
      <c r="F63" s="17"/>
      <c r="G63" s="17" t="s">
        <v>785</v>
      </c>
      <c r="H63" s="17" t="s">
        <v>927</v>
      </c>
      <c r="I63" s="15"/>
      <c r="J63" s="15"/>
      <c r="K63" s="15"/>
      <c r="L63" s="16"/>
      <c r="M63" s="26">
        <f>IFERROR(VLOOKUP(tblRiskRegister32[[#This Row],[Asset Class]],tblVCDBIndex[],4,FALSE),"")</f>
        <v>2</v>
      </c>
      <c r="N63" s="26" t="str">
        <f>IFERROR(VLOOKUP(10*tblRiskRegister32[[#This Row],[Safeguard Maturity Score]]+tblRiskRegister32[[#This Row],[VCDB Index]],tblHITIndexWeightTable[],4,FALSE),"")</f>
        <v/>
      </c>
      <c r="O63" s="26" t="str">
        <f>VLOOKUP(tblRiskRegister32[[#This Row],[Asset Class]],tblInherentImpacts30[],2,FALSE)</f>
        <v/>
      </c>
      <c r="P63" s="26">
        <f>VLOOKUP(tblRiskRegister32[[#This Row],[Asset Class]],tblInherentImpacts30[],3,FALSE)</f>
        <v>0</v>
      </c>
      <c r="Q63" s="26">
        <f>VLOOKUP(tblRiskRegister32[[#This Row],[Asset Class]],tblInherentImpacts30[],4,FALSE)</f>
        <v>0</v>
      </c>
      <c r="R63" s="26">
        <f>VLOOKUP(tblRiskRegister32[[#This Row],[Asset Class]],tblInherentImpacts30[],5,FALSE)</f>
        <v>0</v>
      </c>
      <c r="S63" s="26" t="str">
        <f>IFERROR(MAX(tblRiskRegister32[[#This Row],[Impact to Mission]:[Impact to Obligations]])*tblRiskRegister32[[#This Row],[Expectancy Score]],"")</f>
        <v/>
      </c>
      <c r="T63" s="26" t="str">
        <f>tblRiskRegister32[[#This Row],[Risk Score]]</f>
        <v/>
      </c>
      <c r="U63" s="100"/>
      <c r="V63" s="100">
        <v>7.7</v>
      </c>
      <c r="W63" s="15" t="s">
        <v>231</v>
      </c>
      <c r="X63" s="15" t="s">
        <v>467</v>
      </c>
      <c r="Y63" s="15"/>
      <c r="Z63" s="16"/>
      <c r="AA63" s="27" t="str">
        <f>IFERROR(VLOOKUP(10*tblRiskRegister32[[#This Row],[Risk Treatment Safeguard Maturity Score]]+tblRiskRegister32[[#This Row],[VCDB Index]],tblHITIndexWeightTable[],4,FALSE),"")</f>
        <v/>
      </c>
      <c r="AB63" s="138" t="str">
        <f>VLOOKUP(tblRiskRegister32[[#This Row],[Asset Class]],tblInherentImpacts30[],2,FALSE)</f>
        <v/>
      </c>
      <c r="AC63" s="138">
        <f>VLOOKUP(tblRiskRegister32[[#This Row],[Asset Class]],tblInherentImpacts30[],3,FALSE)</f>
        <v>0</v>
      </c>
      <c r="AD63" s="138">
        <f>VLOOKUP(tblRiskRegister32[[#This Row],[Asset Class]],tblInherentImpacts30[],4,FALSE)</f>
        <v>0</v>
      </c>
      <c r="AE63" s="138">
        <f>VLOOKUP(tblRiskRegister32[[#This Row],[Asset Class]],tblInherentImpacts30[],5,FALSE)</f>
        <v>0</v>
      </c>
      <c r="AF63" s="138" t="str">
        <f>IFERROR(MAX(tblRiskRegister32[[#This Row],[Risk Treatment Safeguard Impact to Mission]:[Risk Treatment Safeguard Impact to Obligations]])*tblRiskRegister32[[#This Row],[Risk Treatment
Safeguard Expectancy Score]],"")</f>
        <v/>
      </c>
      <c r="AG63" s="138" t="str">
        <f>IF(tblRiskRegister32[[#This Row],[Risk Score]]&gt;AcceptableRisk,IF(tblRiskRegister32[[#This Row],[Risk Treatment Safeguard Risk Score]]&lt;AcceptableRisk, IF(tblRiskRegister32[[#This Row],[Risk Treatment Safeguard Risk Score]]&lt;=tblRiskRegister32[[#This Row],[Risk Score]],"Yes","No"),"No"),"Yes")</f>
        <v>No</v>
      </c>
      <c r="AH63" s="18"/>
      <c r="AI63" s="18"/>
      <c r="AJ63" s="19"/>
    </row>
    <row r="64" spans="2:36" ht="63.75" x14ac:dyDescent="0.2">
      <c r="B64" s="44" t="s">
        <v>133</v>
      </c>
      <c r="C64" s="44"/>
      <c r="D64" s="112">
        <v>8.1</v>
      </c>
      <c r="E64" s="14" t="s">
        <v>106</v>
      </c>
      <c r="F64" s="17" t="s">
        <v>785</v>
      </c>
      <c r="G64" s="17" t="s">
        <v>785</v>
      </c>
      <c r="H64" s="17" t="s">
        <v>928</v>
      </c>
      <c r="I64" s="15"/>
      <c r="J64" s="15"/>
      <c r="K64" s="15"/>
      <c r="L64" s="16"/>
      <c r="M64" s="26">
        <f>IFERROR(VLOOKUP(tblRiskRegister32[[#This Row],[Asset Class]],tblVCDBIndex[],4,FALSE),"")</f>
        <v>1</v>
      </c>
      <c r="N64" s="29" t="str">
        <f>IFERROR(VLOOKUP(10*tblRiskRegister32[[#This Row],[Safeguard Maturity Score]]+tblRiskRegister32[[#This Row],[VCDB Index]],tblHITIndexWeightTable[],4,FALSE),"")</f>
        <v/>
      </c>
      <c r="O64" s="29" t="str">
        <f>VLOOKUP(tblRiskRegister32[[#This Row],[Asset Class]],tblInherentImpacts30[],2,FALSE)</f>
        <v/>
      </c>
      <c r="P64" s="29">
        <f>VLOOKUP(tblRiskRegister32[[#This Row],[Asset Class]],tblInherentImpacts30[],3,FALSE)</f>
        <v>0</v>
      </c>
      <c r="Q64" s="29">
        <f>VLOOKUP(tblRiskRegister32[[#This Row],[Asset Class]],tblInherentImpacts30[],4,FALSE)</f>
        <v>0</v>
      </c>
      <c r="R64" s="29">
        <f>VLOOKUP(tblRiskRegister32[[#This Row],[Asset Class]],tblInherentImpacts30[],5,FALSE)</f>
        <v>0</v>
      </c>
      <c r="S64" s="29" t="str">
        <f>IFERROR(MAX(tblRiskRegister32[[#This Row],[Impact to Mission]:[Impact to Obligations]])*tblRiskRegister32[[#This Row],[Expectancy Score]],"")</f>
        <v/>
      </c>
      <c r="T64" s="29" t="str">
        <f>tblRiskRegister32[[#This Row],[Risk Score]]</f>
        <v/>
      </c>
      <c r="U64" s="100"/>
      <c r="V64" s="112">
        <v>8.1</v>
      </c>
      <c r="W64" s="44" t="s">
        <v>106</v>
      </c>
      <c r="X64" s="44" t="s">
        <v>468</v>
      </c>
      <c r="Y64" s="30"/>
      <c r="Z64" s="16"/>
      <c r="AA64" s="27" t="str">
        <f>IFERROR(VLOOKUP(10*tblRiskRegister32[[#This Row],[Risk Treatment Safeguard Maturity Score]]+tblRiskRegister32[[#This Row],[VCDB Index]],tblHITIndexWeightTable[],4,FALSE),"")</f>
        <v/>
      </c>
      <c r="AB64" s="138" t="str">
        <f>VLOOKUP(tblRiskRegister32[[#This Row],[Asset Class]],tblInherentImpacts30[],2,FALSE)</f>
        <v/>
      </c>
      <c r="AC64" s="138">
        <f>VLOOKUP(tblRiskRegister32[[#This Row],[Asset Class]],tblInherentImpacts30[],3,FALSE)</f>
        <v>0</v>
      </c>
      <c r="AD64" s="138">
        <f>VLOOKUP(tblRiskRegister32[[#This Row],[Asset Class]],tblInherentImpacts30[],4,FALSE)</f>
        <v>0</v>
      </c>
      <c r="AE64" s="138">
        <f>VLOOKUP(tblRiskRegister32[[#This Row],[Asset Class]],tblInherentImpacts30[],5,FALSE)</f>
        <v>0</v>
      </c>
      <c r="AF64" s="138" t="str">
        <f>IFERROR(MAX(tblRiskRegister32[[#This Row],[Risk Treatment Safeguard Impact to Mission]:[Risk Treatment Safeguard Impact to Obligations]])*tblRiskRegister32[[#This Row],[Risk Treatment
Safeguard Expectancy Score]],"")</f>
        <v/>
      </c>
      <c r="AG64" s="138" t="str">
        <f>IF(tblRiskRegister32[[#This Row],[Risk Score]]&gt;AcceptableRisk,IF(tblRiskRegister32[[#This Row],[Risk Treatment Safeguard Risk Score]]&lt;AcceptableRisk, IF(tblRiskRegister32[[#This Row],[Risk Treatment Safeguard Risk Score]]&lt;=tblRiskRegister32[[#This Row],[Risk Score]],"Yes","No"),"No"),"Yes")</f>
        <v>No</v>
      </c>
      <c r="AH64" s="18"/>
      <c r="AI64" s="18"/>
      <c r="AJ64" s="19"/>
    </row>
    <row r="65" spans="2:36" ht="38.25" x14ac:dyDescent="0.2">
      <c r="B65" s="44" t="s">
        <v>133</v>
      </c>
      <c r="C65" s="44"/>
      <c r="D65" s="112">
        <v>8.11</v>
      </c>
      <c r="E65" s="14" t="s">
        <v>280</v>
      </c>
      <c r="F65" s="17"/>
      <c r="G65" s="17" t="s">
        <v>785</v>
      </c>
      <c r="H65" s="17" t="s">
        <v>929</v>
      </c>
      <c r="I65" s="15"/>
      <c r="J65" s="15"/>
      <c r="K65" s="15"/>
      <c r="L65" s="16"/>
      <c r="M65" s="26">
        <f>IFERROR(VLOOKUP(tblRiskRegister32[[#This Row],[Asset Class]],tblVCDBIndex[],4,FALSE),"")</f>
        <v>1</v>
      </c>
      <c r="N65" s="29" t="str">
        <f>IFERROR(VLOOKUP(10*tblRiskRegister32[[#This Row],[Safeguard Maturity Score]]+tblRiskRegister32[[#This Row],[VCDB Index]],tblHITIndexWeightTable[],4,FALSE),"")</f>
        <v/>
      </c>
      <c r="O65" s="29" t="str">
        <f>VLOOKUP(tblRiskRegister32[[#This Row],[Asset Class]],tblInherentImpacts30[],2,FALSE)</f>
        <v/>
      </c>
      <c r="P65" s="29">
        <f>VLOOKUP(tblRiskRegister32[[#This Row],[Asset Class]],tblInherentImpacts30[],3,FALSE)</f>
        <v>0</v>
      </c>
      <c r="Q65" s="29">
        <f>VLOOKUP(tblRiskRegister32[[#This Row],[Asset Class]],tblInherentImpacts30[],4,FALSE)</f>
        <v>0</v>
      </c>
      <c r="R65" s="29">
        <f>VLOOKUP(tblRiskRegister32[[#This Row],[Asset Class]],tblInherentImpacts30[],5,FALSE)</f>
        <v>0</v>
      </c>
      <c r="S65" s="29" t="str">
        <f>IFERROR(MAX(tblRiskRegister32[[#This Row],[Impact to Mission]:[Impact to Obligations]])*tblRiskRegister32[[#This Row],[Expectancy Score]],"")</f>
        <v/>
      </c>
      <c r="T65" s="29" t="str">
        <f>tblRiskRegister32[[#This Row],[Risk Score]]</f>
        <v/>
      </c>
      <c r="U65" s="100"/>
      <c r="V65" s="112">
        <v>8.11</v>
      </c>
      <c r="W65" s="44" t="s">
        <v>280</v>
      </c>
      <c r="X65" s="44" t="s">
        <v>478</v>
      </c>
      <c r="Y65" s="30"/>
      <c r="Z65" s="16"/>
      <c r="AA65" s="27" t="str">
        <f>IFERROR(VLOOKUP(10*tblRiskRegister32[[#This Row],[Risk Treatment Safeguard Maturity Score]]+tblRiskRegister32[[#This Row],[VCDB Index]],tblHITIndexWeightTable[],4,FALSE),"")</f>
        <v/>
      </c>
      <c r="AB65" s="138" t="str">
        <f>VLOOKUP(tblRiskRegister32[[#This Row],[Asset Class]],tblInherentImpacts30[],2,FALSE)</f>
        <v/>
      </c>
      <c r="AC65" s="138">
        <f>VLOOKUP(tblRiskRegister32[[#This Row],[Asset Class]],tblInherentImpacts30[],3,FALSE)</f>
        <v>0</v>
      </c>
      <c r="AD65" s="138">
        <f>VLOOKUP(tblRiskRegister32[[#This Row],[Asset Class]],tblInherentImpacts30[],4,FALSE)</f>
        <v>0</v>
      </c>
      <c r="AE65" s="138">
        <f>VLOOKUP(tblRiskRegister32[[#This Row],[Asset Class]],tblInherentImpacts30[],5,FALSE)</f>
        <v>0</v>
      </c>
      <c r="AF65" s="138" t="str">
        <f>IFERROR(MAX(tblRiskRegister32[[#This Row],[Risk Treatment Safeguard Impact to Mission]:[Risk Treatment Safeguard Impact to Obligations]])*tblRiskRegister32[[#This Row],[Risk Treatment
Safeguard Expectancy Score]],"")</f>
        <v/>
      </c>
      <c r="AG65" s="138" t="str">
        <f>IF(tblRiskRegister32[[#This Row],[Risk Score]]&gt;AcceptableRisk,IF(tblRiskRegister32[[#This Row],[Risk Treatment Safeguard Risk Score]]&lt;AcceptableRisk, IF(tblRiskRegister32[[#This Row],[Risk Treatment Safeguard Risk Score]]&lt;=tblRiskRegister32[[#This Row],[Risk Score]],"Yes","No"),"No"),"Yes")</f>
        <v>No</v>
      </c>
      <c r="AH65" s="18"/>
      <c r="AI65" s="18"/>
      <c r="AJ65" s="19"/>
    </row>
    <row r="66" spans="2:36" ht="25.5" x14ac:dyDescent="0.2">
      <c r="B66" s="44" t="s">
        <v>133</v>
      </c>
      <c r="C66" s="44"/>
      <c r="D66" s="112">
        <v>8.1999999999999993</v>
      </c>
      <c r="E66" s="14" t="s">
        <v>107</v>
      </c>
      <c r="F66" s="17" t="s">
        <v>785</v>
      </c>
      <c r="G66" s="17" t="s">
        <v>785</v>
      </c>
      <c r="H66" s="17" t="s">
        <v>928</v>
      </c>
      <c r="I66" s="15"/>
      <c r="J66" s="15"/>
      <c r="K66" s="15"/>
      <c r="L66" s="16"/>
      <c r="M66" s="26">
        <f>IFERROR(VLOOKUP(tblRiskRegister32[[#This Row],[Asset Class]],tblVCDBIndex[],4,FALSE),"")</f>
        <v>1</v>
      </c>
      <c r="N66" s="29" t="str">
        <f>IFERROR(VLOOKUP(10*tblRiskRegister32[[#This Row],[Safeguard Maturity Score]]+tblRiskRegister32[[#This Row],[VCDB Index]],tblHITIndexWeightTable[],4,FALSE),"")</f>
        <v/>
      </c>
      <c r="O66" s="29" t="str">
        <f>VLOOKUP(tblRiskRegister32[[#This Row],[Asset Class]],tblInherentImpacts30[],2,FALSE)</f>
        <v/>
      </c>
      <c r="P66" s="29">
        <f>VLOOKUP(tblRiskRegister32[[#This Row],[Asset Class]],tblInherentImpacts30[],3,FALSE)</f>
        <v>0</v>
      </c>
      <c r="Q66" s="29">
        <f>VLOOKUP(tblRiskRegister32[[#This Row],[Asset Class]],tblInherentImpacts30[],4,FALSE)</f>
        <v>0</v>
      </c>
      <c r="R66" s="29">
        <f>VLOOKUP(tblRiskRegister32[[#This Row],[Asset Class]],tblInherentImpacts30[],5,FALSE)</f>
        <v>0</v>
      </c>
      <c r="S66" s="29" t="str">
        <f>IFERROR(MAX(tblRiskRegister32[[#This Row],[Impact to Mission]:[Impact to Obligations]])*tblRiskRegister32[[#This Row],[Expectancy Score]],"")</f>
        <v/>
      </c>
      <c r="T66" s="29" t="str">
        <f>tblRiskRegister32[[#This Row],[Risk Score]]</f>
        <v/>
      </c>
      <c r="U66" s="100"/>
      <c r="V66" s="112">
        <v>8.1999999999999993</v>
      </c>
      <c r="W66" s="44" t="s">
        <v>107</v>
      </c>
      <c r="X66" s="44" t="s">
        <v>469</v>
      </c>
      <c r="Y66" s="30"/>
      <c r="Z66" s="16"/>
      <c r="AA66" s="27" t="str">
        <f>IFERROR(VLOOKUP(10*tblRiskRegister32[[#This Row],[Risk Treatment Safeguard Maturity Score]]+tblRiskRegister32[[#This Row],[VCDB Index]],tblHITIndexWeightTable[],4,FALSE),"")</f>
        <v/>
      </c>
      <c r="AB66" s="138" t="str">
        <f>VLOOKUP(tblRiskRegister32[[#This Row],[Asset Class]],tblInherentImpacts30[],2,FALSE)</f>
        <v/>
      </c>
      <c r="AC66" s="138">
        <f>VLOOKUP(tblRiskRegister32[[#This Row],[Asset Class]],tblInherentImpacts30[],3,FALSE)</f>
        <v>0</v>
      </c>
      <c r="AD66" s="138">
        <f>VLOOKUP(tblRiskRegister32[[#This Row],[Asset Class]],tblInherentImpacts30[],4,FALSE)</f>
        <v>0</v>
      </c>
      <c r="AE66" s="138">
        <f>VLOOKUP(tblRiskRegister32[[#This Row],[Asset Class]],tblInherentImpacts30[],5,FALSE)</f>
        <v>0</v>
      </c>
      <c r="AF66" s="138" t="str">
        <f>IFERROR(MAX(tblRiskRegister32[[#This Row],[Risk Treatment Safeguard Impact to Mission]:[Risk Treatment Safeguard Impact to Obligations]])*tblRiskRegister32[[#This Row],[Risk Treatment
Safeguard Expectancy Score]],"")</f>
        <v/>
      </c>
      <c r="AG66" s="138" t="str">
        <f>IF(tblRiskRegister32[[#This Row],[Risk Score]]&gt;AcceptableRisk,IF(tblRiskRegister32[[#This Row],[Risk Treatment Safeguard Risk Score]]&lt;AcceptableRisk, IF(tblRiskRegister32[[#This Row],[Risk Treatment Safeguard Risk Score]]&lt;=tblRiskRegister32[[#This Row],[Risk Score]],"Yes","No"),"No"),"Yes")</f>
        <v>No</v>
      </c>
      <c r="AH66" s="18"/>
      <c r="AI66" s="18"/>
      <c r="AJ66" s="19"/>
    </row>
    <row r="67" spans="2:36" ht="25.5" x14ac:dyDescent="0.2">
      <c r="B67" s="44" t="s">
        <v>133</v>
      </c>
      <c r="C67" s="44"/>
      <c r="D67" s="112">
        <v>8.3000000000000007</v>
      </c>
      <c r="E67" s="14" t="s">
        <v>108</v>
      </c>
      <c r="F67" s="17" t="s">
        <v>785</v>
      </c>
      <c r="G67" s="17" t="s">
        <v>785</v>
      </c>
      <c r="H67" s="17" t="s">
        <v>928</v>
      </c>
      <c r="I67" s="15"/>
      <c r="J67" s="15"/>
      <c r="K67" s="15"/>
      <c r="L67" s="16"/>
      <c r="M67" s="26">
        <f>IFERROR(VLOOKUP(tblRiskRegister32[[#This Row],[Asset Class]],tblVCDBIndex[],4,FALSE),"")</f>
        <v>1</v>
      </c>
      <c r="N67" s="29" t="str">
        <f>IFERROR(VLOOKUP(10*tblRiskRegister32[[#This Row],[Safeguard Maturity Score]]+tblRiskRegister32[[#This Row],[VCDB Index]],tblHITIndexWeightTable[],4,FALSE),"")</f>
        <v/>
      </c>
      <c r="O67" s="29" t="str">
        <f>VLOOKUP(tblRiskRegister32[[#This Row],[Asset Class]],tblInherentImpacts30[],2,FALSE)</f>
        <v/>
      </c>
      <c r="P67" s="29">
        <f>VLOOKUP(tblRiskRegister32[[#This Row],[Asset Class]],tblInherentImpacts30[],3,FALSE)</f>
        <v>0</v>
      </c>
      <c r="Q67" s="29">
        <f>VLOOKUP(tblRiskRegister32[[#This Row],[Asset Class]],tblInherentImpacts30[],4,FALSE)</f>
        <v>0</v>
      </c>
      <c r="R67" s="29">
        <f>VLOOKUP(tblRiskRegister32[[#This Row],[Asset Class]],tblInherentImpacts30[],5,FALSE)</f>
        <v>0</v>
      </c>
      <c r="S67" s="29" t="str">
        <f>IFERROR(MAX(tblRiskRegister32[[#This Row],[Impact to Mission]:[Impact to Obligations]])*tblRiskRegister32[[#This Row],[Expectancy Score]],"")</f>
        <v/>
      </c>
      <c r="T67" s="29" t="str">
        <f>tblRiskRegister32[[#This Row],[Risk Score]]</f>
        <v/>
      </c>
      <c r="U67" s="100"/>
      <c r="V67" s="112">
        <v>8.3000000000000007</v>
      </c>
      <c r="W67" s="44" t="s">
        <v>108</v>
      </c>
      <c r="X67" s="44" t="s">
        <v>470</v>
      </c>
      <c r="Y67" s="30"/>
      <c r="Z67" s="16"/>
      <c r="AA67" s="27" t="str">
        <f>IFERROR(VLOOKUP(10*tblRiskRegister32[[#This Row],[Risk Treatment Safeguard Maturity Score]]+tblRiskRegister32[[#This Row],[VCDB Index]],tblHITIndexWeightTable[],4,FALSE),"")</f>
        <v/>
      </c>
      <c r="AB67" s="138" t="str">
        <f>VLOOKUP(tblRiskRegister32[[#This Row],[Asset Class]],tblInherentImpacts30[],2,FALSE)</f>
        <v/>
      </c>
      <c r="AC67" s="138">
        <f>VLOOKUP(tblRiskRegister32[[#This Row],[Asset Class]],tblInherentImpacts30[],3,FALSE)</f>
        <v>0</v>
      </c>
      <c r="AD67" s="138">
        <f>VLOOKUP(tblRiskRegister32[[#This Row],[Asset Class]],tblInherentImpacts30[],4,FALSE)</f>
        <v>0</v>
      </c>
      <c r="AE67" s="138">
        <f>VLOOKUP(tblRiskRegister32[[#This Row],[Asset Class]],tblInherentImpacts30[],5,FALSE)</f>
        <v>0</v>
      </c>
      <c r="AF67" s="138" t="str">
        <f>IFERROR(MAX(tblRiskRegister32[[#This Row],[Risk Treatment Safeguard Impact to Mission]:[Risk Treatment Safeguard Impact to Obligations]])*tblRiskRegister32[[#This Row],[Risk Treatment
Safeguard Expectancy Score]],"")</f>
        <v/>
      </c>
      <c r="AG67" s="138" t="str">
        <f>IF(tblRiskRegister32[[#This Row],[Risk Score]]&gt;AcceptableRisk,IF(tblRiskRegister32[[#This Row],[Risk Treatment Safeguard Risk Score]]&lt;AcceptableRisk, IF(tblRiskRegister32[[#This Row],[Risk Treatment Safeguard Risk Score]]&lt;=tblRiskRegister32[[#This Row],[Risk Score]],"Yes","No"),"No"),"Yes")</f>
        <v>No</v>
      </c>
      <c r="AH67" s="18"/>
      <c r="AI67" s="18"/>
      <c r="AJ67" s="19"/>
    </row>
    <row r="68" spans="2:36" ht="25.5" x14ac:dyDescent="0.2">
      <c r="B68" s="44" t="s">
        <v>133</v>
      </c>
      <c r="C68" s="44"/>
      <c r="D68" s="112">
        <v>8.4</v>
      </c>
      <c r="E68" s="14" t="s">
        <v>274</v>
      </c>
      <c r="F68" s="17"/>
      <c r="G68" s="17" t="s">
        <v>785</v>
      </c>
      <c r="H68" s="17" t="s">
        <v>929</v>
      </c>
      <c r="I68" s="15"/>
      <c r="J68" s="15"/>
      <c r="K68" s="15"/>
      <c r="L68" s="16"/>
      <c r="M68" s="26">
        <f>IFERROR(VLOOKUP(tblRiskRegister32[[#This Row],[Asset Class]],tblVCDBIndex[],4,FALSE),"")</f>
        <v>1</v>
      </c>
      <c r="N68" s="29" t="str">
        <f>IFERROR(VLOOKUP(10*tblRiskRegister32[[#This Row],[Safeguard Maturity Score]]+tblRiskRegister32[[#This Row],[VCDB Index]],tblHITIndexWeightTable[],4,FALSE),"")</f>
        <v/>
      </c>
      <c r="O68" s="29" t="str">
        <f>VLOOKUP(tblRiskRegister32[[#This Row],[Asset Class]],tblInherentImpacts30[],2,FALSE)</f>
        <v/>
      </c>
      <c r="P68" s="29">
        <f>VLOOKUP(tblRiskRegister32[[#This Row],[Asset Class]],tblInherentImpacts30[],3,FALSE)</f>
        <v>0</v>
      </c>
      <c r="Q68" s="29">
        <f>VLOOKUP(tblRiskRegister32[[#This Row],[Asset Class]],tblInherentImpacts30[],4,FALSE)</f>
        <v>0</v>
      </c>
      <c r="R68" s="29">
        <f>VLOOKUP(tblRiskRegister32[[#This Row],[Asset Class]],tblInherentImpacts30[],5,FALSE)</f>
        <v>0</v>
      </c>
      <c r="S68" s="29" t="str">
        <f>IFERROR(MAX(tblRiskRegister32[[#This Row],[Impact to Mission]:[Impact to Obligations]])*tblRiskRegister32[[#This Row],[Expectancy Score]],"")</f>
        <v/>
      </c>
      <c r="T68" s="29" t="str">
        <f>tblRiskRegister32[[#This Row],[Risk Score]]</f>
        <v/>
      </c>
      <c r="U68" s="100"/>
      <c r="V68" s="112">
        <v>8.4</v>
      </c>
      <c r="W68" s="44" t="s">
        <v>274</v>
      </c>
      <c r="X68" s="44" t="s">
        <v>471</v>
      </c>
      <c r="Y68" s="30"/>
      <c r="Z68" s="16"/>
      <c r="AA68" s="27" t="str">
        <f>IFERROR(VLOOKUP(10*tblRiskRegister32[[#This Row],[Risk Treatment Safeguard Maturity Score]]+tblRiskRegister32[[#This Row],[VCDB Index]],tblHITIndexWeightTable[],4,FALSE),"")</f>
        <v/>
      </c>
      <c r="AB68" s="138" t="str">
        <f>VLOOKUP(tblRiskRegister32[[#This Row],[Asset Class]],tblInherentImpacts30[],2,FALSE)</f>
        <v/>
      </c>
      <c r="AC68" s="138">
        <f>VLOOKUP(tblRiskRegister32[[#This Row],[Asset Class]],tblInherentImpacts30[],3,FALSE)</f>
        <v>0</v>
      </c>
      <c r="AD68" s="138">
        <f>VLOOKUP(tblRiskRegister32[[#This Row],[Asset Class]],tblInherentImpacts30[],4,FALSE)</f>
        <v>0</v>
      </c>
      <c r="AE68" s="138">
        <f>VLOOKUP(tblRiskRegister32[[#This Row],[Asset Class]],tblInherentImpacts30[],5,FALSE)</f>
        <v>0</v>
      </c>
      <c r="AF68" s="138" t="str">
        <f>IFERROR(MAX(tblRiskRegister32[[#This Row],[Risk Treatment Safeguard Impact to Mission]:[Risk Treatment Safeguard Impact to Obligations]])*tblRiskRegister32[[#This Row],[Risk Treatment
Safeguard Expectancy Score]],"")</f>
        <v/>
      </c>
      <c r="AG68" s="138" t="str">
        <f>IF(tblRiskRegister32[[#This Row],[Risk Score]]&gt;AcceptableRisk,IF(tblRiskRegister32[[#This Row],[Risk Treatment Safeguard Risk Score]]&lt;AcceptableRisk, IF(tblRiskRegister32[[#This Row],[Risk Treatment Safeguard Risk Score]]&lt;=tblRiskRegister32[[#This Row],[Risk Score]],"Yes","No"),"No"),"Yes")</f>
        <v>No</v>
      </c>
      <c r="AH68" s="18"/>
      <c r="AI68" s="18"/>
      <c r="AJ68" s="19"/>
    </row>
    <row r="69" spans="2:36" ht="51" x14ac:dyDescent="0.2">
      <c r="B69" s="44" t="s">
        <v>133</v>
      </c>
      <c r="C69" s="44"/>
      <c r="D69" s="112">
        <v>8.5</v>
      </c>
      <c r="E69" s="14" t="s">
        <v>275</v>
      </c>
      <c r="F69" s="17"/>
      <c r="G69" s="17" t="s">
        <v>785</v>
      </c>
      <c r="H69" s="17" t="s">
        <v>929</v>
      </c>
      <c r="I69" s="15"/>
      <c r="J69" s="15"/>
      <c r="K69" s="15"/>
      <c r="L69" s="16"/>
      <c r="M69" s="26">
        <f>IFERROR(VLOOKUP(tblRiskRegister32[[#This Row],[Asset Class]],tblVCDBIndex[],4,FALSE),"")</f>
        <v>1</v>
      </c>
      <c r="N69" s="29" t="str">
        <f>IFERROR(VLOOKUP(10*tblRiskRegister32[[#This Row],[Safeguard Maturity Score]]+tblRiskRegister32[[#This Row],[VCDB Index]],tblHITIndexWeightTable[],4,FALSE),"")</f>
        <v/>
      </c>
      <c r="O69" s="29" t="str">
        <f>VLOOKUP(tblRiskRegister32[[#This Row],[Asset Class]],tblInherentImpacts30[],2,FALSE)</f>
        <v/>
      </c>
      <c r="P69" s="29">
        <f>VLOOKUP(tblRiskRegister32[[#This Row],[Asset Class]],tblInherentImpacts30[],3,FALSE)</f>
        <v>0</v>
      </c>
      <c r="Q69" s="29">
        <f>VLOOKUP(tblRiskRegister32[[#This Row],[Asset Class]],tblInherentImpacts30[],4,FALSE)</f>
        <v>0</v>
      </c>
      <c r="R69" s="29">
        <f>VLOOKUP(tblRiskRegister32[[#This Row],[Asset Class]],tblInherentImpacts30[],5,FALSE)</f>
        <v>0</v>
      </c>
      <c r="S69" s="29" t="str">
        <f>IFERROR(MAX(tblRiskRegister32[[#This Row],[Impact to Mission]:[Impact to Obligations]])*tblRiskRegister32[[#This Row],[Expectancy Score]],"")</f>
        <v/>
      </c>
      <c r="T69" s="29" t="str">
        <f>tblRiskRegister32[[#This Row],[Risk Score]]</f>
        <v/>
      </c>
      <c r="U69" s="100"/>
      <c r="V69" s="112">
        <v>8.5</v>
      </c>
      <c r="W69" s="44" t="s">
        <v>275</v>
      </c>
      <c r="X69" s="44" t="s">
        <v>472</v>
      </c>
      <c r="Y69" s="30"/>
      <c r="Z69" s="16"/>
      <c r="AA69" s="27" t="str">
        <f>IFERROR(VLOOKUP(10*tblRiskRegister32[[#This Row],[Risk Treatment Safeguard Maturity Score]]+tblRiskRegister32[[#This Row],[VCDB Index]],tblHITIndexWeightTable[],4,FALSE),"")</f>
        <v/>
      </c>
      <c r="AB69" s="138" t="str">
        <f>VLOOKUP(tblRiskRegister32[[#This Row],[Asset Class]],tblInherentImpacts30[],2,FALSE)</f>
        <v/>
      </c>
      <c r="AC69" s="138">
        <f>VLOOKUP(tblRiskRegister32[[#This Row],[Asset Class]],tblInherentImpacts30[],3,FALSE)</f>
        <v>0</v>
      </c>
      <c r="AD69" s="138">
        <f>VLOOKUP(tblRiskRegister32[[#This Row],[Asset Class]],tblInherentImpacts30[],4,FALSE)</f>
        <v>0</v>
      </c>
      <c r="AE69" s="138">
        <f>VLOOKUP(tblRiskRegister32[[#This Row],[Asset Class]],tblInherentImpacts30[],5,FALSE)</f>
        <v>0</v>
      </c>
      <c r="AF69" s="138" t="str">
        <f>IFERROR(MAX(tblRiskRegister32[[#This Row],[Risk Treatment Safeguard Impact to Mission]:[Risk Treatment Safeguard Impact to Obligations]])*tblRiskRegister32[[#This Row],[Risk Treatment
Safeguard Expectancy Score]],"")</f>
        <v/>
      </c>
      <c r="AG69" s="138" t="str">
        <f>IF(tblRiskRegister32[[#This Row],[Risk Score]]&gt;AcceptableRisk,IF(tblRiskRegister32[[#This Row],[Risk Treatment Safeguard Risk Score]]&lt;AcceptableRisk, IF(tblRiskRegister32[[#This Row],[Risk Treatment Safeguard Risk Score]]&lt;=tblRiskRegister32[[#This Row],[Risk Score]],"Yes","No"),"No"),"Yes")</f>
        <v>No</v>
      </c>
      <c r="AH69" s="18"/>
      <c r="AI69" s="18"/>
      <c r="AJ69" s="19"/>
    </row>
    <row r="70" spans="2:36" ht="25.5" x14ac:dyDescent="0.2">
      <c r="B70" s="44" t="s">
        <v>133</v>
      </c>
      <c r="C70" s="44"/>
      <c r="D70" s="112">
        <v>8.6</v>
      </c>
      <c r="E70" s="14" t="s">
        <v>276</v>
      </c>
      <c r="F70" s="17"/>
      <c r="G70" s="17" t="s">
        <v>785</v>
      </c>
      <c r="H70" s="17" t="s">
        <v>929</v>
      </c>
      <c r="I70" s="15"/>
      <c r="J70" s="15"/>
      <c r="K70" s="15"/>
      <c r="L70" s="16"/>
      <c r="M70" s="26">
        <f>IFERROR(VLOOKUP(tblRiskRegister32[[#This Row],[Asset Class]],tblVCDBIndex[],4,FALSE),"")</f>
        <v>1</v>
      </c>
      <c r="N70" s="29" t="str">
        <f>IFERROR(VLOOKUP(10*tblRiskRegister32[[#This Row],[Safeguard Maturity Score]]+tblRiskRegister32[[#This Row],[VCDB Index]],tblHITIndexWeightTable[],4,FALSE),"")</f>
        <v/>
      </c>
      <c r="O70" s="29" t="str">
        <f>VLOOKUP(tblRiskRegister32[[#This Row],[Asset Class]],tblInherentImpacts30[],2,FALSE)</f>
        <v/>
      </c>
      <c r="P70" s="29">
        <f>VLOOKUP(tblRiskRegister32[[#This Row],[Asset Class]],tblInherentImpacts30[],3,FALSE)</f>
        <v>0</v>
      </c>
      <c r="Q70" s="29">
        <f>VLOOKUP(tblRiskRegister32[[#This Row],[Asset Class]],tblInherentImpacts30[],4,FALSE)</f>
        <v>0</v>
      </c>
      <c r="R70" s="29">
        <f>VLOOKUP(tblRiskRegister32[[#This Row],[Asset Class]],tblInherentImpacts30[],5,FALSE)</f>
        <v>0</v>
      </c>
      <c r="S70" s="29" t="str">
        <f>IFERROR(MAX(tblRiskRegister32[[#This Row],[Impact to Mission]:[Impact to Obligations]])*tblRiskRegister32[[#This Row],[Expectancy Score]],"")</f>
        <v/>
      </c>
      <c r="T70" s="29" t="str">
        <f>tblRiskRegister32[[#This Row],[Risk Score]]</f>
        <v/>
      </c>
      <c r="U70" s="100"/>
      <c r="V70" s="112">
        <v>8.6</v>
      </c>
      <c r="W70" s="44" t="s">
        <v>276</v>
      </c>
      <c r="X70" s="44" t="s">
        <v>473</v>
      </c>
      <c r="Y70" s="30"/>
      <c r="Z70" s="16"/>
      <c r="AA70" s="27" t="str">
        <f>IFERROR(VLOOKUP(10*tblRiskRegister32[[#This Row],[Risk Treatment Safeguard Maturity Score]]+tblRiskRegister32[[#This Row],[VCDB Index]],tblHITIndexWeightTable[],4,FALSE),"")</f>
        <v/>
      </c>
      <c r="AB70" s="138" t="str">
        <f>VLOOKUP(tblRiskRegister32[[#This Row],[Asset Class]],tblInherentImpacts30[],2,FALSE)</f>
        <v/>
      </c>
      <c r="AC70" s="138">
        <f>VLOOKUP(tblRiskRegister32[[#This Row],[Asset Class]],tblInherentImpacts30[],3,FALSE)</f>
        <v>0</v>
      </c>
      <c r="AD70" s="138">
        <f>VLOOKUP(tblRiskRegister32[[#This Row],[Asset Class]],tblInherentImpacts30[],4,FALSE)</f>
        <v>0</v>
      </c>
      <c r="AE70" s="138">
        <f>VLOOKUP(tblRiskRegister32[[#This Row],[Asset Class]],tblInherentImpacts30[],5,FALSE)</f>
        <v>0</v>
      </c>
      <c r="AF70" s="138" t="str">
        <f>IFERROR(MAX(tblRiskRegister32[[#This Row],[Risk Treatment Safeguard Impact to Mission]:[Risk Treatment Safeguard Impact to Obligations]])*tblRiskRegister32[[#This Row],[Risk Treatment
Safeguard Expectancy Score]],"")</f>
        <v/>
      </c>
      <c r="AG70" s="138" t="str">
        <f>IF(tblRiskRegister32[[#This Row],[Risk Score]]&gt;AcceptableRisk,IF(tblRiskRegister32[[#This Row],[Risk Treatment Safeguard Risk Score]]&lt;AcceptableRisk, IF(tblRiskRegister32[[#This Row],[Risk Treatment Safeguard Risk Score]]&lt;=tblRiskRegister32[[#This Row],[Risk Score]],"Yes","No"),"No"),"Yes")</f>
        <v>No</v>
      </c>
      <c r="AH70" s="18"/>
      <c r="AI70" s="18"/>
      <c r="AJ70" s="19"/>
    </row>
    <row r="71" spans="2:36" ht="25.5" x14ac:dyDescent="0.2">
      <c r="B71" s="44" t="s">
        <v>133</v>
      </c>
      <c r="C71" s="44"/>
      <c r="D71" s="112">
        <v>8.6999999999999993</v>
      </c>
      <c r="E71" s="14" t="s">
        <v>277</v>
      </c>
      <c r="F71" s="17"/>
      <c r="G71" s="17" t="s">
        <v>785</v>
      </c>
      <c r="H71" s="17" t="s">
        <v>929</v>
      </c>
      <c r="I71" s="15"/>
      <c r="J71" s="15"/>
      <c r="K71" s="15"/>
      <c r="L71" s="16"/>
      <c r="M71" s="26">
        <f>IFERROR(VLOOKUP(tblRiskRegister32[[#This Row],[Asset Class]],tblVCDBIndex[],4,FALSE),"")</f>
        <v>1</v>
      </c>
      <c r="N71" s="29" t="str">
        <f>IFERROR(VLOOKUP(10*tblRiskRegister32[[#This Row],[Safeguard Maturity Score]]+tblRiskRegister32[[#This Row],[VCDB Index]],tblHITIndexWeightTable[],4,FALSE),"")</f>
        <v/>
      </c>
      <c r="O71" s="29" t="str">
        <f>VLOOKUP(tblRiskRegister32[[#This Row],[Asset Class]],tblInherentImpacts30[],2,FALSE)</f>
        <v/>
      </c>
      <c r="P71" s="29">
        <f>VLOOKUP(tblRiskRegister32[[#This Row],[Asset Class]],tblInherentImpacts30[],3,FALSE)</f>
        <v>0</v>
      </c>
      <c r="Q71" s="29">
        <f>VLOOKUP(tblRiskRegister32[[#This Row],[Asset Class]],tblInherentImpacts30[],4,FALSE)</f>
        <v>0</v>
      </c>
      <c r="R71" s="29">
        <f>VLOOKUP(tblRiskRegister32[[#This Row],[Asset Class]],tblInherentImpacts30[],5,FALSE)</f>
        <v>0</v>
      </c>
      <c r="S71" s="29" t="str">
        <f>IFERROR(MAX(tblRiskRegister32[[#This Row],[Impact to Mission]:[Impact to Obligations]])*tblRiskRegister32[[#This Row],[Expectancy Score]],"")</f>
        <v/>
      </c>
      <c r="T71" s="29" t="str">
        <f>tblRiskRegister32[[#This Row],[Risk Score]]</f>
        <v/>
      </c>
      <c r="U71" s="100"/>
      <c r="V71" s="112">
        <v>8.6999999999999993</v>
      </c>
      <c r="W71" s="44" t="s">
        <v>277</v>
      </c>
      <c r="X71" s="44" t="s">
        <v>474</v>
      </c>
      <c r="Y71" s="30"/>
      <c r="Z71" s="16"/>
      <c r="AA71" s="27" t="str">
        <f>IFERROR(VLOOKUP(10*tblRiskRegister32[[#This Row],[Risk Treatment Safeguard Maturity Score]]+tblRiskRegister32[[#This Row],[VCDB Index]],tblHITIndexWeightTable[],4,FALSE),"")</f>
        <v/>
      </c>
      <c r="AB71" s="138" t="str">
        <f>VLOOKUP(tblRiskRegister32[[#This Row],[Asset Class]],tblInherentImpacts30[],2,FALSE)</f>
        <v/>
      </c>
      <c r="AC71" s="138">
        <f>VLOOKUP(tblRiskRegister32[[#This Row],[Asset Class]],tblInherentImpacts30[],3,FALSE)</f>
        <v>0</v>
      </c>
      <c r="AD71" s="138">
        <f>VLOOKUP(tblRiskRegister32[[#This Row],[Asset Class]],tblInherentImpacts30[],4,FALSE)</f>
        <v>0</v>
      </c>
      <c r="AE71" s="138">
        <f>VLOOKUP(tblRiskRegister32[[#This Row],[Asset Class]],tblInherentImpacts30[],5,FALSE)</f>
        <v>0</v>
      </c>
      <c r="AF71" s="138" t="str">
        <f>IFERROR(MAX(tblRiskRegister32[[#This Row],[Risk Treatment Safeguard Impact to Mission]:[Risk Treatment Safeguard Impact to Obligations]])*tblRiskRegister32[[#This Row],[Risk Treatment
Safeguard Expectancy Score]],"")</f>
        <v/>
      </c>
      <c r="AG71" s="138" t="str">
        <f>IF(tblRiskRegister32[[#This Row],[Risk Score]]&gt;AcceptableRisk,IF(tblRiskRegister32[[#This Row],[Risk Treatment Safeguard Risk Score]]&lt;AcceptableRisk, IF(tblRiskRegister32[[#This Row],[Risk Treatment Safeguard Risk Score]]&lt;=tblRiskRegister32[[#This Row],[Risk Score]],"Yes","No"),"No"),"Yes")</f>
        <v>No</v>
      </c>
      <c r="AH71" s="18"/>
      <c r="AI71" s="18"/>
      <c r="AJ71" s="19"/>
    </row>
    <row r="72" spans="2:36" ht="25.5" x14ac:dyDescent="0.2">
      <c r="B72" s="44" t="s">
        <v>131</v>
      </c>
      <c r="C72" s="44"/>
      <c r="D72" s="112">
        <v>8.8000000000000007</v>
      </c>
      <c r="E72" s="14" t="s">
        <v>255</v>
      </c>
      <c r="F72" s="17"/>
      <c r="G72" s="17" t="s">
        <v>785</v>
      </c>
      <c r="H72" s="17" t="s">
        <v>929</v>
      </c>
      <c r="I72" s="15"/>
      <c r="J72" s="15"/>
      <c r="K72" s="15"/>
      <c r="L72" s="16"/>
      <c r="M72" s="26">
        <f>IFERROR(VLOOKUP(tblRiskRegister32[[#This Row],[Asset Class]],tblVCDBIndex[],4,FALSE),"")</f>
        <v>1</v>
      </c>
      <c r="N72" s="29" t="str">
        <f>IFERROR(VLOOKUP(10*tblRiskRegister32[[#This Row],[Safeguard Maturity Score]]+tblRiskRegister32[[#This Row],[VCDB Index]],tblHITIndexWeightTable[],4,FALSE),"")</f>
        <v/>
      </c>
      <c r="O72" s="29" t="str">
        <f>VLOOKUP(tblRiskRegister32[[#This Row],[Asset Class]],tblInherentImpacts30[],2,FALSE)</f>
        <v/>
      </c>
      <c r="P72" s="29">
        <f>VLOOKUP(tblRiskRegister32[[#This Row],[Asset Class]],tblInherentImpacts30[],3,FALSE)</f>
        <v>0</v>
      </c>
      <c r="Q72" s="29">
        <f>VLOOKUP(tblRiskRegister32[[#This Row],[Asset Class]],tblInherentImpacts30[],4,FALSE)</f>
        <v>0</v>
      </c>
      <c r="R72" s="29">
        <f>VLOOKUP(tblRiskRegister32[[#This Row],[Asset Class]],tblInherentImpacts30[],5,FALSE)</f>
        <v>0</v>
      </c>
      <c r="S72" s="29" t="str">
        <f>IFERROR(MAX(tblRiskRegister32[[#This Row],[Impact to Mission]:[Impact to Obligations]])*tblRiskRegister32[[#This Row],[Expectancy Score]],"")</f>
        <v/>
      </c>
      <c r="T72" s="29" t="str">
        <f>tblRiskRegister32[[#This Row],[Risk Score]]</f>
        <v/>
      </c>
      <c r="U72" s="100"/>
      <c r="V72" s="112">
        <v>8.8000000000000007</v>
      </c>
      <c r="W72" s="44" t="s">
        <v>255</v>
      </c>
      <c r="X72" s="44" t="s">
        <v>475</v>
      </c>
      <c r="Y72" s="30"/>
      <c r="Z72" s="16"/>
      <c r="AA72" s="27" t="str">
        <f>IFERROR(VLOOKUP(10*tblRiskRegister32[[#This Row],[Risk Treatment Safeguard Maturity Score]]+tblRiskRegister32[[#This Row],[VCDB Index]],tblHITIndexWeightTable[],4,FALSE),"")</f>
        <v/>
      </c>
      <c r="AB72" s="138" t="str">
        <f>VLOOKUP(tblRiskRegister32[[#This Row],[Asset Class]],tblInherentImpacts30[],2,FALSE)</f>
        <v/>
      </c>
      <c r="AC72" s="138">
        <f>VLOOKUP(tblRiskRegister32[[#This Row],[Asset Class]],tblInherentImpacts30[],3,FALSE)</f>
        <v>0</v>
      </c>
      <c r="AD72" s="138">
        <f>VLOOKUP(tblRiskRegister32[[#This Row],[Asset Class]],tblInherentImpacts30[],4,FALSE)</f>
        <v>0</v>
      </c>
      <c r="AE72" s="138">
        <f>VLOOKUP(tblRiskRegister32[[#This Row],[Asset Class]],tblInherentImpacts30[],5,FALSE)</f>
        <v>0</v>
      </c>
      <c r="AF72" s="138" t="str">
        <f>IFERROR(MAX(tblRiskRegister32[[#This Row],[Risk Treatment Safeguard Impact to Mission]:[Risk Treatment Safeguard Impact to Obligations]])*tblRiskRegister32[[#This Row],[Risk Treatment
Safeguard Expectancy Score]],"")</f>
        <v/>
      </c>
      <c r="AG72" s="138" t="str">
        <f>IF(tblRiskRegister32[[#This Row],[Risk Score]]&gt;AcceptableRisk,IF(tblRiskRegister32[[#This Row],[Risk Treatment Safeguard Risk Score]]&lt;AcceptableRisk, IF(tblRiskRegister32[[#This Row],[Risk Treatment Safeguard Risk Score]]&lt;=tblRiskRegister32[[#This Row],[Risk Score]],"Yes","No"),"No"),"Yes")</f>
        <v>No</v>
      </c>
      <c r="AH72" s="18"/>
      <c r="AI72" s="18"/>
      <c r="AJ72" s="19"/>
    </row>
    <row r="73" spans="2:36" ht="25.5" x14ac:dyDescent="0.2">
      <c r="B73" s="44" t="s">
        <v>133</v>
      </c>
      <c r="C73" s="44"/>
      <c r="D73" s="112">
        <v>8.9</v>
      </c>
      <c r="E73" s="14" t="s">
        <v>278</v>
      </c>
      <c r="F73" s="17"/>
      <c r="G73" s="17" t="s">
        <v>785</v>
      </c>
      <c r="H73" s="17" t="s">
        <v>928</v>
      </c>
      <c r="I73" s="15"/>
      <c r="J73" s="15"/>
      <c r="K73" s="15"/>
      <c r="L73" s="16"/>
      <c r="M73" s="26">
        <f>IFERROR(VLOOKUP(tblRiskRegister32[[#This Row],[Asset Class]],tblVCDBIndex[],4,FALSE),"")</f>
        <v>1</v>
      </c>
      <c r="N73" s="29" t="str">
        <f>IFERROR(VLOOKUP(10*tblRiskRegister32[[#This Row],[Safeguard Maturity Score]]+tblRiskRegister32[[#This Row],[VCDB Index]],tblHITIndexWeightTable[],4,FALSE),"")</f>
        <v/>
      </c>
      <c r="O73" s="29" t="str">
        <f>VLOOKUP(tblRiskRegister32[[#This Row],[Asset Class]],tblInherentImpacts30[],2,FALSE)</f>
        <v/>
      </c>
      <c r="P73" s="29">
        <f>VLOOKUP(tblRiskRegister32[[#This Row],[Asset Class]],tblInherentImpacts30[],3,FALSE)</f>
        <v>0</v>
      </c>
      <c r="Q73" s="29">
        <f>VLOOKUP(tblRiskRegister32[[#This Row],[Asset Class]],tblInherentImpacts30[],4,FALSE)</f>
        <v>0</v>
      </c>
      <c r="R73" s="29">
        <f>VLOOKUP(tblRiskRegister32[[#This Row],[Asset Class]],tblInherentImpacts30[],5,FALSE)</f>
        <v>0</v>
      </c>
      <c r="S73" s="29" t="str">
        <f>IFERROR(MAX(tblRiskRegister32[[#This Row],[Impact to Mission]:[Impact to Obligations]])*tblRiskRegister32[[#This Row],[Expectancy Score]],"")</f>
        <v/>
      </c>
      <c r="T73" s="29" t="str">
        <f>tblRiskRegister32[[#This Row],[Risk Score]]</f>
        <v/>
      </c>
      <c r="U73" s="100"/>
      <c r="V73" s="112">
        <v>8.9</v>
      </c>
      <c r="W73" s="44" t="s">
        <v>278</v>
      </c>
      <c r="X73" s="44" t="s">
        <v>476</v>
      </c>
      <c r="Y73" s="30"/>
      <c r="Z73" s="16"/>
      <c r="AA73" s="27" t="str">
        <f>IFERROR(VLOOKUP(10*tblRiskRegister32[[#This Row],[Risk Treatment Safeguard Maturity Score]]+tblRiskRegister32[[#This Row],[VCDB Index]],tblHITIndexWeightTable[],4,FALSE),"")</f>
        <v/>
      </c>
      <c r="AB73" s="138" t="str">
        <f>VLOOKUP(tblRiskRegister32[[#This Row],[Asset Class]],tblInherentImpacts30[],2,FALSE)</f>
        <v/>
      </c>
      <c r="AC73" s="138">
        <f>VLOOKUP(tblRiskRegister32[[#This Row],[Asset Class]],tblInherentImpacts30[],3,FALSE)</f>
        <v>0</v>
      </c>
      <c r="AD73" s="138">
        <f>VLOOKUP(tblRiskRegister32[[#This Row],[Asset Class]],tblInherentImpacts30[],4,FALSE)</f>
        <v>0</v>
      </c>
      <c r="AE73" s="138">
        <f>VLOOKUP(tblRiskRegister32[[#This Row],[Asset Class]],tblInherentImpacts30[],5,FALSE)</f>
        <v>0</v>
      </c>
      <c r="AF73" s="138" t="str">
        <f>IFERROR(MAX(tblRiskRegister32[[#This Row],[Risk Treatment Safeguard Impact to Mission]:[Risk Treatment Safeguard Impact to Obligations]])*tblRiskRegister32[[#This Row],[Risk Treatment
Safeguard Expectancy Score]],"")</f>
        <v/>
      </c>
      <c r="AG73" s="138" t="str">
        <f>IF(tblRiskRegister32[[#This Row],[Risk Score]]&gt;AcceptableRisk,IF(tblRiskRegister32[[#This Row],[Risk Treatment Safeguard Risk Score]]&lt;AcceptableRisk, IF(tblRiskRegister32[[#This Row],[Risk Treatment Safeguard Risk Score]]&lt;=tblRiskRegister32[[#This Row],[Risk Score]],"Yes","No"),"No"),"Yes")</f>
        <v>No</v>
      </c>
      <c r="AH73" s="18"/>
      <c r="AI73" s="18"/>
      <c r="AJ73" s="19"/>
    </row>
    <row r="74" spans="2:36" x14ac:dyDescent="0.2">
      <c r="B74" s="44" t="s">
        <v>133</v>
      </c>
      <c r="C74" s="44"/>
      <c r="D74" s="288">
        <v>8.1</v>
      </c>
      <c r="E74" s="14" t="s">
        <v>279</v>
      </c>
      <c r="F74" s="17"/>
      <c r="G74" s="17" t="s">
        <v>785</v>
      </c>
      <c r="H74" s="17" t="s">
        <v>929</v>
      </c>
      <c r="I74" s="15"/>
      <c r="J74" s="15"/>
      <c r="K74" s="15"/>
      <c r="L74" s="16"/>
      <c r="M74" s="26">
        <f>IFERROR(VLOOKUP(tblRiskRegister32[[#This Row],[Asset Class]],tblVCDBIndex[],4,FALSE),"")</f>
        <v>1</v>
      </c>
      <c r="N74" s="29" t="str">
        <f>IFERROR(VLOOKUP(10*tblRiskRegister32[[#This Row],[Safeguard Maturity Score]]+tblRiskRegister32[[#This Row],[VCDB Index]],tblHITIndexWeightTable[],4,FALSE),"")</f>
        <v/>
      </c>
      <c r="O74" s="29" t="str">
        <f>VLOOKUP(tblRiskRegister32[[#This Row],[Asset Class]],tblInherentImpacts30[],2,FALSE)</f>
        <v/>
      </c>
      <c r="P74" s="29">
        <f>VLOOKUP(tblRiskRegister32[[#This Row],[Asset Class]],tblInherentImpacts30[],3,FALSE)</f>
        <v>0</v>
      </c>
      <c r="Q74" s="29">
        <f>VLOOKUP(tblRiskRegister32[[#This Row],[Asset Class]],tblInherentImpacts30[],4,FALSE)</f>
        <v>0</v>
      </c>
      <c r="R74" s="29">
        <f>VLOOKUP(tblRiskRegister32[[#This Row],[Asset Class]],tblInherentImpacts30[],5,FALSE)</f>
        <v>0</v>
      </c>
      <c r="S74" s="29" t="str">
        <f>IFERROR(MAX(tblRiskRegister32[[#This Row],[Impact to Mission]:[Impact to Obligations]])*tblRiskRegister32[[#This Row],[Expectancy Score]],"")</f>
        <v/>
      </c>
      <c r="T74" s="29" t="str">
        <f>tblRiskRegister32[[#This Row],[Risk Score]]</f>
        <v/>
      </c>
      <c r="U74" s="100"/>
      <c r="V74" s="112">
        <v>8.1</v>
      </c>
      <c r="W74" s="44" t="s">
        <v>279</v>
      </c>
      <c r="X74" s="44" t="s">
        <v>477</v>
      </c>
      <c r="Y74" s="30"/>
      <c r="Z74" s="16"/>
      <c r="AA74" s="27" t="str">
        <f>IFERROR(VLOOKUP(10*tblRiskRegister32[[#This Row],[Risk Treatment Safeguard Maturity Score]]+tblRiskRegister32[[#This Row],[VCDB Index]],tblHITIndexWeightTable[],4,FALSE),"")</f>
        <v/>
      </c>
      <c r="AB74" s="138" t="str">
        <f>VLOOKUP(tblRiskRegister32[[#This Row],[Asset Class]],tblInherentImpacts30[],2,FALSE)</f>
        <v/>
      </c>
      <c r="AC74" s="138">
        <f>VLOOKUP(tblRiskRegister32[[#This Row],[Asset Class]],tblInherentImpacts30[],3,FALSE)</f>
        <v>0</v>
      </c>
      <c r="AD74" s="138">
        <f>VLOOKUP(tblRiskRegister32[[#This Row],[Asset Class]],tblInherentImpacts30[],4,FALSE)</f>
        <v>0</v>
      </c>
      <c r="AE74" s="138">
        <f>VLOOKUP(tblRiskRegister32[[#This Row],[Asset Class]],tblInherentImpacts30[],5,FALSE)</f>
        <v>0</v>
      </c>
      <c r="AF74" s="138" t="str">
        <f>IFERROR(MAX(tblRiskRegister32[[#This Row],[Risk Treatment Safeguard Impact to Mission]:[Risk Treatment Safeguard Impact to Obligations]])*tblRiskRegister32[[#This Row],[Risk Treatment
Safeguard Expectancy Score]],"")</f>
        <v/>
      </c>
      <c r="AG74" s="138" t="str">
        <f>IF(tblRiskRegister32[[#This Row],[Risk Score]]&gt;AcceptableRisk,IF(tblRiskRegister32[[#This Row],[Risk Treatment Safeguard Risk Score]]&lt;AcceptableRisk, IF(tblRiskRegister32[[#This Row],[Risk Treatment Safeguard Risk Score]]&lt;=tblRiskRegister32[[#This Row],[Risk Score]],"Yes","No"),"No"),"Yes")</f>
        <v>No</v>
      </c>
      <c r="AH74" s="18"/>
      <c r="AI74" s="18"/>
      <c r="AJ74" s="19"/>
    </row>
    <row r="75" spans="2:36" ht="38.25" x14ac:dyDescent="0.2">
      <c r="B75" s="15" t="s">
        <v>132</v>
      </c>
      <c r="C75" s="15"/>
      <c r="D75" s="100">
        <v>9.1</v>
      </c>
      <c r="E75" s="14" t="s">
        <v>24</v>
      </c>
      <c r="F75" s="17" t="s">
        <v>785</v>
      </c>
      <c r="G75" s="17" t="s">
        <v>785</v>
      </c>
      <c r="H75" s="17" t="s">
        <v>928</v>
      </c>
      <c r="I75" s="15"/>
      <c r="J75" s="15"/>
      <c r="K75" s="15"/>
      <c r="L75" s="16"/>
      <c r="M75" s="26">
        <f>IFERROR(VLOOKUP(tblRiskRegister32[[#This Row],[Asset Class]],tblVCDBIndex[],4,FALSE),"")</f>
        <v>2</v>
      </c>
      <c r="N75" s="26" t="str">
        <f>IFERROR(VLOOKUP(10*tblRiskRegister32[[#This Row],[Safeguard Maturity Score]]+tblRiskRegister32[[#This Row],[VCDB Index]],tblHITIndexWeightTable[],4,FALSE),"")</f>
        <v/>
      </c>
      <c r="O75" s="26" t="str">
        <f>VLOOKUP(tblRiskRegister32[[#This Row],[Asset Class]],tblInherentImpacts30[],2,FALSE)</f>
        <v/>
      </c>
      <c r="P75" s="26">
        <f>VLOOKUP(tblRiskRegister32[[#This Row],[Asset Class]],tblInherentImpacts30[],3,FALSE)</f>
        <v>0</v>
      </c>
      <c r="Q75" s="26">
        <f>VLOOKUP(tblRiskRegister32[[#This Row],[Asset Class]],tblInherentImpacts30[],4,FALSE)</f>
        <v>0</v>
      </c>
      <c r="R75" s="26">
        <f>VLOOKUP(tblRiskRegister32[[#This Row],[Asset Class]],tblInherentImpacts30[],5,FALSE)</f>
        <v>0</v>
      </c>
      <c r="S75" s="26" t="str">
        <f>IFERROR(MAX(tblRiskRegister32[[#This Row],[Impact to Mission]:[Impact to Obligations]])*tblRiskRegister32[[#This Row],[Expectancy Score]],"")</f>
        <v/>
      </c>
      <c r="T75" s="26" t="str">
        <f>tblRiskRegister32[[#This Row],[Risk Score]]</f>
        <v/>
      </c>
      <c r="U75" s="100"/>
      <c r="V75" s="100">
        <v>9.1</v>
      </c>
      <c r="W75" s="15" t="s">
        <v>24</v>
      </c>
      <c r="X75" s="15" t="s">
        <v>479</v>
      </c>
      <c r="Y75" s="15"/>
      <c r="Z75" s="16"/>
      <c r="AA75" s="27" t="str">
        <f>IFERROR(VLOOKUP(10*tblRiskRegister32[[#This Row],[Risk Treatment Safeguard Maturity Score]]+tblRiskRegister32[[#This Row],[VCDB Index]],tblHITIndexWeightTable[],4,FALSE),"")</f>
        <v/>
      </c>
      <c r="AB75" s="138" t="str">
        <f>VLOOKUP(tblRiskRegister32[[#This Row],[Asset Class]],tblInherentImpacts30[],2,FALSE)</f>
        <v/>
      </c>
      <c r="AC75" s="138">
        <f>VLOOKUP(tblRiskRegister32[[#This Row],[Asset Class]],tblInherentImpacts30[],3,FALSE)</f>
        <v>0</v>
      </c>
      <c r="AD75" s="138">
        <f>VLOOKUP(tblRiskRegister32[[#This Row],[Asset Class]],tblInherentImpacts30[],4,FALSE)</f>
        <v>0</v>
      </c>
      <c r="AE75" s="138">
        <f>VLOOKUP(tblRiskRegister32[[#This Row],[Asset Class]],tblInherentImpacts30[],5,FALSE)</f>
        <v>0</v>
      </c>
      <c r="AF75" s="138" t="str">
        <f>IFERROR(MAX(tblRiskRegister32[[#This Row],[Risk Treatment Safeguard Impact to Mission]:[Risk Treatment Safeguard Impact to Obligations]])*tblRiskRegister32[[#This Row],[Risk Treatment
Safeguard Expectancy Score]],"")</f>
        <v/>
      </c>
      <c r="AG75" s="138" t="str">
        <f>IF(tblRiskRegister32[[#This Row],[Risk Score]]&gt;AcceptableRisk,IF(tblRiskRegister32[[#This Row],[Risk Treatment Safeguard Risk Score]]&lt;AcceptableRisk, IF(tblRiskRegister32[[#This Row],[Risk Treatment Safeguard Risk Score]]&lt;=tblRiskRegister32[[#This Row],[Risk Score]],"Yes","No"),"No"),"Yes")</f>
        <v>No</v>
      </c>
      <c r="AH75" s="18"/>
      <c r="AI75" s="18"/>
      <c r="AJ75" s="19"/>
    </row>
    <row r="76" spans="2:36" ht="25.5" x14ac:dyDescent="0.2">
      <c r="B76" s="44" t="s">
        <v>133</v>
      </c>
      <c r="C76" s="44"/>
      <c r="D76" s="112">
        <v>9.1999999999999993</v>
      </c>
      <c r="E76" s="14" t="s">
        <v>109</v>
      </c>
      <c r="F76" s="17" t="s">
        <v>785</v>
      </c>
      <c r="G76" s="17" t="s">
        <v>785</v>
      </c>
      <c r="H76" s="17" t="s">
        <v>928</v>
      </c>
      <c r="I76" s="15"/>
      <c r="J76" s="15"/>
      <c r="K76" s="15"/>
      <c r="L76" s="16"/>
      <c r="M76" s="26">
        <f>IFERROR(VLOOKUP(tblRiskRegister32[[#This Row],[Asset Class]],tblVCDBIndex[],4,FALSE),"")</f>
        <v>1</v>
      </c>
      <c r="N76" s="29" t="str">
        <f>IFERROR(VLOOKUP(10*tblRiskRegister32[[#This Row],[Safeguard Maturity Score]]+tblRiskRegister32[[#This Row],[VCDB Index]],tblHITIndexWeightTable[],4,FALSE),"")</f>
        <v/>
      </c>
      <c r="O76" s="29" t="str">
        <f>VLOOKUP(tblRiskRegister32[[#This Row],[Asset Class]],tblInherentImpacts30[],2,FALSE)</f>
        <v/>
      </c>
      <c r="P76" s="29">
        <f>VLOOKUP(tblRiskRegister32[[#This Row],[Asset Class]],tblInherentImpacts30[],3,FALSE)</f>
        <v>0</v>
      </c>
      <c r="Q76" s="29">
        <f>VLOOKUP(tblRiskRegister32[[#This Row],[Asset Class]],tblInherentImpacts30[],4,FALSE)</f>
        <v>0</v>
      </c>
      <c r="R76" s="29">
        <f>VLOOKUP(tblRiskRegister32[[#This Row],[Asset Class]],tblInherentImpacts30[],5,FALSE)</f>
        <v>0</v>
      </c>
      <c r="S76" s="29" t="str">
        <f>IFERROR(MAX(tblRiskRegister32[[#This Row],[Impact to Mission]:[Impact to Obligations]])*tblRiskRegister32[[#This Row],[Expectancy Score]],"")</f>
        <v/>
      </c>
      <c r="T76" s="29" t="str">
        <f>tblRiskRegister32[[#This Row],[Risk Score]]</f>
        <v/>
      </c>
      <c r="U76" s="100"/>
      <c r="V76" s="112">
        <v>9.1999999999999993</v>
      </c>
      <c r="W76" s="44" t="s">
        <v>109</v>
      </c>
      <c r="X76" s="44" t="s">
        <v>480</v>
      </c>
      <c r="Y76" s="30"/>
      <c r="Z76" s="16"/>
      <c r="AA76" s="27" t="str">
        <f>IFERROR(VLOOKUP(10*tblRiskRegister32[[#This Row],[Risk Treatment Safeguard Maturity Score]]+tblRiskRegister32[[#This Row],[VCDB Index]],tblHITIndexWeightTable[],4,FALSE),"")</f>
        <v/>
      </c>
      <c r="AB76" s="138" t="str">
        <f>VLOOKUP(tblRiskRegister32[[#This Row],[Asset Class]],tblInherentImpacts30[],2,FALSE)</f>
        <v/>
      </c>
      <c r="AC76" s="138">
        <f>VLOOKUP(tblRiskRegister32[[#This Row],[Asset Class]],tblInherentImpacts30[],3,FALSE)</f>
        <v>0</v>
      </c>
      <c r="AD76" s="138">
        <f>VLOOKUP(tblRiskRegister32[[#This Row],[Asset Class]],tblInherentImpacts30[],4,FALSE)</f>
        <v>0</v>
      </c>
      <c r="AE76" s="138">
        <f>VLOOKUP(tblRiskRegister32[[#This Row],[Asset Class]],tblInherentImpacts30[],5,FALSE)</f>
        <v>0</v>
      </c>
      <c r="AF76" s="138" t="str">
        <f>IFERROR(MAX(tblRiskRegister32[[#This Row],[Risk Treatment Safeguard Impact to Mission]:[Risk Treatment Safeguard Impact to Obligations]])*tblRiskRegister32[[#This Row],[Risk Treatment
Safeguard Expectancy Score]],"")</f>
        <v/>
      </c>
      <c r="AG76" s="138" t="str">
        <f>IF(tblRiskRegister32[[#This Row],[Risk Score]]&gt;AcceptableRisk,IF(tblRiskRegister32[[#This Row],[Risk Treatment Safeguard Risk Score]]&lt;AcceptableRisk, IF(tblRiskRegister32[[#This Row],[Risk Treatment Safeguard Risk Score]]&lt;=tblRiskRegister32[[#This Row],[Risk Score]],"Yes","No"),"No"),"Yes")</f>
        <v>No</v>
      </c>
      <c r="AH76" s="18"/>
      <c r="AI76" s="18"/>
      <c r="AJ76" s="19"/>
    </row>
    <row r="77" spans="2:36" ht="51" x14ac:dyDescent="0.2">
      <c r="B77" s="44" t="s">
        <v>133</v>
      </c>
      <c r="C77" s="44"/>
      <c r="D77" s="112">
        <v>9.3000000000000007</v>
      </c>
      <c r="E77" s="14" t="s">
        <v>281</v>
      </c>
      <c r="F77" s="17"/>
      <c r="G77" s="17" t="s">
        <v>785</v>
      </c>
      <c r="H77" s="17" t="s">
        <v>928</v>
      </c>
      <c r="I77" s="15"/>
      <c r="J77" s="15"/>
      <c r="K77" s="15"/>
      <c r="L77" s="16"/>
      <c r="M77" s="26">
        <f>IFERROR(VLOOKUP(tblRiskRegister32[[#This Row],[Asset Class]],tblVCDBIndex[],4,FALSE),"")</f>
        <v>1</v>
      </c>
      <c r="N77" s="29" t="str">
        <f>IFERROR(VLOOKUP(10*tblRiskRegister32[[#This Row],[Safeguard Maturity Score]]+tblRiskRegister32[[#This Row],[VCDB Index]],tblHITIndexWeightTable[],4,FALSE),"")</f>
        <v/>
      </c>
      <c r="O77" s="29" t="str">
        <f>VLOOKUP(tblRiskRegister32[[#This Row],[Asset Class]],tblInherentImpacts30[],2,FALSE)</f>
        <v/>
      </c>
      <c r="P77" s="29">
        <f>VLOOKUP(tblRiskRegister32[[#This Row],[Asset Class]],tblInherentImpacts30[],3,FALSE)</f>
        <v>0</v>
      </c>
      <c r="Q77" s="29">
        <f>VLOOKUP(tblRiskRegister32[[#This Row],[Asset Class]],tblInherentImpacts30[],4,FALSE)</f>
        <v>0</v>
      </c>
      <c r="R77" s="29">
        <f>VLOOKUP(tblRiskRegister32[[#This Row],[Asset Class]],tblInherentImpacts30[],5,FALSE)</f>
        <v>0</v>
      </c>
      <c r="S77" s="29" t="str">
        <f>IFERROR(MAX(tblRiskRegister32[[#This Row],[Impact to Mission]:[Impact to Obligations]])*tblRiskRegister32[[#This Row],[Expectancy Score]],"")</f>
        <v/>
      </c>
      <c r="T77" s="29" t="str">
        <f>tblRiskRegister32[[#This Row],[Risk Score]]</f>
        <v/>
      </c>
      <c r="U77" s="100"/>
      <c r="V77" s="112">
        <v>9.3000000000000007</v>
      </c>
      <c r="W77" s="44" t="s">
        <v>281</v>
      </c>
      <c r="X77" s="44" t="s">
        <v>481</v>
      </c>
      <c r="Y77" s="30"/>
      <c r="Z77" s="16"/>
      <c r="AA77" s="27" t="str">
        <f>IFERROR(VLOOKUP(10*tblRiskRegister32[[#This Row],[Risk Treatment Safeguard Maturity Score]]+tblRiskRegister32[[#This Row],[VCDB Index]],tblHITIndexWeightTable[],4,FALSE),"")</f>
        <v/>
      </c>
      <c r="AB77" s="138" t="str">
        <f>VLOOKUP(tblRiskRegister32[[#This Row],[Asset Class]],tblInherentImpacts30[],2,FALSE)</f>
        <v/>
      </c>
      <c r="AC77" s="138">
        <f>VLOOKUP(tblRiskRegister32[[#This Row],[Asset Class]],tblInherentImpacts30[],3,FALSE)</f>
        <v>0</v>
      </c>
      <c r="AD77" s="138">
        <f>VLOOKUP(tblRiskRegister32[[#This Row],[Asset Class]],tblInherentImpacts30[],4,FALSE)</f>
        <v>0</v>
      </c>
      <c r="AE77" s="138">
        <f>VLOOKUP(tblRiskRegister32[[#This Row],[Asset Class]],tblInherentImpacts30[],5,FALSE)</f>
        <v>0</v>
      </c>
      <c r="AF77" s="138" t="str">
        <f>IFERROR(MAX(tblRiskRegister32[[#This Row],[Risk Treatment Safeguard Impact to Mission]:[Risk Treatment Safeguard Impact to Obligations]])*tblRiskRegister32[[#This Row],[Risk Treatment
Safeguard Expectancy Score]],"")</f>
        <v/>
      </c>
      <c r="AG77" s="138" t="str">
        <f>IF(tblRiskRegister32[[#This Row],[Risk Score]]&gt;AcceptableRisk,IF(tblRiskRegister32[[#This Row],[Risk Treatment Safeguard Risk Score]]&lt;AcceptableRisk, IF(tblRiskRegister32[[#This Row],[Risk Treatment Safeguard Risk Score]]&lt;=tblRiskRegister32[[#This Row],[Risk Score]],"Yes","No"),"No"),"Yes")</f>
        <v>No</v>
      </c>
      <c r="AH77" s="18"/>
      <c r="AI77" s="18"/>
      <c r="AJ77" s="19"/>
    </row>
    <row r="78" spans="2:36" ht="38.25" x14ac:dyDescent="0.2">
      <c r="B78" s="15" t="s">
        <v>132</v>
      </c>
      <c r="C78" s="15"/>
      <c r="D78" s="100">
        <v>9.4</v>
      </c>
      <c r="E78" s="14" t="s">
        <v>232</v>
      </c>
      <c r="F78" s="17"/>
      <c r="G78" s="17" t="s">
        <v>785</v>
      </c>
      <c r="H78" s="17" t="s">
        <v>928</v>
      </c>
      <c r="I78" s="15"/>
      <c r="J78" s="15"/>
      <c r="K78" s="15"/>
      <c r="L78" s="16"/>
      <c r="M78" s="26">
        <f>IFERROR(VLOOKUP(tblRiskRegister32[[#This Row],[Asset Class]],tblVCDBIndex[],4,FALSE),"")</f>
        <v>2</v>
      </c>
      <c r="N78" s="26" t="str">
        <f>IFERROR(VLOOKUP(10*tblRiskRegister32[[#This Row],[Safeguard Maturity Score]]+tblRiskRegister32[[#This Row],[VCDB Index]],tblHITIndexWeightTable[],4,FALSE),"")</f>
        <v/>
      </c>
      <c r="O78" s="26" t="str">
        <f>VLOOKUP(tblRiskRegister32[[#This Row],[Asset Class]],tblInherentImpacts30[],2,FALSE)</f>
        <v/>
      </c>
      <c r="P78" s="26">
        <f>VLOOKUP(tblRiskRegister32[[#This Row],[Asset Class]],tblInherentImpacts30[],3,FALSE)</f>
        <v>0</v>
      </c>
      <c r="Q78" s="26">
        <f>VLOOKUP(tblRiskRegister32[[#This Row],[Asset Class]],tblInherentImpacts30[],4,FALSE)</f>
        <v>0</v>
      </c>
      <c r="R78" s="26">
        <f>VLOOKUP(tblRiskRegister32[[#This Row],[Asset Class]],tblInherentImpacts30[],5,FALSE)</f>
        <v>0</v>
      </c>
      <c r="S78" s="26" t="str">
        <f>IFERROR(MAX(tblRiskRegister32[[#This Row],[Impact to Mission]:[Impact to Obligations]])*tblRiskRegister32[[#This Row],[Expectancy Score]],"")</f>
        <v/>
      </c>
      <c r="T78" s="26" t="str">
        <f>tblRiskRegister32[[#This Row],[Risk Score]]</f>
        <v/>
      </c>
      <c r="U78" s="100"/>
      <c r="V78" s="100">
        <v>9.4</v>
      </c>
      <c r="W78" s="15" t="s">
        <v>232</v>
      </c>
      <c r="X78" s="15" t="s">
        <v>482</v>
      </c>
      <c r="Y78" s="15"/>
      <c r="Z78" s="16"/>
      <c r="AA78" s="27" t="str">
        <f>IFERROR(VLOOKUP(10*tblRiskRegister32[[#This Row],[Risk Treatment Safeguard Maturity Score]]+tblRiskRegister32[[#This Row],[VCDB Index]],tblHITIndexWeightTable[],4,FALSE),"")</f>
        <v/>
      </c>
      <c r="AB78" s="138" t="str">
        <f>VLOOKUP(tblRiskRegister32[[#This Row],[Asset Class]],tblInherentImpacts30[],2,FALSE)</f>
        <v/>
      </c>
      <c r="AC78" s="138">
        <f>VLOOKUP(tblRiskRegister32[[#This Row],[Asset Class]],tblInherentImpacts30[],3,FALSE)</f>
        <v>0</v>
      </c>
      <c r="AD78" s="138">
        <f>VLOOKUP(tblRiskRegister32[[#This Row],[Asset Class]],tblInherentImpacts30[],4,FALSE)</f>
        <v>0</v>
      </c>
      <c r="AE78" s="138">
        <f>VLOOKUP(tblRiskRegister32[[#This Row],[Asset Class]],tblInherentImpacts30[],5,FALSE)</f>
        <v>0</v>
      </c>
      <c r="AF78" s="138" t="str">
        <f>IFERROR(MAX(tblRiskRegister32[[#This Row],[Risk Treatment Safeguard Impact to Mission]:[Risk Treatment Safeguard Impact to Obligations]])*tblRiskRegister32[[#This Row],[Risk Treatment
Safeguard Expectancy Score]],"")</f>
        <v/>
      </c>
      <c r="AG78" s="138" t="str">
        <f>IF(tblRiskRegister32[[#This Row],[Risk Score]]&gt;AcceptableRisk,IF(tblRiskRegister32[[#This Row],[Risk Treatment Safeguard Risk Score]]&lt;AcceptableRisk, IF(tblRiskRegister32[[#This Row],[Risk Treatment Safeguard Risk Score]]&lt;=tblRiskRegister32[[#This Row],[Risk Score]],"Yes","No"),"No"),"Yes")</f>
        <v>No</v>
      </c>
      <c r="AH78" s="18"/>
      <c r="AI78" s="18"/>
      <c r="AJ78" s="19"/>
    </row>
    <row r="79" spans="2:36" ht="51" x14ac:dyDescent="0.2">
      <c r="B79" s="44" t="s">
        <v>133</v>
      </c>
      <c r="C79" s="44"/>
      <c r="D79" s="112">
        <v>9.5</v>
      </c>
      <c r="E79" s="14" t="s">
        <v>282</v>
      </c>
      <c r="F79" s="17"/>
      <c r="G79" s="17" t="s">
        <v>785</v>
      </c>
      <c r="H79" s="17" t="s">
        <v>928</v>
      </c>
      <c r="I79" s="15"/>
      <c r="J79" s="15"/>
      <c r="K79" s="15"/>
      <c r="L79" s="16"/>
      <c r="M79" s="26">
        <f>IFERROR(VLOOKUP(tblRiskRegister32[[#This Row],[Asset Class]],tblVCDBIndex[],4,FALSE),"")</f>
        <v>1</v>
      </c>
      <c r="N79" s="29" t="str">
        <f>IFERROR(VLOOKUP(10*tblRiskRegister32[[#This Row],[Safeguard Maturity Score]]+tblRiskRegister32[[#This Row],[VCDB Index]],tblHITIndexWeightTable[],4,FALSE),"")</f>
        <v/>
      </c>
      <c r="O79" s="29" t="str">
        <f>VLOOKUP(tblRiskRegister32[[#This Row],[Asset Class]],tblInherentImpacts30[],2,FALSE)</f>
        <v/>
      </c>
      <c r="P79" s="29">
        <f>VLOOKUP(tblRiskRegister32[[#This Row],[Asset Class]],tblInherentImpacts30[],3,FALSE)</f>
        <v>0</v>
      </c>
      <c r="Q79" s="29">
        <f>VLOOKUP(tblRiskRegister32[[#This Row],[Asset Class]],tblInherentImpacts30[],4,FALSE)</f>
        <v>0</v>
      </c>
      <c r="R79" s="29">
        <f>VLOOKUP(tblRiskRegister32[[#This Row],[Asset Class]],tblInherentImpacts30[],5,FALSE)</f>
        <v>0</v>
      </c>
      <c r="S79" s="29" t="str">
        <f>IFERROR(MAX(tblRiskRegister32[[#This Row],[Impact to Mission]:[Impact to Obligations]])*tblRiskRegister32[[#This Row],[Expectancy Score]],"")</f>
        <v/>
      </c>
      <c r="T79" s="29" t="str">
        <f>tblRiskRegister32[[#This Row],[Risk Score]]</f>
        <v/>
      </c>
      <c r="U79" s="100"/>
      <c r="V79" s="112">
        <v>9.5</v>
      </c>
      <c r="W79" s="44" t="s">
        <v>282</v>
      </c>
      <c r="X79" s="44" t="s">
        <v>483</v>
      </c>
      <c r="Y79" s="30"/>
      <c r="Z79" s="16"/>
      <c r="AA79" s="27" t="str">
        <f>IFERROR(VLOOKUP(10*tblRiskRegister32[[#This Row],[Risk Treatment Safeguard Maturity Score]]+tblRiskRegister32[[#This Row],[VCDB Index]],tblHITIndexWeightTable[],4,FALSE),"")</f>
        <v/>
      </c>
      <c r="AB79" s="138" t="str">
        <f>VLOOKUP(tblRiskRegister32[[#This Row],[Asset Class]],tblInherentImpacts30[],2,FALSE)</f>
        <v/>
      </c>
      <c r="AC79" s="138">
        <f>VLOOKUP(tblRiskRegister32[[#This Row],[Asset Class]],tblInherentImpacts30[],3,FALSE)</f>
        <v>0</v>
      </c>
      <c r="AD79" s="138">
        <f>VLOOKUP(tblRiskRegister32[[#This Row],[Asset Class]],tblInherentImpacts30[],4,FALSE)</f>
        <v>0</v>
      </c>
      <c r="AE79" s="138">
        <f>VLOOKUP(tblRiskRegister32[[#This Row],[Asset Class]],tblInherentImpacts30[],5,FALSE)</f>
        <v>0</v>
      </c>
      <c r="AF79" s="138" t="str">
        <f>IFERROR(MAX(tblRiskRegister32[[#This Row],[Risk Treatment Safeguard Impact to Mission]:[Risk Treatment Safeguard Impact to Obligations]])*tblRiskRegister32[[#This Row],[Risk Treatment
Safeguard Expectancy Score]],"")</f>
        <v/>
      </c>
      <c r="AG79" s="138" t="str">
        <f>IF(tblRiskRegister32[[#This Row],[Risk Score]]&gt;AcceptableRisk,IF(tblRiskRegister32[[#This Row],[Risk Treatment Safeguard Risk Score]]&lt;AcceptableRisk, IF(tblRiskRegister32[[#This Row],[Risk Treatment Safeguard Risk Score]]&lt;=tblRiskRegister32[[#This Row],[Risk Score]],"Yes","No"),"No"),"Yes")</f>
        <v>No</v>
      </c>
      <c r="AH79" s="18"/>
      <c r="AI79" s="18"/>
      <c r="AJ79" s="19"/>
    </row>
    <row r="80" spans="2:36" ht="25.5" x14ac:dyDescent="0.2">
      <c r="B80" s="44" t="s">
        <v>133</v>
      </c>
      <c r="C80" s="44"/>
      <c r="D80" s="112">
        <v>9.6</v>
      </c>
      <c r="E80" s="14" t="s">
        <v>283</v>
      </c>
      <c r="F80" s="17"/>
      <c r="G80" s="17" t="s">
        <v>785</v>
      </c>
      <c r="H80" s="17" t="s">
        <v>928</v>
      </c>
      <c r="I80" s="15"/>
      <c r="J80" s="15"/>
      <c r="K80" s="15"/>
      <c r="L80" s="16"/>
      <c r="M80" s="26">
        <f>IFERROR(VLOOKUP(tblRiskRegister32[[#This Row],[Asset Class]],tblVCDBIndex[],4,FALSE),"")</f>
        <v>1</v>
      </c>
      <c r="N80" s="29" t="str">
        <f>IFERROR(VLOOKUP(10*tblRiskRegister32[[#This Row],[Safeguard Maturity Score]]+tblRiskRegister32[[#This Row],[VCDB Index]],tblHITIndexWeightTable[],4,FALSE),"")</f>
        <v/>
      </c>
      <c r="O80" s="29" t="str">
        <f>VLOOKUP(tblRiskRegister32[[#This Row],[Asset Class]],tblInherentImpacts30[],2,FALSE)</f>
        <v/>
      </c>
      <c r="P80" s="29">
        <f>VLOOKUP(tblRiskRegister32[[#This Row],[Asset Class]],tblInherentImpacts30[],3,FALSE)</f>
        <v>0</v>
      </c>
      <c r="Q80" s="29">
        <f>VLOOKUP(tblRiskRegister32[[#This Row],[Asset Class]],tblInherentImpacts30[],4,FALSE)</f>
        <v>0</v>
      </c>
      <c r="R80" s="29">
        <f>VLOOKUP(tblRiskRegister32[[#This Row],[Asset Class]],tblInherentImpacts30[],5,FALSE)</f>
        <v>0</v>
      </c>
      <c r="S80" s="29" t="str">
        <f>IFERROR(MAX(tblRiskRegister32[[#This Row],[Impact to Mission]:[Impact to Obligations]])*tblRiskRegister32[[#This Row],[Expectancy Score]],"")</f>
        <v/>
      </c>
      <c r="T80" s="29" t="str">
        <f>tblRiskRegister32[[#This Row],[Risk Score]]</f>
        <v/>
      </c>
      <c r="U80" s="100"/>
      <c r="V80" s="112">
        <v>9.6</v>
      </c>
      <c r="W80" s="44" t="s">
        <v>283</v>
      </c>
      <c r="X80" s="44" t="s">
        <v>484</v>
      </c>
      <c r="Y80" s="30"/>
      <c r="Z80" s="16"/>
      <c r="AA80" s="27" t="str">
        <f>IFERROR(VLOOKUP(10*tblRiskRegister32[[#This Row],[Risk Treatment Safeguard Maturity Score]]+tblRiskRegister32[[#This Row],[VCDB Index]],tblHITIndexWeightTable[],4,FALSE),"")</f>
        <v/>
      </c>
      <c r="AB80" s="138" t="str">
        <f>VLOOKUP(tblRiskRegister32[[#This Row],[Asset Class]],tblInherentImpacts30[],2,FALSE)</f>
        <v/>
      </c>
      <c r="AC80" s="138">
        <f>VLOOKUP(tblRiskRegister32[[#This Row],[Asset Class]],tblInherentImpacts30[],3,FALSE)</f>
        <v>0</v>
      </c>
      <c r="AD80" s="138">
        <f>VLOOKUP(tblRiskRegister32[[#This Row],[Asset Class]],tblInherentImpacts30[],4,FALSE)</f>
        <v>0</v>
      </c>
      <c r="AE80" s="138">
        <f>VLOOKUP(tblRiskRegister32[[#This Row],[Asset Class]],tblInherentImpacts30[],5,FALSE)</f>
        <v>0</v>
      </c>
      <c r="AF80" s="138" t="str">
        <f>IFERROR(MAX(tblRiskRegister32[[#This Row],[Risk Treatment Safeguard Impact to Mission]:[Risk Treatment Safeguard Impact to Obligations]])*tblRiskRegister32[[#This Row],[Risk Treatment
Safeguard Expectancy Score]],"")</f>
        <v/>
      </c>
      <c r="AG80" s="138" t="str">
        <f>IF(tblRiskRegister32[[#This Row],[Risk Score]]&gt;AcceptableRisk,IF(tblRiskRegister32[[#This Row],[Risk Treatment Safeguard Risk Score]]&lt;AcceptableRisk, IF(tblRiskRegister32[[#This Row],[Risk Treatment Safeguard Risk Score]]&lt;=tblRiskRegister32[[#This Row],[Risk Score]],"Yes","No"),"No"),"Yes")</f>
        <v>No</v>
      </c>
      <c r="AH80" s="18"/>
      <c r="AI80" s="18"/>
      <c r="AJ80" s="19"/>
    </row>
    <row r="81" spans="2:36" ht="25.5" x14ac:dyDescent="0.2">
      <c r="B81" s="44" t="s">
        <v>131</v>
      </c>
      <c r="C81" s="44"/>
      <c r="D81" s="112">
        <v>10.1</v>
      </c>
      <c r="E81" s="14" t="s">
        <v>110</v>
      </c>
      <c r="F81" s="17" t="s">
        <v>785</v>
      </c>
      <c r="G81" s="17" t="s">
        <v>785</v>
      </c>
      <c r="H81" s="17" t="s">
        <v>928</v>
      </c>
      <c r="I81" s="15"/>
      <c r="J81" s="15"/>
      <c r="K81" s="15"/>
      <c r="L81" s="16"/>
      <c r="M81" s="26">
        <f>IFERROR(VLOOKUP(tblRiskRegister32[[#This Row],[Asset Class]],tblVCDBIndex[],4,FALSE),"")</f>
        <v>1</v>
      </c>
      <c r="N81" s="29" t="str">
        <f>IFERROR(VLOOKUP(10*tblRiskRegister32[[#This Row],[Safeguard Maturity Score]]+tblRiskRegister32[[#This Row],[VCDB Index]],tblHITIndexWeightTable[],4,FALSE),"")</f>
        <v/>
      </c>
      <c r="O81" s="29" t="str">
        <f>VLOOKUP(tblRiskRegister32[[#This Row],[Asset Class]],tblInherentImpacts30[],2,FALSE)</f>
        <v/>
      </c>
      <c r="P81" s="29">
        <f>VLOOKUP(tblRiskRegister32[[#This Row],[Asset Class]],tblInherentImpacts30[],3,FALSE)</f>
        <v>0</v>
      </c>
      <c r="Q81" s="29">
        <f>VLOOKUP(tblRiskRegister32[[#This Row],[Asset Class]],tblInherentImpacts30[],4,FALSE)</f>
        <v>0</v>
      </c>
      <c r="R81" s="29">
        <f>VLOOKUP(tblRiskRegister32[[#This Row],[Asset Class]],tblInherentImpacts30[],5,FALSE)</f>
        <v>0</v>
      </c>
      <c r="S81" s="29" t="str">
        <f>IFERROR(MAX(tblRiskRegister32[[#This Row],[Impact to Mission]:[Impact to Obligations]])*tblRiskRegister32[[#This Row],[Expectancy Score]],"")</f>
        <v/>
      </c>
      <c r="T81" s="29" t="str">
        <f>tblRiskRegister32[[#This Row],[Risk Score]]</f>
        <v/>
      </c>
      <c r="U81" s="100"/>
      <c r="V81" s="112">
        <v>10.1</v>
      </c>
      <c r="W81" s="44" t="s">
        <v>110</v>
      </c>
      <c r="X81" s="44" t="s">
        <v>485</v>
      </c>
      <c r="Y81" s="30"/>
      <c r="Z81" s="16"/>
      <c r="AA81" s="27" t="str">
        <f>IFERROR(VLOOKUP(10*tblRiskRegister32[[#This Row],[Risk Treatment Safeguard Maturity Score]]+tblRiskRegister32[[#This Row],[VCDB Index]],tblHITIndexWeightTable[],4,FALSE),"")</f>
        <v/>
      </c>
      <c r="AB81" s="138" t="str">
        <f>VLOOKUP(tblRiskRegister32[[#This Row],[Asset Class]],tblInherentImpacts30[],2,FALSE)</f>
        <v/>
      </c>
      <c r="AC81" s="138">
        <f>VLOOKUP(tblRiskRegister32[[#This Row],[Asset Class]],tblInherentImpacts30[],3,FALSE)</f>
        <v>0</v>
      </c>
      <c r="AD81" s="138">
        <f>VLOOKUP(tblRiskRegister32[[#This Row],[Asset Class]],tblInherentImpacts30[],4,FALSE)</f>
        <v>0</v>
      </c>
      <c r="AE81" s="138">
        <f>VLOOKUP(tblRiskRegister32[[#This Row],[Asset Class]],tblInherentImpacts30[],5,FALSE)</f>
        <v>0</v>
      </c>
      <c r="AF81" s="138" t="str">
        <f>IFERROR(MAX(tblRiskRegister32[[#This Row],[Risk Treatment Safeguard Impact to Mission]:[Risk Treatment Safeguard Impact to Obligations]])*tblRiskRegister32[[#This Row],[Risk Treatment
Safeguard Expectancy Score]],"")</f>
        <v/>
      </c>
      <c r="AG81" s="138" t="str">
        <f>IF(tblRiskRegister32[[#This Row],[Risk Score]]&gt;AcceptableRisk,IF(tblRiskRegister32[[#This Row],[Risk Treatment Safeguard Risk Score]]&lt;AcceptableRisk, IF(tblRiskRegister32[[#This Row],[Risk Treatment Safeguard Risk Score]]&lt;=tblRiskRegister32[[#This Row],[Risk Score]],"Yes","No"),"No"),"Yes")</f>
        <v>No</v>
      </c>
      <c r="AH81" s="18"/>
      <c r="AI81" s="18"/>
      <c r="AJ81" s="19"/>
    </row>
    <row r="82" spans="2:36" ht="25.5" x14ac:dyDescent="0.2">
      <c r="B82" s="44" t="s">
        <v>131</v>
      </c>
      <c r="C82" s="44"/>
      <c r="D82" s="112">
        <v>10.199999999999999</v>
      </c>
      <c r="E82" s="14" t="s">
        <v>111</v>
      </c>
      <c r="F82" s="17" t="s">
        <v>785</v>
      </c>
      <c r="G82" s="17" t="s">
        <v>785</v>
      </c>
      <c r="H82" s="17" t="s">
        <v>928</v>
      </c>
      <c r="I82" s="15"/>
      <c r="J82" s="15"/>
      <c r="K82" s="15"/>
      <c r="L82" s="16"/>
      <c r="M82" s="26">
        <f>IFERROR(VLOOKUP(tblRiskRegister32[[#This Row],[Asset Class]],tblVCDBIndex[],4,FALSE),"")</f>
        <v>1</v>
      </c>
      <c r="N82" s="29" t="str">
        <f>IFERROR(VLOOKUP(10*tblRiskRegister32[[#This Row],[Safeguard Maturity Score]]+tblRiskRegister32[[#This Row],[VCDB Index]],tblHITIndexWeightTable[],4,FALSE),"")</f>
        <v/>
      </c>
      <c r="O82" s="29" t="str">
        <f>VLOOKUP(tblRiskRegister32[[#This Row],[Asset Class]],tblInherentImpacts30[],2,FALSE)</f>
        <v/>
      </c>
      <c r="P82" s="29">
        <f>VLOOKUP(tblRiskRegister32[[#This Row],[Asset Class]],tblInherentImpacts30[],3,FALSE)</f>
        <v>0</v>
      </c>
      <c r="Q82" s="29">
        <f>VLOOKUP(tblRiskRegister32[[#This Row],[Asset Class]],tblInherentImpacts30[],4,FALSE)</f>
        <v>0</v>
      </c>
      <c r="R82" s="29">
        <f>VLOOKUP(tblRiskRegister32[[#This Row],[Asset Class]],tblInherentImpacts30[],5,FALSE)</f>
        <v>0</v>
      </c>
      <c r="S82" s="29" t="str">
        <f>IFERROR(MAX(tblRiskRegister32[[#This Row],[Impact to Mission]:[Impact to Obligations]])*tblRiskRegister32[[#This Row],[Expectancy Score]],"")</f>
        <v/>
      </c>
      <c r="T82" s="29" t="str">
        <f>tblRiskRegister32[[#This Row],[Risk Score]]</f>
        <v/>
      </c>
      <c r="U82" s="100"/>
      <c r="V82" s="112">
        <v>10.199999999999999</v>
      </c>
      <c r="W82" s="44" t="s">
        <v>111</v>
      </c>
      <c r="X82" s="44" t="s">
        <v>486</v>
      </c>
      <c r="Y82" s="30"/>
      <c r="Z82" s="16"/>
      <c r="AA82" s="27" t="str">
        <f>IFERROR(VLOOKUP(10*tblRiskRegister32[[#This Row],[Risk Treatment Safeguard Maturity Score]]+tblRiskRegister32[[#This Row],[VCDB Index]],tblHITIndexWeightTable[],4,FALSE),"")</f>
        <v/>
      </c>
      <c r="AB82" s="138" t="str">
        <f>VLOOKUP(tblRiskRegister32[[#This Row],[Asset Class]],tblInherentImpacts30[],2,FALSE)</f>
        <v/>
      </c>
      <c r="AC82" s="138">
        <f>VLOOKUP(tblRiskRegister32[[#This Row],[Asset Class]],tblInherentImpacts30[],3,FALSE)</f>
        <v>0</v>
      </c>
      <c r="AD82" s="138">
        <f>VLOOKUP(tblRiskRegister32[[#This Row],[Asset Class]],tblInherentImpacts30[],4,FALSE)</f>
        <v>0</v>
      </c>
      <c r="AE82" s="138">
        <f>VLOOKUP(tblRiskRegister32[[#This Row],[Asset Class]],tblInherentImpacts30[],5,FALSE)</f>
        <v>0</v>
      </c>
      <c r="AF82" s="138" t="str">
        <f>IFERROR(MAX(tblRiskRegister32[[#This Row],[Risk Treatment Safeguard Impact to Mission]:[Risk Treatment Safeguard Impact to Obligations]])*tblRiskRegister32[[#This Row],[Risk Treatment
Safeguard Expectancy Score]],"")</f>
        <v/>
      </c>
      <c r="AG82" s="138" t="str">
        <f>IF(tblRiskRegister32[[#This Row],[Risk Score]]&gt;AcceptableRisk,IF(tblRiskRegister32[[#This Row],[Risk Treatment Safeguard Risk Score]]&lt;AcceptableRisk, IF(tblRiskRegister32[[#This Row],[Risk Treatment Safeguard Risk Score]]&lt;=tblRiskRegister32[[#This Row],[Risk Score]],"Yes","No"),"No"),"Yes")</f>
        <v>No</v>
      </c>
      <c r="AH82" s="18"/>
      <c r="AI82" s="18"/>
      <c r="AJ82" s="19"/>
    </row>
    <row r="83" spans="2:36" ht="38.25" x14ac:dyDescent="0.2">
      <c r="B83" s="44" t="s">
        <v>131</v>
      </c>
      <c r="C83" s="44"/>
      <c r="D83" s="112">
        <v>10.3</v>
      </c>
      <c r="E83" s="14" t="s">
        <v>112</v>
      </c>
      <c r="F83" s="17" t="s">
        <v>785</v>
      </c>
      <c r="G83" s="17" t="s">
        <v>785</v>
      </c>
      <c r="H83" s="17" t="s">
        <v>928</v>
      </c>
      <c r="I83" s="15"/>
      <c r="J83" s="15"/>
      <c r="K83" s="15"/>
      <c r="L83" s="16"/>
      <c r="M83" s="26">
        <f>IFERROR(VLOOKUP(tblRiskRegister32[[#This Row],[Asset Class]],tblVCDBIndex[],4,FALSE),"")</f>
        <v>1</v>
      </c>
      <c r="N83" s="29" t="str">
        <f>IFERROR(VLOOKUP(10*tblRiskRegister32[[#This Row],[Safeguard Maturity Score]]+tblRiskRegister32[[#This Row],[VCDB Index]],tblHITIndexWeightTable[],4,FALSE),"")</f>
        <v/>
      </c>
      <c r="O83" s="29" t="str">
        <f>VLOOKUP(tblRiskRegister32[[#This Row],[Asset Class]],tblInherentImpacts30[],2,FALSE)</f>
        <v/>
      </c>
      <c r="P83" s="29">
        <f>VLOOKUP(tblRiskRegister32[[#This Row],[Asset Class]],tblInherentImpacts30[],3,FALSE)</f>
        <v>0</v>
      </c>
      <c r="Q83" s="29">
        <f>VLOOKUP(tblRiskRegister32[[#This Row],[Asset Class]],tblInherentImpacts30[],4,FALSE)</f>
        <v>0</v>
      </c>
      <c r="R83" s="29">
        <f>VLOOKUP(tblRiskRegister32[[#This Row],[Asset Class]],tblInherentImpacts30[],5,FALSE)</f>
        <v>0</v>
      </c>
      <c r="S83" s="29" t="str">
        <f>IFERROR(MAX(tblRiskRegister32[[#This Row],[Impact to Mission]:[Impact to Obligations]])*tblRiskRegister32[[#This Row],[Expectancy Score]],"")</f>
        <v/>
      </c>
      <c r="T83" s="29" t="str">
        <f>tblRiskRegister32[[#This Row],[Risk Score]]</f>
        <v/>
      </c>
      <c r="U83" s="100"/>
      <c r="V83" s="112">
        <v>10.3</v>
      </c>
      <c r="W83" s="44" t="s">
        <v>112</v>
      </c>
      <c r="X83" s="44" t="s">
        <v>487</v>
      </c>
      <c r="Y83" s="30"/>
      <c r="Z83" s="16"/>
      <c r="AA83" s="27" t="str">
        <f>IFERROR(VLOOKUP(10*tblRiskRegister32[[#This Row],[Risk Treatment Safeguard Maturity Score]]+tblRiskRegister32[[#This Row],[VCDB Index]],tblHITIndexWeightTable[],4,FALSE),"")</f>
        <v/>
      </c>
      <c r="AB83" s="138" t="str">
        <f>VLOOKUP(tblRiskRegister32[[#This Row],[Asset Class]],tblInherentImpacts30[],2,FALSE)</f>
        <v/>
      </c>
      <c r="AC83" s="138">
        <f>VLOOKUP(tblRiskRegister32[[#This Row],[Asset Class]],tblInherentImpacts30[],3,FALSE)</f>
        <v>0</v>
      </c>
      <c r="AD83" s="138">
        <f>VLOOKUP(tblRiskRegister32[[#This Row],[Asset Class]],tblInherentImpacts30[],4,FALSE)</f>
        <v>0</v>
      </c>
      <c r="AE83" s="138">
        <f>VLOOKUP(tblRiskRegister32[[#This Row],[Asset Class]],tblInherentImpacts30[],5,FALSE)</f>
        <v>0</v>
      </c>
      <c r="AF83" s="138" t="str">
        <f>IFERROR(MAX(tblRiskRegister32[[#This Row],[Risk Treatment Safeguard Impact to Mission]:[Risk Treatment Safeguard Impact to Obligations]])*tblRiskRegister32[[#This Row],[Risk Treatment
Safeguard Expectancy Score]],"")</f>
        <v/>
      </c>
      <c r="AG83" s="138" t="str">
        <f>IF(tblRiskRegister32[[#This Row],[Risk Score]]&gt;AcceptableRisk,IF(tblRiskRegister32[[#This Row],[Risk Treatment Safeguard Risk Score]]&lt;AcceptableRisk, IF(tblRiskRegister32[[#This Row],[Risk Treatment Safeguard Risk Score]]&lt;=tblRiskRegister32[[#This Row],[Risk Score]],"Yes","No"),"No"),"Yes")</f>
        <v>No</v>
      </c>
      <c r="AH83" s="18"/>
      <c r="AI83" s="18"/>
      <c r="AJ83" s="19"/>
    </row>
    <row r="84" spans="2:36" ht="38.25" x14ac:dyDescent="0.2">
      <c r="B84" s="44" t="s">
        <v>131</v>
      </c>
      <c r="C84" s="44"/>
      <c r="D84" s="112">
        <v>10.4</v>
      </c>
      <c r="E84" s="14" t="s">
        <v>256</v>
      </c>
      <c r="F84" s="17"/>
      <c r="G84" s="17" t="s">
        <v>785</v>
      </c>
      <c r="H84" s="17" t="s">
        <v>929</v>
      </c>
      <c r="I84" s="15"/>
      <c r="J84" s="15"/>
      <c r="K84" s="15"/>
      <c r="L84" s="16"/>
      <c r="M84" s="26">
        <f>IFERROR(VLOOKUP(tblRiskRegister32[[#This Row],[Asset Class]],tblVCDBIndex[],4,FALSE),"")</f>
        <v>1</v>
      </c>
      <c r="N84" s="29" t="str">
        <f>IFERROR(VLOOKUP(10*tblRiskRegister32[[#This Row],[Safeguard Maturity Score]]+tblRiskRegister32[[#This Row],[VCDB Index]],tblHITIndexWeightTable[],4,FALSE),"")</f>
        <v/>
      </c>
      <c r="O84" s="29" t="str">
        <f>VLOOKUP(tblRiskRegister32[[#This Row],[Asset Class]],tblInherentImpacts30[],2,FALSE)</f>
        <v/>
      </c>
      <c r="P84" s="29">
        <f>VLOOKUP(tblRiskRegister32[[#This Row],[Asset Class]],tblInherentImpacts30[],3,FALSE)</f>
        <v>0</v>
      </c>
      <c r="Q84" s="29">
        <f>VLOOKUP(tblRiskRegister32[[#This Row],[Asset Class]],tblInherentImpacts30[],4,FALSE)</f>
        <v>0</v>
      </c>
      <c r="R84" s="29">
        <f>VLOOKUP(tblRiskRegister32[[#This Row],[Asset Class]],tblInherentImpacts30[],5,FALSE)</f>
        <v>0</v>
      </c>
      <c r="S84" s="29" t="str">
        <f>IFERROR(MAX(tblRiskRegister32[[#This Row],[Impact to Mission]:[Impact to Obligations]])*tblRiskRegister32[[#This Row],[Expectancy Score]],"")</f>
        <v/>
      </c>
      <c r="T84" s="29" t="str">
        <f>tblRiskRegister32[[#This Row],[Risk Score]]</f>
        <v/>
      </c>
      <c r="U84" s="100"/>
      <c r="V84" s="112">
        <v>10.4</v>
      </c>
      <c r="W84" s="44" t="s">
        <v>256</v>
      </c>
      <c r="X84" s="44" t="s">
        <v>488</v>
      </c>
      <c r="Y84" s="30"/>
      <c r="Z84" s="16"/>
      <c r="AA84" s="27" t="str">
        <f>IFERROR(VLOOKUP(10*tblRiskRegister32[[#This Row],[Risk Treatment Safeguard Maturity Score]]+tblRiskRegister32[[#This Row],[VCDB Index]],tblHITIndexWeightTable[],4,FALSE),"")</f>
        <v/>
      </c>
      <c r="AB84" s="138" t="str">
        <f>VLOOKUP(tblRiskRegister32[[#This Row],[Asset Class]],tblInherentImpacts30[],2,FALSE)</f>
        <v/>
      </c>
      <c r="AC84" s="138">
        <f>VLOOKUP(tblRiskRegister32[[#This Row],[Asset Class]],tblInherentImpacts30[],3,FALSE)</f>
        <v>0</v>
      </c>
      <c r="AD84" s="138">
        <f>VLOOKUP(tblRiskRegister32[[#This Row],[Asset Class]],tblInherentImpacts30[],4,FALSE)</f>
        <v>0</v>
      </c>
      <c r="AE84" s="138">
        <f>VLOOKUP(tblRiskRegister32[[#This Row],[Asset Class]],tblInherentImpacts30[],5,FALSE)</f>
        <v>0</v>
      </c>
      <c r="AF84" s="138" t="str">
        <f>IFERROR(MAX(tblRiskRegister32[[#This Row],[Risk Treatment Safeguard Impact to Mission]:[Risk Treatment Safeguard Impact to Obligations]])*tblRiskRegister32[[#This Row],[Risk Treatment
Safeguard Expectancy Score]],"")</f>
        <v/>
      </c>
      <c r="AG84" s="138" t="str">
        <f>IF(tblRiskRegister32[[#This Row],[Risk Score]]&gt;AcceptableRisk,IF(tblRiskRegister32[[#This Row],[Risk Treatment Safeguard Risk Score]]&lt;AcceptableRisk, IF(tblRiskRegister32[[#This Row],[Risk Treatment Safeguard Risk Score]]&lt;=tblRiskRegister32[[#This Row],[Risk Score]],"Yes","No"),"No"),"Yes")</f>
        <v>No</v>
      </c>
      <c r="AH84" s="18"/>
      <c r="AI84" s="18"/>
      <c r="AJ84" s="19"/>
    </row>
    <row r="85" spans="2:36" ht="51" x14ac:dyDescent="0.2">
      <c r="B85" s="44" t="s">
        <v>131</v>
      </c>
      <c r="C85" s="44"/>
      <c r="D85" s="112">
        <v>10.5</v>
      </c>
      <c r="E85" s="14" t="s">
        <v>257</v>
      </c>
      <c r="F85" s="17"/>
      <c r="G85" s="17" t="s">
        <v>785</v>
      </c>
      <c r="H85" s="17" t="s">
        <v>928</v>
      </c>
      <c r="I85" s="15"/>
      <c r="J85" s="15"/>
      <c r="K85" s="15"/>
      <c r="L85" s="16"/>
      <c r="M85" s="26">
        <f>IFERROR(VLOOKUP(tblRiskRegister32[[#This Row],[Asset Class]],tblVCDBIndex[],4,FALSE),"")</f>
        <v>1</v>
      </c>
      <c r="N85" s="29" t="str">
        <f>IFERROR(VLOOKUP(10*tblRiskRegister32[[#This Row],[Safeguard Maturity Score]]+tblRiskRegister32[[#This Row],[VCDB Index]],tblHITIndexWeightTable[],4,FALSE),"")</f>
        <v/>
      </c>
      <c r="O85" s="29" t="str">
        <f>VLOOKUP(tblRiskRegister32[[#This Row],[Asset Class]],tblInherentImpacts30[],2,FALSE)</f>
        <v/>
      </c>
      <c r="P85" s="29">
        <f>VLOOKUP(tblRiskRegister32[[#This Row],[Asset Class]],tblInherentImpacts30[],3,FALSE)</f>
        <v>0</v>
      </c>
      <c r="Q85" s="29">
        <f>VLOOKUP(tblRiskRegister32[[#This Row],[Asset Class]],tblInherentImpacts30[],4,FALSE)</f>
        <v>0</v>
      </c>
      <c r="R85" s="29">
        <f>VLOOKUP(tblRiskRegister32[[#This Row],[Asset Class]],tblInherentImpacts30[],5,FALSE)</f>
        <v>0</v>
      </c>
      <c r="S85" s="29" t="str">
        <f>IFERROR(MAX(tblRiskRegister32[[#This Row],[Impact to Mission]:[Impact to Obligations]])*tblRiskRegister32[[#This Row],[Expectancy Score]],"")</f>
        <v/>
      </c>
      <c r="T85" s="29" t="str">
        <f>tblRiskRegister32[[#This Row],[Risk Score]]</f>
        <v/>
      </c>
      <c r="U85" s="100"/>
      <c r="V85" s="112">
        <v>10.5</v>
      </c>
      <c r="W85" s="44" t="s">
        <v>257</v>
      </c>
      <c r="X85" s="44" t="s">
        <v>489</v>
      </c>
      <c r="Y85" s="30"/>
      <c r="Z85" s="16"/>
      <c r="AA85" s="27" t="str">
        <f>IFERROR(VLOOKUP(10*tblRiskRegister32[[#This Row],[Risk Treatment Safeguard Maturity Score]]+tblRiskRegister32[[#This Row],[VCDB Index]],tblHITIndexWeightTable[],4,FALSE),"")</f>
        <v/>
      </c>
      <c r="AB85" s="138" t="str">
        <f>VLOOKUP(tblRiskRegister32[[#This Row],[Asset Class]],tblInherentImpacts30[],2,FALSE)</f>
        <v/>
      </c>
      <c r="AC85" s="138">
        <f>VLOOKUP(tblRiskRegister32[[#This Row],[Asset Class]],tblInherentImpacts30[],3,FALSE)</f>
        <v>0</v>
      </c>
      <c r="AD85" s="138">
        <f>VLOOKUP(tblRiskRegister32[[#This Row],[Asset Class]],tblInherentImpacts30[],4,FALSE)</f>
        <v>0</v>
      </c>
      <c r="AE85" s="138">
        <f>VLOOKUP(tblRiskRegister32[[#This Row],[Asset Class]],tblInherentImpacts30[],5,FALSE)</f>
        <v>0</v>
      </c>
      <c r="AF85" s="138" t="str">
        <f>IFERROR(MAX(tblRiskRegister32[[#This Row],[Risk Treatment Safeguard Impact to Mission]:[Risk Treatment Safeguard Impact to Obligations]])*tblRiskRegister32[[#This Row],[Risk Treatment
Safeguard Expectancy Score]],"")</f>
        <v/>
      </c>
      <c r="AG85" s="138" t="str">
        <f>IF(tblRiskRegister32[[#This Row],[Risk Score]]&gt;AcceptableRisk,IF(tblRiskRegister32[[#This Row],[Risk Treatment Safeguard Risk Score]]&lt;AcceptableRisk, IF(tblRiskRegister32[[#This Row],[Risk Treatment Safeguard Risk Score]]&lt;=tblRiskRegister32[[#This Row],[Risk Score]],"Yes","No"),"No"),"Yes")</f>
        <v>No</v>
      </c>
      <c r="AH85" s="18"/>
      <c r="AI85" s="18"/>
      <c r="AJ85" s="19"/>
    </row>
    <row r="86" spans="2:36" ht="25.5" x14ac:dyDescent="0.2">
      <c r="B86" s="44" t="s">
        <v>131</v>
      </c>
      <c r="C86" s="44"/>
      <c r="D86" s="112">
        <v>10.6</v>
      </c>
      <c r="E86" s="14" t="s">
        <v>258</v>
      </c>
      <c r="F86" s="17"/>
      <c r="G86" s="17" t="s">
        <v>785</v>
      </c>
      <c r="H86" s="17" t="s">
        <v>928</v>
      </c>
      <c r="I86" s="15"/>
      <c r="J86" s="15"/>
      <c r="K86" s="15"/>
      <c r="L86" s="16"/>
      <c r="M86" s="26">
        <f>IFERROR(VLOOKUP(tblRiskRegister32[[#This Row],[Asset Class]],tblVCDBIndex[],4,FALSE),"")</f>
        <v>1</v>
      </c>
      <c r="N86" s="29" t="str">
        <f>IFERROR(VLOOKUP(10*tblRiskRegister32[[#This Row],[Safeguard Maturity Score]]+tblRiskRegister32[[#This Row],[VCDB Index]],tblHITIndexWeightTable[],4,FALSE),"")</f>
        <v/>
      </c>
      <c r="O86" s="29" t="str">
        <f>VLOOKUP(tblRiskRegister32[[#This Row],[Asset Class]],tblInherentImpacts30[],2,FALSE)</f>
        <v/>
      </c>
      <c r="P86" s="29">
        <f>VLOOKUP(tblRiskRegister32[[#This Row],[Asset Class]],tblInherentImpacts30[],3,FALSE)</f>
        <v>0</v>
      </c>
      <c r="Q86" s="29">
        <f>VLOOKUP(tblRiskRegister32[[#This Row],[Asset Class]],tblInherentImpacts30[],4,FALSE)</f>
        <v>0</v>
      </c>
      <c r="R86" s="29">
        <f>VLOOKUP(tblRiskRegister32[[#This Row],[Asset Class]],tblInherentImpacts30[],5,FALSE)</f>
        <v>0</v>
      </c>
      <c r="S86" s="29" t="str">
        <f>IFERROR(MAX(tblRiskRegister32[[#This Row],[Impact to Mission]:[Impact to Obligations]])*tblRiskRegister32[[#This Row],[Expectancy Score]],"")</f>
        <v/>
      </c>
      <c r="T86" s="29" t="str">
        <f>tblRiskRegister32[[#This Row],[Risk Score]]</f>
        <v/>
      </c>
      <c r="U86" s="100"/>
      <c r="V86" s="112">
        <v>10.6</v>
      </c>
      <c r="W86" s="44" t="s">
        <v>258</v>
      </c>
      <c r="X86" s="44" t="s">
        <v>490</v>
      </c>
      <c r="Y86" s="30"/>
      <c r="Z86" s="16"/>
      <c r="AA86" s="27" t="str">
        <f>IFERROR(VLOOKUP(10*tblRiskRegister32[[#This Row],[Risk Treatment Safeguard Maturity Score]]+tblRiskRegister32[[#This Row],[VCDB Index]],tblHITIndexWeightTable[],4,FALSE),"")</f>
        <v/>
      </c>
      <c r="AB86" s="138" t="str">
        <f>VLOOKUP(tblRiskRegister32[[#This Row],[Asset Class]],tblInherentImpacts30[],2,FALSE)</f>
        <v/>
      </c>
      <c r="AC86" s="138">
        <f>VLOOKUP(tblRiskRegister32[[#This Row],[Asset Class]],tblInherentImpacts30[],3,FALSE)</f>
        <v>0</v>
      </c>
      <c r="AD86" s="138">
        <f>VLOOKUP(tblRiskRegister32[[#This Row],[Asset Class]],tblInherentImpacts30[],4,FALSE)</f>
        <v>0</v>
      </c>
      <c r="AE86" s="138">
        <f>VLOOKUP(tblRiskRegister32[[#This Row],[Asset Class]],tblInherentImpacts30[],5,FALSE)</f>
        <v>0</v>
      </c>
      <c r="AF86" s="138" t="str">
        <f>IFERROR(MAX(tblRiskRegister32[[#This Row],[Risk Treatment Safeguard Impact to Mission]:[Risk Treatment Safeguard Impact to Obligations]])*tblRiskRegister32[[#This Row],[Risk Treatment
Safeguard Expectancy Score]],"")</f>
        <v/>
      </c>
      <c r="AG86" s="138" t="str">
        <f>IF(tblRiskRegister32[[#This Row],[Risk Score]]&gt;AcceptableRisk,IF(tblRiskRegister32[[#This Row],[Risk Treatment Safeguard Risk Score]]&lt;AcceptableRisk, IF(tblRiskRegister32[[#This Row],[Risk Treatment Safeguard Risk Score]]&lt;=tblRiskRegister32[[#This Row],[Risk Score]],"Yes","No"),"No"),"Yes")</f>
        <v>No</v>
      </c>
      <c r="AH86" s="18"/>
      <c r="AI86" s="18"/>
      <c r="AJ86" s="19"/>
    </row>
    <row r="87" spans="2:36" ht="25.5" x14ac:dyDescent="0.2">
      <c r="B87" s="44" t="s">
        <v>131</v>
      </c>
      <c r="C87" s="44"/>
      <c r="D87" s="112">
        <v>10.7</v>
      </c>
      <c r="E87" s="14" t="s">
        <v>259</v>
      </c>
      <c r="F87" s="17"/>
      <c r="G87" s="17" t="s">
        <v>785</v>
      </c>
      <c r="H87" s="17" t="s">
        <v>929</v>
      </c>
      <c r="I87" s="15"/>
      <c r="J87" s="15"/>
      <c r="K87" s="15"/>
      <c r="L87" s="16"/>
      <c r="M87" s="26">
        <f>IFERROR(VLOOKUP(tblRiskRegister32[[#This Row],[Asset Class]],tblVCDBIndex[],4,FALSE),"")</f>
        <v>1</v>
      </c>
      <c r="N87" s="29" t="str">
        <f>IFERROR(VLOOKUP(10*tblRiskRegister32[[#This Row],[Safeguard Maturity Score]]+tblRiskRegister32[[#This Row],[VCDB Index]],tblHITIndexWeightTable[],4,FALSE),"")</f>
        <v/>
      </c>
      <c r="O87" s="29" t="str">
        <f>VLOOKUP(tblRiskRegister32[[#This Row],[Asset Class]],tblInherentImpacts30[],2,FALSE)</f>
        <v/>
      </c>
      <c r="P87" s="29">
        <f>VLOOKUP(tblRiskRegister32[[#This Row],[Asset Class]],tblInherentImpacts30[],3,FALSE)</f>
        <v>0</v>
      </c>
      <c r="Q87" s="29">
        <f>VLOOKUP(tblRiskRegister32[[#This Row],[Asset Class]],tblInherentImpacts30[],4,FALSE)</f>
        <v>0</v>
      </c>
      <c r="R87" s="29">
        <f>VLOOKUP(tblRiskRegister32[[#This Row],[Asset Class]],tblInherentImpacts30[],5,FALSE)</f>
        <v>0</v>
      </c>
      <c r="S87" s="29" t="str">
        <f>IFERROR(MAX(tblRiskRegister32[[#This Row],[Impact to Mission]:[Impact to Obligations]])*tblRiskRegister32[[#This Row],[Expectancy Score]],"")</f>
        <v/>
      </c>
      <c r="T87" s="29" t="str">
        <f>tblRiskRegister32[[#This Row],[Risk Score]]</f>
        <v/>
      </c>
      <c r="U87" s="100"/>
      <c r="V87" s="112">
        <v>10.7</v>
      </c>
      <c r="W87" s="44" t="s">
        <v>259</v>
      </c>
      <c r="X87" s="44" t="s">
        <v>491</v>
      </c>
      <c r="Y87" s="30"/>
      <c r="Z87" s="16"/>
      <c r="AA87" s="27" t="str">
        <f>IFERROR(VLOOKUP(10*tblRiskRegister32[[#This Row],[Risk Treatment Safeguard Maturity Score]]+tblRiskRegister32[[#This Row],[VCDB Index]],tblHITIndexWeightTable[],4,FALSE),"")</f>
        <v/>
      </c>
      <c r="AB87" s="138" t="str">
        <f>VLOOKUP(tblRiskRegister32[[#This Row],[Asset Class]],tblInherentImpacts30[],2,FALSE)</f>
        <v/>
      </c>
      <c r="AC87" s="138">
        <f>VLOOKUP(tblRiskRegister32[[#This Row],[Asset Class]],tblInherentImpacts30[],3,FALSE)</f>
        <v>0</v>
      </c>
      <c r="AD87" s="138">
        <f>VLOOKUP(tblRiskRegister32[[#This Row],[Asset Class]],tblInherentImpacts30[],4,FALSE)</f>
        <v>0</v>
      </c>
      <c r="AE87" s="138">
        <f>VLOOKUP(tblRiskRegister32[[#This Row],[Asset Class]],tblInherentImpacts30[],5,FALSE)</f>
        <v>0</v>
      </c>
      <c r="AF87" s="138" t="str">
        <f>IFERROR(MAX(tblRiskRegister32[[#This Row],[Risk Treatment Safeguard Impact to Mission]:[Risk Treatment Safeguard Impact to Obligations]])*tblRiskRegister32[[#This Row],[Risk Treatment
Safeguard Expectancy Score]],"")</f>
        <v/>
      </c>
      <c r="AG87" s="138" t="str">
        <f>IF(tblRiskRegister32[[#This Row],[Risk Score]]&gt;AcceptableRisk,IF(tblRiskRegister32[[#This Row],[Risk Treatment Safeguard Risk Score]]&lt;AcceptableRisk, IF(tblRiskRegister32[[#This Row],[Risk Treatment Safeguard Risk Score]]&lt;=tblRiskRegister32[[#This Row],[Risk Score]],"Yes","No"),"No"),"Yes")</f>
        <v>No</v>
      </c>
      <c r="AH87" s="18"/>
      <c r="AI87" s="18"/>
      <c r="AJ87" s="19"/>
    </row>
    <row r="88" spans="2:36" ht="51" x14ac:dyDescent="0.2">
      <c r="B88" s="15" t="s">
        <v>130</v>
      </c>
      <c r="C88" s="15"/>
      <c r="D88" s="100">
        <v>11.1</v>
      </c>
      <c r="E88" s="14" t="s">
        <v>113</v>
      </c>
      <c r="F88" s="17" t="s">
        <v>785</v>
      </c>
      <c r="G88" s="17" t="s">
        <v>785</v>
      </c>
      <c r="H88" s="17" t="s">
        <v>931</v>
      </c>
      <c r="I88" s="15"/>
      <c r="J88" s="15"/>
      <c r="K88" s="15"/>
      <c r="L88" s="16"/>
      <c r="M88" s="26">
        <f>IFERROR(VLOOKUP(tblRiskRegister32[[#This Row],[Asset Class]],tblVCDBIndex[],4,FALSE),"")</f>
        <v>3</v>
      </c>
      <c r="N88" s="26" t="str">
        <f>IFERROR(VLOOKUP(10*tblRiskRegister32[[#This Row],[Safeguard Maturity Score]]+tblRiskRegister32[[#This Row],[VCDB Index]],tblHITIndexWeightTable[],4,FALSE),"")</f>
        <v/>
      </c>
      <c r="O88" s="26" t="str">
        <f>VLOOKUP(tblRiskRegister32[[#This Row],[Asset Class]],tblInherentImpacts30[],2,FALSE)</f>
        <v/>
      </c>
      <c r="P88" s="26">
        <f>VLOOKUP(tblRiskRegister32[[#This Row],[Asset Class]],tblInherentImpacts30[],3,FALSE)</f>
        <v>0</v>
      </c>
      <c r="Q88" s="26">
        <f>VLOOKUP(tblRiskRegister32[[#This Row],[Asset Class]],tblInherentImpacts30[],4,FALSE)</f>
        <v>0</v>
      </c>
      <c r="R88" s="26">
        <f>VLOOKUP(tblRiskRegister32[[#This Row],[Asset Class]],tblInherentImpacts30[],5,FALSE)</f>
        <v>0</v>
      </c>
      <c r="S88" s="26" t="str">
        <f>IFERROR(MAX(tblRiskRegister32[[#This Row],[Impact to Mission]:[Impact to Obligations]])*tblRiskRegister32[[#This Row],[Expectancy Score]],"")</f>
        <v/>
      </c>
      <c r="T88" s="26" t="str">
        <f>tblRiskRegister32[[#This Row],[Risk Score]]</f>
        <v/>
      </c>
      <c r="U88" s="100"/>
      <c r="V88" s="100">
        <v>11.1</v>
      </c>
      <c r="W88" s="15" t="s">
        <v>113</v>
      </c>
      <c r="X88" s="15" t="s">
        <v>492</v>
      </c>
      <c r="Y88" s="15"/>
      <c r="Z88" s="16"/>
      <c r="AA88" s="27" t="str">
        <f>IFERROR(VLOOKUP(10*tblRiskRegister32[[#This Row],[Risk Treatment Safeguard Maturity Score]]+tblRiskRegister32[[#This Row],[VCDB Index]],tblHITIndexWeightTable[],4,FALSE),"")</f>
        <v/>
      </c>
      <c r="AB88" s="138" t="str">
        <f>VLOOKUP(tblRiskRegister32[[#This Row],[Asset Class]],tblInherentImpacts30[],2,FALSE)</f>
        <v/>
      </c>
      <c r="AC88" s="138">
        <f>VLOOKUP(tblRiskRegister32[[#This Row],[Asset Class]],tblInherentImpacts30[],3,FALSE)</f>
        <v>0</v>
      </c>
      <c r="AD88" s="138">
        <f>VLOOKUP(tblRiskRegister32[[#This Row],[Asset Class]],tblInherentImpacts30[],4,FALSE)</f>
        <v>0</v>
      </c>
      <c r="AE88" s="138">
        <f>VLOOKUP(tblRiskRegister32[[#This Row],[Asset Class]],tblInherentImpacts30[],5,FALSE)</f>
        <v>0</v>
      </c>
      <c r="AF88" s="138" t="str">
        <f>IFERROR(MAX(tblRiskRegister32[[#This Row],[Risk Treatment Safeguard Impact to Mission]:[Risk Treatment Safeguard Impact to Obligations]])*tblRiskRegister32[[#This Row],[Risk Treatment
Safeguard Expectancy Score]],"")</f>
        <v/>
      </c>
      <c r="AG88" s="138" t="str">
        <f>IF(tblRiskRegister32[[#This Row],[Risk Score]]&gt;AcceptableRisk,IF(tblRiskRegister32[[#This Row],[Risk Treatment Safeguard Risk Score]]&lt;AcceptableRisk, IF(tblRiskRegister32[[#This Row],[Risk Treatment Safeguard Risk Score]]&lt;=tblRiskRegister32[[#This Row],[Risk Score]],"Yes","No"),"No"),"Yes")</f>
        <v>No</v>
      </c>
      <c r="AH88" s="18"/>
      <c r="AI88" s="18"/>
      <c r="AJ88" s="19"/>
    </row>
    <row r="89" spans="2:36" ht="25.5" x14ac:dyDescent="0.2">
      <c r="B89" s="15" t="s">
        <v>130</v>
      </c>
      <c r="C89" s="15"/>
      <c r="D89" s="100">
        <v>11.2</v>
      </c>
      <c r="E89" s="14" t="s">
        <v>114</v>
      </c>
      <c r="F89" s="17" t="s">
        <v>785</v>
      </c>
      <c r="G89" s="17" t="s">
        <v>785</v>
      </c>
      <c r="H89" s="17" t="s">
        <v>931</v>
      </c>
      <c r="I89" s="15"/>
      <c r="J89" s="15"/>
      <c r="K89" s="15"/>
      <c r="L89" s="16"/>
      <c r="M89" s="26">
        <f>IFERROR(VLOOKUP(tblRiskRegister32[[#This Row],[Asset Class]],tblVCDBIndex[],4,FALSE),"")</f>
        <v>3</v>
      </c>
      <c r="N89" s="26" t="str">
        <f>IFERROR(VLOOKUP(10*tblRiskRegister32[[#This Row],[Safeguard Maturity Score]]+tblRiskRegister32[[#This Row],[VCDB Index]],tblHITIndexWeightTable[],4,FALSE),"")</f>
        <v/>
      </c>
      <c r="O89" s="26" t="str">
        <f>VLOOKUP(tblRiskRegister32[[#This Row],[Asset Class]],tblInherentImpacts30[],2,FALSE)</f>
        <v/>
      </c>
      <c r="P89" s="26">
        <f>VLOOKUP(tblRiskRegister32[[#This Row],[Asset Class]],tblInherentImpacts30[],3,FALSE)</f>
        <v>0</v>
      </c>
      <c r="Q89" s="26">
        <f>VLOOKUP(tblRiskRegister32[[#This Row],[Asset Class]],tblInherentImpacts30[],4,FALSE)</f>
        <v>0</v>
      </c>
      <c r="R89" s="26">
        <f>VLOOKUP(tblRiskRegister32[[#This Row],[Asset Class]],tblInherentImpacts30[],5,FALSE)</f>
        <v>0</v>
      </c>
      <c r="S89" s="26" t="str">
        <f>IFERROR(MAX(tblRiskRegister32[[#This Row],[Impact to Mission]:[Impact to Obligations]])*tblRiskRegister32[[#This Row],[Expectancy Score]],"")</f>
        <v/>
      </c>
      <c r="T89" s="26" t="str">
        <f>tblRiskRegister32[[#This Row],[Risk Score]]</f>
        <v/>
      </c>
      <c r="U89" s="100"/>
      <c r="V89" s="100">
        <v>11.2</v>
      </c>
      <c r="W89" s="15" t="s">
        <v>114</v>
      </c>
      <c r="X89" s="15" t="s">
        <v>493</v>
      </c>
      <c r="Y89" s="15"/>
      <c r="Z89" s="16"/>
      <c r="AA89" s="27" t="str">
        <f>IFERROR(VLOOKUP(10*tblRiskRegister32[[#This Row],[Risk Treatment Safeguard Maturity Score]]+tblRiskRegister32[[#This Row],[VCDB Index]],tblHITIndexWeightTable[],4,FALSE),"")</f>
        <v/>
      </c>
      <c r="AB89" s="138" t="str">
        <f>VLOOKUP(tblRiskRegister32[[#This Row],[Asset Class]],tblInherentImpacts30[],2,FALSE)</f>
        <v/>
      </c>
      <c r="AC89" s="138">
        <f>VLOOKUP(tblRiskRegister32[[#This Row],[Asset Class]],tblInherentImpacts30[],3,FALSE)</f>
        <v>0</v>
      </c>
      <c r="AD89" s="138">
        <f>VLOOKUP(tblRiskRegister32[[#This Row],[Asset Class]],tblInherentImpacts30[],4,FALSE)</f>
        <v>0</v>
      </c>
      <c r="AE89" s="138">
        <f>VLOOKUP(tblRiskRegister32[[#This Row],[Asset Class]],tblInherentImpacts30[],5,FALSE)</f>
        <v>0</v>
      </c>
      <c r="AF89" s="138" t="str">
        <f>IFERROR(MAX(tblRiskRegister32[[#This Row],[Risk Treatment Safeguard Impact to Mission]:[Risk Treatment Safeguard Impact to Obligations]])*tblRiskRegister32[[#This Row],[Risk Treatment
Safeguard Expectancy Score]],"")</f>
        <v/>
      </c>
      <c r="AG89" s="138" t="str">
        <f>IF(tblRiskRegister32[[#This Row],[Risk Score]]&gt;AcceptableRisk,IF(tblRiskRegister32[[#This Row],[Risk Treatment Safeguard Risk Score]]&lt;AcceptableRisk, IF(tblRiskRegister32[[#This Row],[Risk Treatment Safeguard Risk Score]]&lt;=tblRiskRegister32[[#This Row],[Risk Score]],"Yes","No"),"No"),"Yes")</f>
        <v>No</v>
      </c>
      <c r="AH89" s="18"/>
      <c r="AI89" s="18"/>
      <c r="AJ89" s="19"/>
    </row>
    <row r="90" spans="2:36" ht="25.5" x14ac:dyDescent="0.2">
      <c r="B90" s="15" t="s">
        <v>130</v>
      </c>
      <c r="C90" s="15"/>
      <c r="D90" s="100">
        <v>11.3</v>
      </c>
      <c r="E90" s="14" t="s">
        <v>115</v>
      </c>
      <c r="F90" s="17" t="s">
        <v>785</v>
      </c>
      <c r="G90" s="17" t="s">
        <v>785</v>
      </c>
      <c r="H90" s="17" t="s">
        <v>928</v>
      </c>
      <c r="I90" s="15"/>
      <c r="J90" s="15"/>
      <c r="K90" s="15"/>
      <c r="L90" s="16"/>
      <c r="M90" s="26">
        <f>IFERROR(VLOOKUP(tblRiskRegister32[[#This Row],[Asset Class]],tblVCDBIndex[],4,FALSE),"")</f>
        <v>3</v>
      </c>
      <c r="N90" s="26" t="str">
        <f>IFERROR(VLOOKUP(10*tblRiskRegister32[[#This Row],[Safeguard Maturity Score]]+tblRiskRegister32[[#This Row],[VCDB Index]],tblHITIndexWeightTable[],4,FALSE),"")</f>
        <v/>
      </c>
      <c r="O90" s="26" t="str">
        <f>VLOOKUP(tblRiskRegister32[[#This Row],[Asset Class]],tblInherentImpacts30[],2,FALSE)</f>
        <v/>
      </c>
      <c r="P90" s="26">
        <f>VLOOKUP(tblRiskRegister32[[#This Row],[Asset Class]],tblInherentImpacts30[],3,FALSE)</f>
        <v>0</v>
      </c>
      <c r="Q90" s="26">
        <f>VLOOKUP(tblRiskRegister32[[#This Row],[Asset Class]],tblInherentImpacts30[],4,FALSE)</f>
        <v>0</v>
      </c>
      <c r="R90" s="26">
        <f>VLOOKUP(tblRiskRegister32[[#This Row],[Asset Class]],tblInherentImpacts30[],5,FALSE)</f>
        <v>0</v>
      </c>
      <c r="S90" s="26" t="str">
        <f>IFERROR(MAX(tblRiskRegister32[[#This Row],[Impact to Mission]:[Impact to Obligations]])*tblRiskRegister32[[#This Row],[Expectancy Score]],"")</f>
        <v/>
      </c>
      <c r="T90" s="26" t="str">
        <f>tblRiskRegister32[[#This Row],[Risk Score]]</f>
        <v/>
      </c>
      <c r="U90" s="100"/>
      <c r="V90" s="100">
        <v>11.3</v>
      </c>
      <c r="W90" s="15" t="s">
        <v>115</v>
      </c>
      <c r="X90" s="15" t="s">
        <v>494</v>
      </c>
      <c r="Y90" s="15"/>
      <c r="Z90" s="16"/>
      <c r="AA90" s="27" t="str">
        <f>IFERROR(VLOOKUP(10*tblRiskRegister32[[#This Row],[Risk Treatment Safeguard Maturity Score]]+tblRiskRegister32[[#This Row],[VCDB Index]],tblHITIndexWeightTable[],4,FALSE),"")</f>
        <v/>
      </c>
      <c r="AB90" s="138" t="str">
        <f>VLOOKUP(tblRiskRegister32[[#This Row],[Asset Class]],tblInherentImpacts30[],2,FALSE)</f>
        <v/>
      </c>
      <c r="AC90" s="138">
        <f>VLOOKUP(tblRiskRegister32[[#This Row],[Asset Class]],tblInherentImpacts30[],3,FALSE)</f>
        <v>0</v>
      </c>
      <c r="AD90" s="138">
        <f>VLOOKUP(tblRiskRegister32[[#This Row],[Asset Class]],tblInherentImpacts30[],4,FALSE)</f>
        <v>0</v>
      </c>
      <c r="AE90" s="138">
        <f>VLOOKUP(tblRiskRegister32[[#This Row],[Asset Class]],tblInherentImpacts30[],5,FALSE)</f>
        <v>0</v>
      </c>
      <c r="AF90" s="138" t="str">
        <f>IFERROR(MAX(tblRiskRegister32[[#This Row],[Risk Treatment Safeguard Impact to Mission]:[Risk Treatment Safeguard Impact to Obligations]])*tblRiskRegister32[[#This Row],[Risk Treatment
Safeguard Expectancy Score]],"")</f>
        <v/>
      </c>
      <c r="AG90" s="138" t="str">
        <f>IF(tblRiskRegister32[[#This Row],[Risk Score]]&gt;AcceptableRisk,IF(tblRiskRegister32[[#This Row],[Risk Treatment Safeguard Risk Score]]&lt;AcceptableRisk, IF(tblRiskRegister32[[#This Row],[Risk Treatment Safeguard Risk Score]]&lt;=tblRiskRegister32[[#This Row],[Risk Score]],"Yes","No"),"No"),"Yes")</f>
        <v>No</v>
      </c>
      <c r="AH90" s="18"/>
      <c r="AI90" s="18"/>
      <c r="AJ90" s="19"/>
    </row>
    <row r="91" spans="2:36" ht="38.25" x14ac:dyDescent="0.2">
      <c r="B91" s="15" t="s">
        <v>130</v>
      </c>
      <c r="C91" s="15"/>
      <c r="D91" s="100">
        <v>11.4</v>
      </c>
      <c r="E91" s="14" t="s">
        <v>116</v>
      </c>
      <c r="F91" s="17" t="s">
        <v>785</v>
      </c>
      <c r="G91" s="17" t="s">
        <v>785</v>
      </c>
      <c r="H91" s="17" t="s">
        <v>931</v>
      </c>
      <c r="I91" s="15"/>
      <c r="J91" s="15"/>
      <c r="K91" s="15"/>
      <c r="L91" s="16"/>
      <c r="M91" s="26">
        <f>IFERROR(VLOOKUP(tblRiskRegister32[[#This Row],[Asset Class]],tblVCDBIndex[],4,FALSE),"")</f>
        <v>3</v>
      </c>
      <c r="N91" s="26" t="str">
        <f>IFERROR(VLOOKUP(10*tblRiskRegister32[[#This Row],[Safeguard Maturity Score]]+tblRiskRegister32[[#This Row],[VCDB Index]],tblHITIndexWeightTable[],4,FALSE),"")</f>
        <v/>
      </c>
      <c r="O91" s="26" t="str">
        <f>VLOOKUP(tblRiskRegister32[[#This Row],[Asset Class]],tblInherentImpacts30[],2,FALSE)</f>
        <v/>
      </c>
      <c r="P91" s="26">
        <f>VLOOKUP(tblRiskRegister32[[#This Row],[Asset Class]],tblInherentImpacts30[],3,FALSE)</f>
        <v>0</v>
      </c>
      <c r="Q91" s="26">
        <f>VLOOKUP(tblRiskRegister32[[#This Row],[Asset Class]],tblInherentImpacts30[],4,FALSE)</f>
        <v>0</v>
      </c>
      <c r="R91" s="26">
        <f>VLOOKUP(tblRiskRegister32[[#This Row],[Asset Class]],tblInherentImpacts30[],5,FALSE)</f>
        <v>0</v>
      </c>
      <c r="S91" s="26" t="str">
        <f>IFERROR(MAX(tblRiskRegister32[[#This Row],[Impact to Mission]:[Impact to Obligations]])*tblRiskRegister32[[#This Row],[Expectancy Score]],"")</f>
        <v/>
      </c>
      <c r="T91" s="26" t="str">
        <f>tblRiskRegister32[[#This Row],[Risk Score]]</f>
        <v/>
      </c>
      <c r="U91" s="100"/>
      <c r="V91" s="100">
        <v>11.4</v>
      </c>
      <c r="W91" s="15" t="s">
        <v>116</v>
      </c>
      <c r="X91" s="15" t="s">
        <v>495</v>
      </c>
      <c r="Y91" s="15"/>
      <c r="Z91" s="16"/>
      <c r="AA91" s="27" t="str">
        <f>IFERROR(VLOOKUP(10*tblRiskRegister32[[#This Row],[Risk Treatment Safeguard Maturity Score]]+tblRiskRegister32[[#This Row],[VCDB Index]],tblHITIndexWeightTable[],4,FALSE),"")</f>
        <v/>
      </c>
      <c r="AB91" s="138" t="str">
        <f>VLOOKUP(tblRiskRegister32[[#This Row],[Asset Class]],tblInherentImpacts30[],2,FALSE)</f>
        <v/>
      </c>
      <c r="AC91" s="138">
        <f>VLOOKUP(tblRiskRegister32[[#This Row],[Asset Class]],tblInherentImpacts30[],3,FALSE)</f>
        <v>0</v>
      </c>
      <c r="AD91" s="138">
        <f>VLOOKUP(tblRiskRegister32[[#This Row],[Asset Class]],tblInherentImpacts30[],4,FALSE)</f>
        <v>0</v>
      </c>
      <c r="AE91" s="138">
        <f>VLOOKUP(tblRiskRegister32[[#This Row],[Asset Class]],tblInherentImpacts30[],5,FALSE)</f>
        <v>0</v>
      </c>
      <c r="AF91" s="138" t="str">
        <f>IFERROR(MAX(tblRiskRegister32[[#This Row],[Risk Treatment Safeguard Impact to Mission]:[Risk Treatment Safeguard Impact to Obligations]])*tblRiskRegister32[[#This Row],[Risk Treatment
Safeguard Expectancy Score]],"")</f>
        <v/>
      </c>
      <c r="AG91" s="138" t="str">
        <f>IF(tblRiskRegister32[[#This Row],[Risk Score]]&gt;AcceptableRisk,IF(tblRiskRegister32[[#This Row],[Risk Treatment Safeguard Risk Score]]&lt;AcceptableRisk, IF(tblRiskRegister32[[#This Row],[Risk Treatment Safeguard Risk Score]]&lt;=tblRiskRegister32[[#This Row],[Risk Score]],"Yes","No"),"No"),"Yes")</f>
        <v>No</v>
      </c>
      <c r="AH91" s="18"/>
      <c r="AI91" s="18"/>
      <c r="AJ91" s="19"/>
    </row>
    <row r="92" spans="2:36" ht="25.5" x14ac:dyDescent="0.2">
      <c r="B92" s="15" t="s">
        <v>130</v>
      </c>
      <c r="C92" s="15"/>
      <c r="D92" s="100">
        <v>11.5</v>
      </c>
      <c r="E92" s="14" t="s">
        <v>248</v>
      </c>
      <c r="F92" s="17"/>
      <c r="G92" s="17" t="s">
        <v>785</v>
      </c>
      <c r="H92" s="17" t="s">
        <v>931</v>
      </c>
      <c r="I92" s="15"/>
      <c r="J92" s="15"/>
      <c r="K92" s="15"/>
      <c r="L92" s="16"/>
      <c r="M92" s="26">
        <f>IFERROR(VLOOKUP(tblRiskRegister32[[#This Row],[Asset Class]],tblVCDBIndex[],4,FALSE),"")</f>
        <v>3</v>
      </c>
      <c r="N92" s="26" t="str">
        <f>IFERROR(VLOOKUP(10*tblRiskRegister32[[#This Row],[Safeguard Maturity Score]]+tblRiskRegister32[[#This Row],[VCDB Index]],tblHITIndexWeightTable[],4,FALSE),"")</f>
        <v/>
      </c>
      <c r="O92" s="26" t="str">
        <f>VLOOKUP(tblRiskRegister32[[#This Row],[Asset Class]],tblInherentImpacts30[],2,FALSE)</f>
        <v/>
      </c>
      <c r="P92" s="26">
        <f>VLOOKUP(tblRiskRegister32[[#This Row],[Asset Class]],tblInherentImpacts30[],3,FALSE)</f>
        <v>0</v>
      </c>
      <c r="Q92" s="26">
        <f>VLOOKUP(tblRiskRegister32[[#This Row],[Asset Class]],tblInherentImpacts30[],4,FALSE)</f>
        <v>0</v>
      </c>
      <c r="R92" s="26">
        <f>VLOOKUP(tblRiskRegister32[[#This Row],[Asset Class]],tblInherentImpacts30[],5,FALSE)</f>
        <v>0</v>
      </c>
      <c r="S92" s="26" t="str">
        <f>IFERROR(MAX(tblRiskRegister32[[#This Row],[Impact to Mission]:[Impact to Obligations]])*tblRiskRegister32[[#This Row],[Expectancy Score]],"")</f>
        <v/>
      </c>
      <c r="T92" s="26" t="str">
        <f>tblRiskRegister32[[#This Row],[Risk Score]]</f>
        <v/>
      </c>
      <c r="U92" s="100"/>
      <c r="V92" s="100">
        <v>11.5</v>
      </c>
      <c r="W92" s="15" t="s">
        <v>248</v>
      </c>
      <c r="X92" s="15" t="s">
        <v>496</v>
      </c>
      <c r="Y92" s="15"/>
      <c r="Z92" s="16"/>
      <c r="AA92" s="27" t="str">
        <f>IFERROR(VLOOKUP(10*tblRiskRegister32[[#This Row],[Risk Treatment Safeguard Maturity Score]]+tblRiskRegister32[[#This Row],[VCDB Index]],tblHITIndexWeightTable[],4,FALSE),"")</f>
        <v/>
      </c>
      <c r="AB92" s="138" t="str">
        <f>VLOOKUP(tblRiskRegister32[[#This Row],[Asset Class]],tblInherentImpacts30[],2,FALSE)</f>
        <v/>
      </c>
      <c r="AC92" s="138">
        <f>VLOOKUP(tblRiskRegister32[[#This Row],[Asset Class]],tblInherentImpacts30[],3,FALSE)</f>
        <v>0</v>
      </c>
      <c r="AD92" s="138">
        <f>VLOOKUP(tblRiskRegister32[[#This Row],[Asset Class]],tblInherentImpacts30[],4,FALSE)</f>
        <v>0</v>
      </c>
      <c r="AE92" s="138">
        <f>VLOOKUP(tblRiskRegister32[[#This Row],[Asset Class]],tblInherentImpacts30[],5,FALSE)</f>
        <v>0</v>
      </c>
      <c r="AF92" s="138" t="str">
        <f>IFERROR(MAX(tblRiskRegister32[[#This Row],[Risk Treatment Safeguard Impact to Mission]:[Risk Treatment Safeguard Impact to Obligations]])*tblRiskRegister32[[#This Row],[Risk Treatment
Safeguard Expectancy Score]],"")</f>
        <v/>
      </c>
      <c r="AG92" s="138" t="str">
        <f>IF(tblRiskRegister32[[#This Row],[Risk Score]]&gt;AcceptableRisk,IF(tblRiskRegister32[[#This Row],[Risk Treatment Safeguard Risk Score]]&lt;AcceptableRisk, IF(tblRiskRegister32[[#This Row],[Risk Treatment Safeguard Risk Score]]&lt;=tblRiskRegister32[[#This Row],[Risk Score]],"Yes","No"),"No"),"Yes")</f>
        <v>No</v>
      </c>
      <c r="AH92" s="18"/>
      <c r="AI92" s="18"/>
      <c r="AJ92" s="19"/>
    </row>
    <row r="93" spans="2:36" ht="51" x14ac:dyDescent="0.2">
      <c r="B93" s="44" t="s">
        <v>133</v>
      </c>
      <c r="C93" s="44"/>
      <c r="D93" s="112">
        <v>12.1</v>
      </c>
      <c r="E93" s="14" t="s">
        <v>117</v>
      </c>
      <c r="F93" s="17" t="s">
        <v>785</v>
      </c>
      <c r="G93" s="17" t="s">
        <v>785</v>
      </c>
      <c r="H93" s="17" t="s">
        <v>928</v>
      </c>
      <c r="I93" s="15"/>
      <c r="J93" s="15"/>
      <c r="K93" s="15"/>
      <c r="L93" s="16"/>
      <c r="M93" s="26">
        <f>IFERROR(VLOOKUP(tblRiskRegister32[[#This Row],[Asset Class]],tblVCDBIndex[],4,FALSE),"")</f>
        <v>1</v>
      </c>
      <c r="N93" s="29" t="str">
        <f>IFERROR(VLOOKUP(10*tblRiskRegister32[[#This Row],[Safeguard Maturity Score]]+tblRiskRegister32[[#This Row],[VCDB Index]],tblHITIndexWeightTable[],4,FALSE),"")</f>
        <v/>
      </c>
      <c r="O93" s="29" t="str">
        <f>VLOOKUP(tblRiskRegister32[[#This Row],[Asset Class]],tblInherentImpacts30[],2,FALSE)</f>
        <v/>
      </c>
      <c r="P93" s="29">
        <f>VLOOKUP(tblRiskRegister32[[#This Row],[Asset Class]],tblInherentImpacts30[],3,FALSE)</f>
        <v>0</v>
      </c>
      <c r="Q93" s="29">
        <f>VLOOKUP(tblRiskRegister32[[#This Row],[Asset Class]],tblInherentImpacts30[],4,FALSE)</f>
        <v>0</v>
      </c>
      <c r="R93" s="29">
        <f>VLOOKUP(tblRiskRegister32[[#This Row],[Asset Class]],tblInherentImpacts30[],5,FALSE)</f>
        <v>0</v>
      </c>
      <c r="S93" s="29" t="str">
        <f>IFERROR(MAX(tblRiskRegister32[[#This Row],[Impact to Mission]:[Impact to Obligations]])*tblRiskRegister32[[#This Row],[Expectancy Score]],"")</f>
        <v/>
      </c>
      <c r="T93" s="29" t="str">
        <f>tblRiskRegister32[[#This Row],[Risk Score]]</f>
        <v/>
      </c>
      <c r="U93" s="100"/>
      <c r="V93" s="112">
        <v>12.1</v>
      </c>
      <c r="W93" s="44" t="s">
        <v>117</v>
      </c>
      <c r="X93" s="44" t="s">
        <v>497</v>
      </c>
      <c r="Y93" s="30"/>
      <c r="Z93" s="16"/>
      <c r="AA93" s="27" t="str">
        <f>IFERROR(VLOOKUP(10*tblRiskRegister32[[#This Row],[Risk Treatment Safeguard Maturity Score]]+tblRiskRegister32[[#This Row],[VCDB Index]],tblHITIndexWeightTable[],4,FALSE),"")</f>
        <v/>
      </c>
      <c r="AB93" s="138" t="str">
        <f>VLOOKUP(tblRiskRegister32[[#This Row],[Asset Class]],tblInherentImpacts30[],2,FALSE)</f>
        <v/>
      </c>
      <c r="AC93" s="138">
        <f>VLOOKUP(tblRiskRegister32[[#This Row],[Asset Class]],tblInherentImpacts30[],3,FALSE)</f>
        <v>0</v>
      </c>
      <c r="AD93" s="138">
        <f>VLOOKUP(tblRiskRegister32[[#This Row],[Asset Class]],tblInherentImpacts30[],4,FALSE)</f>
        <v>0</v>
      </c>
      <c r="AE93" s="138">
        <f>VLOOKUP(tblRiskRegister32[[#This Row],[Asset Class]],tblInherentImpacts30[],5,FALSE)</f>
        <v>0</v>
      </c>
      <c r="AF93" s="138" t="str">
        <f>IFERROR(MAX(tblRiskRegister32[[#This Row],[Risk Treatment Safeguard Impact to Mission]:[Risk Treatment Safeguard Impact to Obligations]])*tblRiskRegister32[[#This Row],[Risk Treatment
Safeguard Expectancy Score]],"")</f>
        <v/>
      </c>
      <c r="AG93" s="138" t="str">
        <f>IF(tblRiskRegister32[[#This Row],[Risk Score]]&gt;AcceptableRisk,IF(tblRiskRegister32[[#This Row],[Risk Treatment Safeguard Risk Score]]&lt;AcceptableRisk, IF(tblRiskRegister32[[#This Row],[Risk Treatment Safeguard Risk Score]]&lt;=tblRiskRegister32[[#This Row],[Risk Score]],"Yes","No"),"No"),"Yes")</f>
        <v>No</v>
      </c>
      <c r="AH93" s="18"/>
      <c r="AI93" s="18"/>
      <c r="AJ93" s="19"/>
    </row>
    <row r="94" spans="2:36" ht="38.25" x14ac:dyDescent="0.2">
      <c r="B94" s="44" t="s">
        <v>133</v>
      </c>
      <c r="C94" s="44"/>
      <c r="D94" s="112">
        <v>12.2</v>
      </c>
      <c r="E94" s="14" t="s">
        <v>284</v>
      </c>
      <c r="F94" s="17"/>
      <c r="G94" s="17" t="s">
        <v>785</v>
      </c>
      <c r="H94" s="17" t="s">
        <v>928</v>
      </c>
      <c r="I94" s="15"/>
      <c r="J94" s="15"/>
      <c r="K94" s="15"/>
      <c r="L94" s="16"/>
      <c r="M94" s="26">
        <f>IFERROR(VLOOKUP(tblRiskRegister32[[#This Row],[Asset Class]],tblVCDBIndex[],4,FALSE),"")</f>
        <v>1</v>
      </c>
      <c r="N94" s="29" t="str">
        <f>IFERROR(VLOOKUP(10*tblRiskRegister32[[#This Row],[Safeguard Maturity Score]]+tblRiskRegister32[[#This Row],[VCDB Index]],tblHITIndexWeightTable[],4,FALSE),"")</f>
        <v/>
      </c>
      <c r="O94" s="29" t="str">
        <f>VLOOKUP(tblRiskRegister32[[#This Row],[Asset Class]],tblInherentImpacts30[],2,FALSE)</f>
        <v/>
      </c>
      <c r="P94" s="29">
        <f>VLOOKUP(tblRiskRegister32[[#This Row],[Asset Class]],tblInherentImpacts30[],3,FALSE)</f>
        <v>0</v>
      </c>
      <c r="Q94" s="29">
        <f>VLOOKUP(tblRiskRegister32[[#This Row],[Asset Class]],tblInherentImpacts30[],4,FALSE)</f>
        <v>0</v>
      </c>
      <c r="R94" s="29">
        <f>VLOOKUP(tblRiskRegister32[[#This Row],[Asset Class]],tblInherentImpacts30[],5,FALSE)</f>
        <v>0</v>
      </c>
      <c r="S94" s="29" t="str">
        <f>IFERROR(MAX(tblRiskRegister32[[#This Row],[Impact to Mission]:[Impact to Obligations]])*tblRiskRegister32[[#This Row],[Expectancy Score]],"")</f>
        <v/>
      </c>
      <c r="T94" s="29" t="str">
        <f>tblRiskRegister32[[#This Row],[Risk Score]]</f>
        <v/>
      </c>
      <c r="U94" s="100"/>
      <c r="V94" s="112">
        <v>12.2</v>
      </c>
      <c r="W94" s="44" t="s">
        <v>284</v>
      </c>
      <c r="X94" s="44" t="s">
        <v>498</v>
      </c>
      <c r="Y94" s="30"/>
      <c r="Z94" s="16"/>
      <c r="AA94" s="27" t="str">
        <f>IFERROR(VLOOKUP(10*tblRiskRegister32[[#This Row],[Risk Treatment Safeguard Maturity Score]]+tblRiskRegister32[[#This Row],[VCDB Index]],tblHITIndexWeightTable[],4,FALSE),"")</f>
        <v/>
      </c>
      <c r="AB94" s="138" t="str">
        <f>VLOOKUP(tblRiskRegister32[[#This Row],[Asset Class]],tblInherentImpacts30[],2,FALSE)</f>
        <v/>
      </c>
      <c r="AC94" s="138">
        <f>VLOOKUP(tblRiskRegister32[[#This Row],[Asset Class]],tblInherentImpacts30[],3,FALSE)</f>
        <v>0</v>
      </c>
      <c r="AD94" s="138">
        <f>VLOOKUP(tblRiskRegister32[[#This Row],[Asset Class]],tblInherentImpacts30[],4,FALSE)</f>
        <v>0</v>
      </c>
      <c r="AE94" s="138">
        <f>VLOOKUP(tblRiskRegister32[[#This Row],[Asset Class]],tblInherentImpacts30[],5,FALSE)</f>
        <v>0</v>
      </c>
      <c r="AF94" s="138" t="str">
        <f>IFERROR(MAX(tblRiskRegister32[[#This Row],[Risk Treatment Safeguard Impact to Mission]:[Risk Treatment Safeguard Impact to Obligations]])*tblRiskRegister32[[#This Row],[Risk Treatment
Safeguard Expectancy Score]],"")</f>
        <v/>
      </c>
      <c r="AG94" s="138" t="str">
        <f>IF(tblRiskRegister32[[#This Row],[Risk Score]]&gt;AcceptableRisk,IF(tblRiskRegister32[[#This Row],[Risk Treatment Safeguard Risk Score]]&lt;AcceptableRisk, IF(tblRiskRegister32[[#This Row],[Risk Treatment Safeguard Risk Score]]&lt;=tblRiskRegister32[[#This Row],[Risk Score]],"Yes","No"),"No"),"Yes")</f>
        <v>No</v>
      </c>
      <c r="AH94" s="18"/>
      <c r="AI94" s="18"/>
      <c r="AJ94" s="19"/>
    </row>
    <row r="95" spans="2:36" ht="38.25" x14ac:dyDescent="0.2">
      <c r="B95" s="44" t="s">
        <v>133</v>
      </c>
      <c r="C95" s="44"/>
      <c r="D95" s="112">
        <v>12.3</v>
      </c>
      <c r="E95" s="14" t="s">
        <v>285</v>
      </c>
      <c r="F95" s="17"/>
      <c r="G95" s="17" t="s">
        <v>785</v>
      </c>
      <c r="H95" s="17" t="s">
        <v>928</v>
      </c>
      <c r="I95" s="15"/>
      <c r="J95" s="15"/>
      <c r="K95" s="15"/>
      <c r="L95" s="16"/>
      <c r="M95" s="26">
        <f>IFERROR(VLOOKUP(tblRiskRegister32[[#This Row],[Asset Class]],tblVCDBIndex[],4,FALSE),"")</f>
        <v>1</v>
      </c>
      <c r="N95" s="29" t="str">
        <f>IFERROR(VLOOKUP(10*tblRiskRegister32[[#This Row],[Safeguard Maturity Score]]+tblRiskRegister32[[#This Row],[VCDB Index]],tblHITIndexWeightTable[],4,FALSE),"")</f>
        <v/>
      </c>
      <c r="O95" s="29" t="str">
        <f>VLOOKUP(tblRiskRegister32[[#This Row],[Asset Class]],tblInherentImpacts30[],2,FALSE)</f>
        <v/>
      </c>
      <c r="P95" s="29">
        <f>VLOOKUP(tblRiskRegister32[[#This Row],[Asset Class]],tblInherentImpacts30[],3,FALSE)</f>
        <v>0</v>
      </c>
      <c r="Q95" s="29">
        <f>VLOOKUP(tblRiskRegister32[[#This Row],[Asset Class]],tblInherentImpacts30[],4,FALSE)</f>
        <v>0</v>
      </c>
      <c r="R95" s="29">
        <f>VLOOKUP(tblRiskRegister32[[#This Row],[Asset Class]],tblInherentImpacts30[],5,FALSE)</f>
        <v>0</v>
      </c>
      <c r="S95" s="29" t="str">
        <f>IFERROR(MAX(tblRiskRegister32[[#This Row],[Impact to Mission]:[Impact to Obligations]])*tblRiskRegister32[[#This Row],[Expectancy Score]],"")</f>
        <v/>
      </c>
      <c r="T95" s="29" t="str">
        <f>tblRiskRegister32[[#This Row],[Risk Score]]</f>
        <v/>
      </c>
      <c r="U95" s="100"/>
      <c r="V95" s="112">
        <v>12.3</v>
      </c>
      <c r="W95" s="44" t="s">
        <v>285</v>
      </c>
      <c r="X95" s="44" t="s">
        <v>499</v>
      </c>
      <c r="Y95" s="30"/>
      <c r="Z95" s="16"/>
      <c r="AA95" s="27" t="str">
        <f>IFERROR(VLOOKUP(10*tblRiskRegister32[[#This Row],[Risk Treatment Safeguard Maturity Score]]+tblRiskRegister32[[#This Row],[VCDB Index]],tblHITIndexWeightTable[],4,FALSE),"")</f>
        <v/>
      </c>
      <c r="AB95" s="138" t="str">
        <f>VLOOKUP(tblRiskRegister32[[#This Row],[Asset Class]],tblInherentImpacts30[],2,FALSE)</f>
        <v/>
      </c>
      <c r="AC95" s="138">
        <f>VLOOKUP(tblRiskRegister32[[#This Row],[Asset Class]],tblInherentImpacts30[],3,FALSE)</f>
        <v>0</v>
      </c>
      <c r="AD95" s="138">
        <f>VLOOKUP(tblRiskRegister32[[#This Row],[Asset Class]],tblInherentImpacts30[],4,FALSE)</f>
        <v>0</v>
      </c>
      <c r="AE95" s="138">
        <f>VLOOKUP(tblRiskRegister32[[#This Row],[Asset Class]],tblInherentImpacts30[],5,FALSE)</f>
        <v>0</v>
      </c>
      <c r="AF95" s="138" t="str">
        <f>IFERROR(MAX(tblRiskRegister32[[#This Row],[Risk Treatment Safeguard Impact to Mission]:[Risk Treatment Safeguard Impact to Obligations]])*tblRiskRegister32[[#This Row],[Risk Treatment
Safeguard Expectancy Score]],"")</f>
        <v/>
      </c>
      <c r="AG95" s="138" t="str">
        <f>IF(tblRiskRegister32[[#This Row],[Risk Score]]&gt;AcceptableRisk,IF(tblRiskRegister32[[#This Row],[Risk Treatment Safeguard Risk Score]]&lt;AcceptableRisk, IF(tblRiskRegister32[[#This Row],[Risk Treatment Safeguard Risk Score]]&lt;=tblRiskRegister32[[#This Row],[Risk Score]],"Yes","No"),"No"),"Yes")</f>
        <v>No</v>
      </c>
      <c r="AH95" s="18"/>
      <c r="AI95" s="18"/>
      <c r="AJ95" s="19"/>
    </row>
    <row r="96" spans="2:36" ht="38.25" x14ac:dyDescent="0.2">
      <c r="B96" s="44" t="s">
        <v>133</v>
      </c>
      <c r="C96" s="44"/>
      <c r="D96" s="112">
        <v>12.4</v>
      </c>
      <c r="E96" s="14" t="s">
        <v>286</v>
      </c>
      <c r="F96" s="17"/>
      <c r="G96" s="17" t="s">
        <v>785</v>
      </c>
      <c r="H96" s="17" t="s">
        <v>926</v>
      </c>
      <c r="I96" s="15"/>
      <c r="J96" s="15"/>
      <c r="K96" s="15"/>
      <c r="L96" s="16"/>
      <c r="M96" s="26">
        <f>IFERROR(VLOOKUP(tblRiskRegister32[[#This Row],[Asset Class]],tblVCDBIndex[],4,FALSE),"")</f>
        <v>1</v>
      </c>
      <c r="N96" s="29" t="str">
        <f>IFERROR(VLOOKUP(10*tblRiskRegister32[[#This Row],[Safeguard Maturity Score]]+tblRiskRegister32[[#This Row],[VCDB Index]],tblHITIndexWeightTable[],4,FALSE),"")</f>
        <v/>
      </c>
      <c r="O96" s="29" t="str">
        <f>VLOOKUP(tblRiskRegister32[[#This Row],[Asset Class]],tblInherentImpacts30[],2,FALSE)</f>
        <v/>
      </c>
      <c r="P96" s="29">
        <f>VLOOKUP(tblRiskRegister32[[#This Row],[Asset Class]],tblInherentImpacts30[],3,FALSE)</f>
        <v>0</v>
      </c>
      <c r="Q96" s="29">
        <f>VLOOKUP(tblRiskRegister32[[#This Row],[Asset Class]],tblInherentImpacts30[],4,FALSE)</f>
        <v>0</v>
      </c>
      <c r="R96" s="29">
        <f>VLOOKUP(tblRiskRegister32[[#This Row],[Asset Class]],tblInherentImpacts30[],5,FALSE)</f>
        <v>0</v>
      </c>
      <c r="S96" s="29" t="str">
        <f>IFERROR(MAX(tblRiskRegister32[[#This Row],[Impact to Mission]:[Impact to Obligations]])*tblRiskRegister32[[#This Row],[Expectancy Score]],"")</f>
        <v/>
      </c>
      <c r="T96" s="29" t="str">
        <f>tblRiskRegister32[[#This Row],[Risk Score]]</f>
        <v/>
      </c>
      <c r="U96" s="100"/>
      <c r="V96" s="112">
        <v>12.4</v>
      </c>
      <c r="W96" s="44" t="s">
        <v>286</v>
      </c>
      <c r="X96" s="44" t="s">
        <v>500</v>
      </c>
      <c r="Y96" s="30"/>
      <c r="Z96" s="16"/>
      <c r="AA96" s="27" t="str">
        <f>IFERROR(VLOOKUP(10*tblRiskRegister32[[#This Row],[Risk Treatment Safeguard Maturity Score]]+tblRiskRegister32[[#This Row],[VCDB Index]],tblHITIndexWeightTable[],4,FALSE),"")</f>
        <v/>
      </c>
      <c r="AB96" s="138" t="str">
        <f>VLOOKUP(tblRiskRegister32[[#This Row],[Asset Class]],tblInherentImpacts30[],2,FALSE)</f>
        <v/>
      </c>
      <c r="AC96" s="138">
        <f>VLOOKUP(tblRiskRegister32[[#This Row],[Asset Class]],tblInherentImpacts30[],3,FALSE)</f>
        <v>0</v>
      </c>
      <c r="AD96" s="138">
        <f>VLOOKUP(tblRiskRegister32[[#This Row],[Asset Class]],tblInherentImpacts30[],4,FALSE)</f>
        <v>0</v>
      </c>
      <c r="AE96" s="138">
        <f>VLOOKUP(tblRiskRegister32[[#This Row],[Asset Class]],tblInherentImpacts30[],5,FALSE)</f>
        <v>0</v>
      </c>
      <c r="AF96" s="138" t="str">
        <f>IFERROR(MAX(tblRiskRegister32[[#This Row],[Risk Treatment Safeguard Impact to Mission]:[Risk Treatment Safeguard Impact to Obligations]])*tblRiskRegister32[[#This Row],[Risk Treatment
Safeguard Expectancy Score]],"")</f>
        <v/>
      </c>
      <c r="AG96" s="138" t="str">
        <f>IF(tblRiskRegister32[[#This Row],[Risk Score]]&gt;AcceptableRisk,IF(tblRiskRegister32[[#This Row],[Risk Treatment Safeguard Risk Score]]&lt;AcceptableRisk, IF(tblRiskRegister32[[#This Row],[Risk Treatment Safeguard Risk Score]]&lt;=tblRiskRegister32[[#This Row],[Risk Score]],"Yes","No"),"No"),"Yes")</f>
        <v>No</v>
      </c>
      <c r="AH96" s="18"/>
      <c r="AI96" s="18"/>
      <c r="AJ96" s="19"/>
    </row>
    <row r="97" spans="2:36" ht="38.25" x14ac:dyDescent="0.2">
      <c r="B97" s="44" t="s">
        <v>133</v>
      </c>
      <c r="C97" s="44"/>
      <c r="D97" s="112">
        <v>12.5</v>
      </c>
      <c r="E97" s="14" t="s">
        <v>287</v>
      </c>
      <c r="F97" s="17"/>
      <c r="G97" s="17" t="s">
        <v>785</v>
      </c>
      <c r="H97" s="17" t="s">
        <v>928</v>
      </c>
      <c r="I97" s="15"/>
      <c r="J97" s="15"/>
      <c r="K97" s="15"/>
      <c r="L97" s="16"/>
      <c r="M97" s="26">
        <f>IFERROR(VLOOKUP(tblRiskRegister32[[#This Row],[Asset Class]],tblVCDBIndex[],4,FALSE),"")</f>
        <v>1</v>
      </c>
      <c r="N97" s="29" t="str">
        <f>IFERROR(VLOOKUP(10*tblRiskRegister32[[#This Row],[Safeguard Maturity Score]]+tblRiskRegister32[[#This Row],[VCDB Index]],tblHITIndexWeightTable[],4,FALSE),"")</f>
        <v/>
      </c>
      <c r="O97" s="29" t="str">
        <f>VLOOKUP(tblRiskRegister32[[#This Row],[Asset Class]],tblInherentImpacts30[],2,FALSE)</f>
        <v/>
      </c>
      <c r="P97" s="29">
        <f>VLOOKUP(tblRiskRegister32[[#This Row],[Asset Class]],tblInherentImpacts30[],3,FALSE)</f>
        <v>0</v>
      </c>
      <c r="Q97" s="29">
        <f>VLOOKUP(tblRiskRegister32[[#This Row],[Asset Class]],tblInherentImpacts30[],4,FALSE)</f>
        <v>0</v>
      </c>
      <c r="R97" s="29">
        <f>VLOOKUP(tblRiskRegister32[[#This Row],[Asset Class]],tblInherentImpacts30[],5,FALSE)</f>
        <v>0</v>
      </c>
      <c r="S97" s="29" t="str">
        <f>IFERROR(MAX(tblRiskRegister32[[#This Row],[Impact to Mission]:[Impact to Obligations]])*tblRiskRegister32[[#This Row],[Expectancy Score]],"")</f>
        <v/>
      </c>
      <c r="T97" s="29" t="str">
        <f>tblRiskRegister32[[#This Row],[Risk Score]]</f>
        <v/>
      </c>
      <c r="U97" s="100"/>
      <c r="V97" s="112">
        <v>12.5</v>
      </c>
      <c r="W97" s="44" t="s">
        <v>287</v>
      </c>
      <c r="X97" s="44" t="s">
        <v>501</v>
      </c>
      <c r="Y97" s="30"/>
      <c r="Z97" s="16"/>
      <c r="AA97" s="27" t="str">
        <f>IFERROR(VLOOKUP(10*tblRiskRegister32[[#This Row],[Risk Treatment Safeguard Maturity Score]]+tblRiskRegister32[[#This Row],[VCDB Index]],tblHITIndexWeightTable[],4,FALSE),"")</f>
        <v/>
      </c>
      <c r="AB97" s="138" t="str">
        <f>VLOOKUP(tblRiskRegister32[[#This Row],[Asset Class]],tblInherentImpacts30[],2,FALSE)</f>
        <v/>
      </c>
      <c r="AC97" s="138">
        <f>VLOOKUP(tblRiskRegister32[[#This Row],[Asset Class]],tblInherentImpacts30[],3,FALSE)</f>
        <v>0</v>
      </c>
      <c r="AD97" s="138">
        <f>VLOOKUP(tblRiskRegister32[[#This Row],[Asset Class]],tblInherentImpacts30[],4,FALSE)</f>
        <v>0</v>
      </c>
      <c r="AE97" s="138">
        <f>VLOOKUP(tblRiskRegister32[[#This Row],[Asset Class]],tblInherentImpacts30[],5,FALSE)</f>
        <v>0</v>
      </c>
      <c r="AF97" s="138" t="str">
        <f>IFERROR(MAX(tblRiskRegister32[[#This Row],[Risk Treatment Safeguard Impact to Mission]:[Risk Treatment Safeguard Impact to Obligations]])*tblRiskRegister32[[#This Row],[Risk Treatment
Safeguard Expectancy Score]],"")</f>
        <v/>
      </c>
      <c r="AG97" s="138" t="str">
        <f>IF(tblRiskRegister32[[#This Row],[Risk Score]]&gt;AcceptableRisk,IF(tblRiskRegister32[[#This Row],[Risk Treatment Safeguard Risk Score]]&lt;AcceptableRisk, IF(tblRiskRegister32[[#This Row],[Risk Treatment Safeguard Risk Score]]&lt;=tblRiskRegister32[[#This Row],[Risk Score]],"Yes","No"),"No"),"Yes")</f>
        <v>No</v>
      </c>
      <c r="AH97" s="18"/>
      <c r="AI97" s="18"/>
      <c r="AJ97" s="19"/>
    </row>
    <row r="98" spans="2:36" ht="38.25" x14ac:dyDescent="0.2">
      <c r="B98" s="44" t="s">
        <v>133</v>
      </c>
      <c r="C98" s="44"/>
      <c r="D98" s="112">
        <v>12.6</v>
      </c>
      <c r="E98" s="14" t="s">
        <v>288</v>
      </c>
      <c r="F98" s="17"/>
      <c r="G98" s="17" t="s">
        <v>785</v>
      </c>
      <c r="H98" s="17" t="s">
        <v>928</v>
      </c>
      <c r="I98" s="15"/>
      <c r="J98" s="15"/>
      <c r="K98" s="15"/>
      <c r="L98" s="16"/>
      <c r="M98" s="26">
        <f>IFERROR(VLOOKUP(tblRiskRegister32[[#This Row],[Asset Class]],tblVCDBIndex[],4,FALSE),"")</f>
        <v>1</v>
      </c>
      <c r="N98" s="29" t="str">
        <f>IFERROR(VLOOKUP(10*tblRiskRegister32[[#This Row],[Safeguard Maturity Score]]+tblRiskRegister32[[#This Row],[VCDB Index]],tblHITIndexWeightTable[],4,FALSE),"")</f>
        <v/>
      </c>
      <c r="O98" s="29" t="str">
        <f>VLOOKUP(tblRiskRegister32[[#This Row],[Asset Class]],tblInherentImpacts30[],2,FALSE)</f>
        <v/>
      </c>
      <c r="P98" s="29">
        <f>VLOOKUP(tblRiskRegister32[[#This Row],[Asset Class]],tblInherentImpacts30[],3,FALSE)</f>
        <v>0</v>
      </c>
      <c r="Q98" s="29">
        <f>VLOOKUP(tblRiskRegister32[[#This Row],[Asset Class]],tblInherentImpacts30[],4,FALSE)</f>
        <v>0</v>
      </c>
      <c r="R98" s="29">
        <f>VLOOKUP(tblRiskRegister32[[#This Row],[Asset Class]],tblInherentImpacts30[],5,FALSE)</f>
        <v>0</v>
      </c>
      <c r="S98" s="29" t="str">
        <f>IFERROR(MAX(tblRiskRegister32[[#This Row],[Impact to Mission]:[Impact to Obligations]])*tblRiskRegister32[[#This Row],[Expectancy Score]],"")</f>
        <v/>
      </c>
      <c r="T98" s="29" t="str">
        <f>tblRiskRegister32[[#This Row],[Risk Score]]</f>
        <v/>
      </c>
      <c r="U98" s="100"/>
      <c r="V98" s="112">
        <v>12.6</v>
      </c>
      <c r="W98" s="44" t="s">
        <v>288</v>
      </c>
      <c r="X98" s="44" t="s">
        <v>502</v>
      </c>
      <c r="Y98" s="30"/>
      <c r="Z98" s="16"/>
      <c r="AA98" s="27" t="str">
        <f>IFERROR(VLOOKUP(10*tblRiskRegister32[[#This Row],[Risk Treatment Safeguard Maturity Score]]+tblRiskRegister32[[#This Row],[VCDB Index]],tblHITIndexWeightTable[],4,FALSE),"")</f>
        <v/>
      </c>
      <c r="AB98" s="138" t="str">
        <f>VLOOKUP(tblRiskRegister32[[#This Row],[Asset Class]],tblInherentImpacts30[],2,FALSE)</f>
        <v/>
      </c>
      <c r="AC98" s="138">
        <f>VLOOKUP(tblRiskRegister32[[#This Row],[Asset Class]],tblInherentImpacts30[],3,FALSE)</f>
        <v>0</v>
      </c>
      <c r="AD98" s="138">
        <f>VLOOKUP(tblRiskRegister32[[#This Row],[Asset Class]],tblInherentImpacts30[],4,FALSE)</f>
        <v>0</v>
      </c>
      <c r="AE98" s="138">
        <f>VLOOKUP(tblRiskRegister32[[#This Row],[Asset Class]],tblInherentImpacts30[],5,FALSE)</f>
        <v>0</v>
      </c>
      <c r="AF98" s="138" t="str">
        <f>IFERROR(MAX(tblRiskRegister32[[#This Row],[Risk Treatment Safeguard Impact to Mission]:[Risk Treatment Safeguard Impact to Obligations]])*tblRiskRegister32[[#This Row],[Risk Treatment
Safeguard Expectancy Score]],"")</f>
        <v/>
      </c>
      <c r="AG98" s="138" t="str">
        <f>IF(tblRiskRegister32[[#This Row],[Risk Score]]&gt;AcceptableRisk,IF(tblRiskRegister32[[#This Row],[Risk Treatment Safeguard Risk Score]]&lt;AcceptableRisk, IF(tblRiskRegister32[[#This Row],[Risk Treatment Safeguard Risk Score]]&lt;=tblRiskRegister32[[#This Row],[Risk Score]],"Yes","No"),"No"),"Yes")</f>
        <v>No</v>
      </c>
      <c r="AH98" s="18"/>
      <c r="AI98" s="18"/>
      <c r="AJ98" s="19"/>
    </row>
    <row r="99" spans="2:36" ht="51" x14ac:dyDescent="0.2">
      <c r="B99" s="44" t="s">
        <v>131</v>
      </c>
      <c r="C99" s="44"/>
      <c r="D99" s="112">
        <v>12.7</v>
      </c>
      <c r="E99" s="14" t="s">
        <v>260</v>
      </c>
      <c r="F99" s="17"/>
      <c r="G99" s="17" t="s">
        <v>785</v>
      </c>
      <c r="H99" s="17" t="s">
        <v>928</v>
      </c>
      <c r="I99" s="15"/>
      <c r="J99" s="15"/>
      <c r="K99" s="15"/>
      <c r="L99" s="16"/>
      <c r="M99" s="26">
        <f>IFERROR(VLOOKUP(tblRiskRegister32[[#This Row],[Asset Class]],tblVCDBIndex[],4,FALSE),"")</f>
        <v>1</v>
      </c>
      <c r="N99" s="29" t="str">
        <f>IFERROR(VLOOKUP(10*tblRiskRegister32[[#This Row],[Safeguard Maturity Score]]+tblRiskRegister32[[#This Row],[VCDB Index]],tblHITIndexWeightTable[],4,FALSE),"")</f>
        <v/>
      </c>
      <c r="O99" s="29" t="str">
        <f>VLOOKUP(tblRiskRegister32[[#This Row],[Asset Class]],tblInherentImpacts30[],2,FALSE)</f>
        <v/>
      </c>
      <c r="P99" s="29">
        <f>VLOOKUP(tblRiskRegister32[[#This Row],[Asset Class]],tblInherentImpacts30[],3,FALSE)</f>
        <v>0</v>
      </c>
      <c r="Q99" s="29">
        <f>VLOOKUP(tblRiskRegister32[[#This Row],[Asset Class]],tblInherentImpacts30[],4,FALSE)</f>
        <v>0</v>
      </c>
      <c r="R99" s="29">
        <f>VLOOKUP(tblRiskRegister32[[#This Row],[Asset Class]],tblInherentImpacts30[],5,FALSE)</f>
        <v>0</v>
      </c>
      <c r="S99" s="29" t="str">
        <f>IFERROR(MAX(tblRiskRegister32[[#This Row],[Impact to Mission]:[Impact to Obligations]])*tblRiskRegister32[[#This Row],[Expectancy Score]],"")</f>
        <v/>
      </c>
      <c r="T99" s="29" t="str">
        <f>tblRiskRegister32[[#This Row],[Risk Score]]</f>
        <v/>
      </c>
      <c r="U99" s="100"/>
      <c r="V99" s="112">
        <v>12.7</v>
      </c>
      <c r="W99" s="44" t="s">
        <v>260</v>
      </c>
      <c r="X99" s="44" t="s">
        <v>503</v>
      </c>
      <c r="Y99" s="30"/>
      <c r="Z99" s="16"/>
      <c r="AA99" s="27" t="str">
        <f>IFERROR(VLOOKUP(10*tblRiskRegister32[[#This Row],[Risk Treatment Safeguard Maturity Score]]+tblRiskRegister32[[#This Row],[VCDB Index]],tblHITIndexWeightTable[],4,FALSE),"")</f>
        <v/>
      </c>
      <c r="AB99" s="138" t="str">
        <f>VLOOKUP(tblRiskRegister32[[#This Row],[Asset Class]],tblInherentImpacts30[],2,FALSE)</f>
        <v/>
      </c>
      <c r="AC99" s="138">
        <f>VLOOKUP(tblRiskRegister32[[#This Row],[Asset Class]],tblInherentImpacts30[],3,FALSE)</f>
        <v>0</v>
      </c>
      <c r="AD99" s="138">
        <f>VLOOKUP(tblRiskRegister32[[#This Row],[Asset Class]],tblInherentImpacts30[],4,FALSE)</f>
        <v>0</v>
      </c>
      <c r="AE99" s="138">
        <f>VLOOKUP(tblRiskRegister32[[#This Row],[Asset Class]],tblInherentImpacts30[],5,FALSE)</f>
        <v>0</v>
      </c>
      <c r="AF99" s="138" t="str">
        <f>IFERROR(MAX(tblRiskRegister32[[#This Row],[Risk Treatment Safeguard Impact to Mission]:[Risk Treatment Safeguard Impact to Obligations]])*tblRiskRegister32[[#This Row],[Risk Treatment
Safeguard Expectancy Score]],"")</f>
        <v/>
      </c>
      <c r="AG99" s="138" t="str">
        <f>IF(tblRiskRegister32[[#This Row],[Risk Score]]&gt;AcceptableRisk,IF(tblRiskRegister32[[#This Row],[Risk Treatment Safeguard Risk Score]]&lt;AcceptableRisk, IF(tblRiskRegister32[[#This Row],[Risk Treatment Safeguard Risk Score]]&lt;=tblRiskRegister32[[#This Row],[Risk Score]],"Yes","No"),"No"),"Yes")</f>
        <v>No</v>
      </c>
      <c r="AH99" s="18"/>
      <c r="AI99" s="18"/>
      <c r="AJ99" s="19"/>
    </row>
    <row r="100" spans="2:36" ht="63.75" x14ac:dyDescent="0.2">
      <c r="B100" s="44" t="s">
        <v>133</v>
      </c>
      <c r="C100" s="44"/>
      <c r="D100" s="112">
        <v>13.1</v>
      </c>
      <c r="E100" s="14" t="s">
        <v>289</v>
      </c>
      <c r="F100" s="17"/>
      <c r="G100" s="17" t="s">
        <v>785</v>
      </c>
      <c r="H100" s="17" t="s">
        <v>929</v>
      </c>
      <c r="I100" s="15"/>
      <c r="J100" s="15"/>
      <c r="K100" s="15"/>
      <c r="L100" s="16"/>
      <c r="M100" s="26">
        <f>IFERROR(VLOOKUP(tblRiskRegister32[[#This Row],[Asset Class]],tblVCDBIndex[],4,FALSE),"")</f>
        <v>1</v>
      </c>
      <c r="N100" s="29" t="str">
        <f>IFERROR(VLOOKUP(10*tblRiskRegister32[[#This Row],[Safeguard Maturity Score]]+tblRiskRegister32[[#This Row],[VCDB Index]],tblHITIndexWeightTable[],4,FALSE),"")</f>
        <v/>
      </c>
      <c r="O100" s="29" t="str">
        <f>VLOOKUP(tblRiskRegister32[[#This Row],[Asset Class]],tblInherentImpacts30[],2,FALSE)</f>
        <v/>
      </c>
      <c r="P100" s="29">
        <f>VLOOKUP(tblRiskRegister32[[#This Row],[Asset Class]],tblInherentImpacts30[],3,FALSE)</f>
        <v>0</v>
      </c>
      <c r="Q100" s="29">
        <f>VLOOKUP(tblRiskRegister32[[#This Row],[Asset Class]],tblInherentImpacts30[],4,FALSE)</f>
        <v>0</v>
      </c>
      <c r="R100" s="29">
        <f>VLOOKUP(tblRiskRegister32[[#This Row],[Asset Class]],tblInherentImpacts30[],5,FALSE)</f>
        <v>0</v>
      </c>
      <c r="S100" s="29" t="str">
        <f>IFERROR(MAX(tblRiskRegister32[[#This Row],[Impact to Mission]:[Impact to Obligations]])*tblRiskRegister32[[#This Row],[Expectancy Score]],"")</f>
        <v/>
      </c>
      <c r="T100" s="29" t="str">
        <f>tblRiskRegister32[[#This Row],[Risk Score]]</f>
        <v/>
      </c>
      <c r="U100" s="100"/>
      <c r="V100" s="112">
        <v>13.1</v>
      </c>
      <c r="W100" s="44" t="s">
        <v>289</v>
      </c>
      <c r="X100" s="44" t="s">
        <v>504</v>
      </c>
      <c r="Y100" s="30"/>
      <c r="Z100" s="16"/>
      <c r="AA100" s="27" t="str">
        <f>IFERROR(VLOOKUP(10*tblRiskRegister32[[#This Row],[Risk Treatment Safeguard Maturity Score]]+tblRiskRegister32[[#This Row],[VCDB Index]],tblHITIndexWeightTable[],4,FALSE),"")</f>
        <v/>
      </c>
      <c r="AB100" s="138" t="str">
        <f>VLOOKUP(tblRiskRegister32[[#This Row],[Asset Class]],tblInherentImpacts30[],2,FALSE)</f>
        <v/>
      </c>
      <c r="AC100" s="138">
        <f>VLOOKUP(tblRiskRegister32[[#This Row],[Asset Class]],tblInherentImpacts30[],3,FALSE)</f>
        <v>0</v>
      </c>
      <c r="AD100" s="138">
        <f>VLOOKUP(tblRiskRegister32[[#This Row],[Asset Class]],tblInherentImpacts30[],4,FALSE)</f>
        <v>0</v>
      </c>
      <c r="AE100" s="138">
        <f>VLOOKUP(tblRiskRegister32[[#This Row],[Asset Class]],tblInherentImpacts30[],5,FALSE)</f>
        <v>0</v>
      </c>
      <c r="AF100" s="138" t="str">
        <f>IFERROR(MAX(tblRiskRegister32[[#This Row],[Risk Treatment Safeguard Impact to Mission]:[Risk Treatment Safeguard Impact to Obligations]])*tblRiskRegister32[[#This Row],[Risk Treatment
Safeguard Expectancy Score]],"")</f>
        <v/>
      </c>
      <c r="AG100" s="138" t="str">
        <f>IF(tblRiskRegister32[[#This Row],[Risk Score]]&gt;AcceptableRisk,IF(tblRiskRegister32[[#This Row],[Risk Treatment Safeguard Risk Score]]&lt;AcceptableRisk, IF(tblRiskRegister32[[#This Row],[Risk Treatment Safeguard Risk Score]]&lt;=tblRiskRegister32[[#This Row],[Risk Score]],"Yes","No"),"No"),"Yes")</f>
        <v>No</v>
      </c>
      <c r="AH100" s="18"/>
      <c r="AI100" s="18"/>
      <c r="AJ100" s="19"/>
    </row>
    <row r="101" spans="2:36" ht="25.5" x14ac:dyDescent="0.2">
      <c r="B101" s="44" t="s">
        <v>131</v>
      </c>
      <c r="C101" s="44"/>
      <c r="D101" s="112">
        <v>13.2</v>
      </c>
      <c r="E101" s="14" t="s">
        <v>261</v>
      </c>
      <c r="F101" s="17"/>
      <c r="G101" s="17" t="s">
        <v>785</v>
      </c>
      <c r="H101" s="17" t="s">
        <v>929</v>
      </c>
      <c r="I101" s="15"/>
      <c r="J101" s="15"/>
      <c r="K101" s="15"/>
      <c r="L101" s="16"/>
      <c r="M101" s="26">
        <f>IFERROR(VLOOKUP(tblRiskRegister32[[#This Row],[Asset Class]],tblVCDBIndex[],4,FALSE),"")</f>
        <v>1</v>
      </c>
      <c r="N101" s="29" t="str">
        <f>IFERROR(VLOOKUP(10*tblRiskRegister32[[#This Row],[Safeguard Maturity Score]]+tblRiskRegister32[[#This Row],[VCDB Index]],tblHITIndexWeightTable[],4,FALSE),"")</f>
        <v/>
      </c>
      <c r="O101" s="29" t="str">
        <f>VLOOKUP(tblRiskRegister32[[#This Row],[Asset Class]],tblInherentImpacts30[],2,FALSE)</f>
        <v/>
      </c>
      <c r="P101" s="29">
        <f>VLOOKUP(tblRiskRegister32[[#This Row],[Asset Class]],tblInherentImpacts30[],3,FALSE)</f>
        <v>0</v>
      </c>
      <c r="Q101" s="29">
        <f>VLOOKUP(tblRiskRegister32[[#This Row],[Asset Class]],tblInherentImpacts30[],4,FALSE)</f>
        <v>0</v>
      </c>
      <c r="R101" s="29">
        <f>VLOOKUP(tblRiskRegister32[[#This Row],[Asset Class]],tblInherentImpacts30[],5,FALSE)</f>
        <v>0</v>
      </c>
      <c r="S101" s="29" t="str">
        <f>IFERROR(MAX(tblRiskRegister32[[#This Row],[Impact to Mission]:[Impact to Obligations]])*tblRiskRegister32[[#This Row],[Expectancy Score]],"")</f>
        <v/>
      </c>
      <c r="T101" s="29" t="str">
        <f>tblRiskRegister32[[#This Row],[Risk Score]]</f>
        <v/>
      </c>
      <c r="U101" s="100"/>
      <c r="V101" s="112">
        <v>13.2</v>
      </c>
      <c r="W101" s="44" t="s">
        <v>261</v>
      </c>
      <c r="X101" s="44" t="s">
        <v>505</v>
      </c>
      <c r="Y101" s="30"/>
      <c r="Z101" s="16"/>
      <c r="AA101" s="27" t="str">
        <f>IFERROR(VLOOKUP(10*tblRiskRegister32[[#This Row],[Risk Treatment Safeguard Maturity Score]]+tblRiskRegister32[[#This Row],[VCDB Index]],tblHITIndexWeightTable[],4,FALSE),"")</f>
        <v/>
      </c>
      <c r="AB101" s="138" t="str">
        <f>VLOOKUP(tblRiskRegister32[[#This Row],[Asset Class]],tblInherentImpacts30[],2,FALSE)</f>
        <v/>
      </c>
      <c r="AC101" s="138">
        <f>VLOOKUP(tblRiskRegister32[[#This Row],[Asset Class]],tblInherentImpacts30[],3,FALSE)</f>
        <v>0</v>
      </c>
      <c r="AD101" s="138">
        <f>VLOOKUP(tblRiskRegister32[[#This Row],[Asset Class]],tblInherentImpacts30[],4,FALSE)</f>
        <v>0</v>
      </c>
      <c r="AE101" s="138">
        <f>VLOOKUP(tblRiskRegister32[[#This Row],[Asset Class]],tblInherentImpacts30[],5,FALSE)</f>
        <v>0</v>
      </c>
      <c r="AF101" s="138" t="str">
        <f>IFERROR(MAX(tblRiskRegister32[[#This Row],[Risk Treatment Safeguard Impact to Mission]:[Risk Treatment Safeguard Impact to Obligations]])*tblRiskRegister32[[#This Row],[Risk Treatment
Safeguard Expectancy Score]],"")</f>
        <v/>
      </c>
      <c r="AG101" s="138" t="str">
        <f>IF(tblRiskRegister32[[#This Row],[Risk Score]]&gt;AcceptableRisk,IF(tblRiskRegister32[[#This Row],[Risk Treatment Safeguard Risk Score]]&lt;AcceptableRisk, IF(tblRiskRegister32[[#This Row],[Risk Treatment Safeguard Risk Score]]&lt;=tblRiskRegister32[[#This Row],[Risk Score]],"Yes","No"),"No"),"Yes")</f>
        <v>No</v>
      </c>
      <c r="AH101" s="18"/>
      <c r="AI101" s="18"/>
      <c r="AJ101" s="19"/>
    </row>
    <row r="102" spans="2:36" ht="38.25" x14ac:dyDescent="0.2">
      <c r="B102" s="44" t="s">
        <v>133</v>
      </c>
      <c r="C102" s="44"/>
      <c r="D102" s="112">
        <v>13.3</v>
      </c>
      <c r="E102" s="14" t="s">
        <v>290</v>
      </c>
      <c r="F102" s="17"/>
      <c r="G102" s="17" t="s">
        <v>785</v>
      </c>
      <c r="H102" s="17" t="s">
        <v>929</v>
      </c>
      <c r="I102" s="15"/>
      <c r="J102" s="15"/>
      <c r="K102" s="15"/>
      <c r="L102" s="16"/>
      <c r="M102" s="26">
        <f>IFERROR(VLOOKUP(tblRiskRegister32[[#This Row],[Asset Class]],tblVCDBIndex[],4,FALSE),"")</f>
        <v>1</v>
      </c>
      <c r="N102" s="29" t="str">
        <f>IFERROR(VLOOKUP(10*tblRiskRegister32[[#This Row],[Safeguard Maturity Score]]+tblRiskRegister32[[#This Row],[VCDB Index]],tblHITIndexWeightTable[],4,FALSE),"")</f>
        <v/>
      </c>
      <c r="O102" s="29" t="str">
        <f>VLOOKUP(tblRiskRegister32[[#This Row],[Asset Class]],tblInherentImpacts30[],2,FALSE)</f>
        <v/>
      </c>
      <c r="P102" s="29">
        <f>VLOOKUP(tblRiskRegister32[[#This Row],[Asset Class]],tblInherentImpacts30[],3,FALSE)</f>
        <v>0</v>
      </c>
      <c r="Q102" s="29">
        <f>VLOOKUP(tblRiskRegister32[[#This Row],[Asset Class]],tblInherentImpacts30[],4,FALSE)</f>
        <v>0</v>
      </c>
      <c r="R102" s="29">
        <f>VLOOKUP(tblRiskRegister32[[#This Row],[Asset Class]],tblInherentImpacts30[],5,FALSE)</f>
        <v>0</v>
      </c>
      <c r="S102" s="29" t="str">
        <f>IFERROR(MAX(tblRiskRegister32[[#This Row],[Impact to Mission]:[Impact to Obligations]])*tblRiskRegister32[[#This Row],[Expectancy Score]],"")</f>
        <v/>
      </c>
      <c r="T102" s="29" t="str">
        <f>tblRiskRegister32[[#This Row],[Risk Score]]</f>
        <v/>
      </c>
      <c r="U102" s="100"/>
      <c r="V102" s="112">
        <v>13.3</v>
      </c>
      <c r="W102" s="44" t="s">
        <v>290</v>
      </c>
      <c r="X102" s="44" t="s">
        <v>506</v>
      </c>
      <c r="Y102" s="30"/>
      <c r="Z102" s="16"/>
      <c r="AA102" s="27" t="str">
        <f>IFERROR(VLOOKUP(10*tblRiskRegister32[[#This Row],[Risk Treatment Safeguard Maturity Score]]+tblRiskRegister32[[#This Row],[VCDB Index]],tblHITIndexWeightTable[],4,FALSE),"")</f>
        <v/>
      </c>
      <c r="AB102" s="138" t="str">
        <f>VLOOKUP(tblRiskRegister32[[#This Row],[Asset Class]],tblInherentImpacts30[],2,FALSE)</f>
        <v/>
      </c>
      <c r="AC102" s="138">
        <f>VLOOKUP(tblRiskRegister32[[#This Row],[Asset Class]],tblInherentImpacts30[],3,FALSE)</f>
        <v>0</v>
      </c>
      <c r="AD102" s="138">
        <f>VLOOKUP(tblRiskRegister32[[#This Row],[Asset Class]],tblInherentImpacts30[],4,FALSE)</f>
        <v>0</v>
      </c>
      <c r="AE102" s="138">
        <f>VLOOKUP(tblRiskRegister32[[#This Row],[Asset Class]],tblInherentImpacts30[],5,FALSE)</f>
        <v>0</v>
      </c>
      <c r="AF102" s="138" t="str">
        <f>IFERROR(MAX(tblRiskRegister32[[#This Row],[Risk Treatment Safeguard Impact to Mission]:[Risk Treatment Safeguard Impact to Obligations]])*tblRiskRegister32[[#This Row],[Risk Treatment
Safeguard Expectancy Score]],"")</f>
        <v/>
      </c>
      <c r="AG102" s="138" t="str">
        <f>IF(tblRiskRegister32[[#This Row],[Risk Score]]&gt;AcceptableRisk,IF(tblRiskRegister32[[#This Row],[Risk Treatment Safeguard Risk Score]]&lt;AcceptableRisk, IF(tblRiskRegister32[[#This Row],[Risk Treatment Safeguard Risk Score]]&lt;=tblRiskRegister32[[#This Row],[Risk Score]],"Yes","No"),"No"),"Yes")</f>
        <v>No</v>
      </c>
      <c r="AH102" s="18"/>
      <c r="AI102" s="18"/>
      <c r="AJ102" s="19"/>
    </row>
    <row r="103" spans="2:36" ht="25.5" x14ac:dyDescent="0.2">
      <c r="B103" s="44" t="s">
        <v>133</v>
      </c>
      <c r="C103" s="44"/>
      <c r="D103" s="112">
        <v>13.4</v>
      </c>
      <c r="E103" s="14" t="s">
        <v>291</v>
      </c>
      <c r="F103" s="17"/>
      <c r="G103" s="17" t="s">
        <v>785</v>
      </c>
      <c r="H103" s="17" t="s">
        <v>928</v>
      </c>
      <c r="I103" s="15"/>
      <c r="J103" s="15"/>
      <c r="K103" s="15"/>
      <c r="L103" s="16"/>
      <c r="M103" s="26">
        <f>IFERROR(VLOOKUP(tblRiskRegister32[[#This Row],[Asset Class]],tblVCDBIndex[],4,FALSE),"")</f>
        <v>1</v>
      </c>
      <c r="N103" s="29" t="str">
        <f>IFERROR(VLOOKUP(10*tblRiskRegister32[[#This Row],[Safeguard Maturity Score]]+tblRiskRegister32[[#This Row],[VCDB Index]],tblHITIndexWeightTable[],4,FALSE),"")</f>
        <v/>
      </c>
      <c r="O103" s="29" t="str">
        <f>VLOOKUP(tblRiskRegister32[[#This Row],[Asset Class]],tblInherentImpacts30[],2,FALSE)</f>
        <v/>
      </c>
      <c r="P103" s="29">
        <f>VLOOKUP(tblRiskRegister32[[#This Row],[Asset Class]],tblInherentImpacts30[],3,FALSE)</f>
        <v>0</v>
      </c>
      <c r="Q103" s="29">
        <f>VLOOKUP(tblRiskRegister32[[#This Row],[Asset Class]],tblInherentImpacts30[],4,FALSE)</f>
        <v>0</v>
      </c>
      <c r="R103" s="29">
        <f>VLOOKUP(tblRiskRegister32[[#This Row],[Asset Class]],tblInherentImpacts30[],5,FALSE)</f>
        <v>0</v>
      </c>
      <c r="S103" s="29" t="str">
        <f>IFERROR(MAX(tblRiskRegister32[[#This Row],[Impact to Mission]:[Impact to Obligations]])*tblRiskRegister32[[#This Row],[Expectancy Score]],"")</f>
        <v/>
      </c>
      <c r="T103" s="29" t="str">
        <f>tblRiskRegister32[[#This Row],[Risk Score]]</f>
        <v/>
      </c>
      <c r="U103" s="100"/>
      <c r="V103" s="112">
        <v>13.4</v>
      </c>
      <c r="W103" s="44" t="s">
        <v>291</v>
      </c>
      <c r="X103" s="44" t="s">
        <v>507</v>
      </c>
      <c r="Y103" s="30"/>
      <c r="Z103" s="16"/>
      <c r="AA103" s="27" t="str">
        <f>IFERROR(VLOOKUP(10*tblRiskRegister32[[#This Row],[Risk Treatment Safeguard Maturity Score]]+tblRiskRegister32[[#This Row],[VCDB Index]],tblHITIndexWeightTable[],4,FALSE),"")</f>
        <v/>
      </c>
      <c r="AB103" s="138" t="str">
        <f>VLOOKUP(tblRiskRegister32[[#This Row],[Asset Class]],tblInherentImpacts30[],2,FALSE)</f>
        <v/>
      </c>
      <c r="AC103" s="138">
        <f>VLOOKUP(tblRiskRegister32[[#This Row],[Asset Class]],tblInherentImpacts30[],3,FALSE)</f>
        <v>0</v>
      </c>
      <c r="AD103" s="138">
        <f>VLOOKUP(tblRiskRegister32[[#This Row],[Asset Class]],tblInherentImpacts30[],4,FALSE)</f>
        <v>0</v>
      </c>
      <c r="AE103" s="138">
        <f>VLOOKUP(tblRiskRegister32[[#This Row],[Asset Class]],tblInherentImpacts30[],5,FALSE)</f>
        <v>0</v>
      </c>
      <c r="AF103" s="138" t="str">
        <f>IFERROR(MAX(tblRiskRegister32[[#This Row],[Risk Treatment Safeguard Impact to Mission]:[Risk Treatment Safeguard Impact to Obligations]])*tblRiskRegister32[[#This Row],[Risk Treatment
Safeguard Expectancy Score]],"")</f>
        <v/>
      </c>
      <c r="AG103" s="138" t="str">
        <f>IF(tblRiskRegister32[[#This Row],[Risk Score]]&gt;AcceptableRisk,IF(tblRiskRegister32[[#This Row],[Risk Treatment Safeguard Risk Score]]&lt;AcceptableRisk, IF(tblRiskRegister32[[#This Row],[Risk Treatment Safeguard Risk Score]]&lt;=tblRiskRegister32[[#This Row],[Risk Score]],"Yes","No"),"No"),"Yes")</f>
        <v>No</v>
      </c>
      <c r="AH103" s="18"/>
      <c r="AI103" s="18"/>
      <c r="AJ103" s="19"/>
    </row>
    <row r="104" spans="2:36" ht="63.75" x14ac:dyDescent="0.2">
      <c r="B104" s="44" t="s">
        <v>131</v>
      </c>
      <c r="C104" s="44"/>
      <c r="D104" s="112">
        <v>13.5</v>
      </c>
      <c r="E104" s="14" t="s">
        <v>262</v>
      </c>
      <c r="F104" s="17"/>
      <c r="G104" s="17" t="s">
        <v>785</v>
      </c>
      <c r="H104" s="17" t="s">
        <v>928</v>
      </c>
      <c r="I104" s="15"/>
      <c r="J104" s="15"/>
      <c r="K104" s="15"/>
      <c r="L104" s="16"/>
      <c r="M104" s="26">
        <f>IFERROR(VLOOKUP(tblRiskRegister32[[#This Row],[Asset Class]],tblVCDBIndex[],4,FALSE),"")</f>
        <v>1</v>
      </c>
      <c r="N104" s="29" t="str">
        <f>IFERROR(VLOOKUP(10*tblRiskRegister32[[#This Row],[Safeguard Maturity Score]]+tblRiskRegister32[[#This Row],[VCDB Index]],tblHITIndexWeightTable[],4,FALSE),"")</f>
        <v/>
      </c>
      <c r="O104" s="29" t="str">
        <f>VLOOKUP(tblRiskRegister32[[#This Row],[Asset Class]],tblInherentImpacts30[],2,FALSE)</f>
        <v/>
      </c>
      <c r="P104" s="29">
        <f>VLOOKUP(tblRiskRegister32[[#This Row],[Asset Class]],tblInherentImpacts30[],3,FALSE)</f>
        <v>0</v>
      </c>
      <c r="Q104" s="29">
        <f>VLOOKUP(tblRiskRegister32[[#This Row],[Asset Class]],tblInherentImpacts30[],4,FALSE)</f>
        <v>0</v>
      </c>
      <c r="R104" s="29">
        <f>VLOOKUP(tblRiskRegister32[[#This Row],[Asset Class]],tblInherentImpacts30[],5,FALSE)</f>
        <v>0</v>
      </c>
      <c r="S104" s="29" t="str">
        <f>IFERROR(MAX(tblRiskRegister32[[#This Row],[Impact to Mission]:[Impact to Obligations]])*tblRiskRegister32[[#This Row],[Expectancy Score]],"")</f>
        <v/>
      </c>
      <c r="T104" s="29" t="str">
        <f>tblRiskRegister32[[#This Row],[Risk Score]]</f>
        <v/>
      </c>
      <c r="U104" s="100"/>
      <c r="V104" s="112">
        <v>13.5</v>
      </c>
      <c r="W104" s="44" t="s">
        <v>262</v>
      </c>
      <c r="X104" s="44" t="s">
        <v>508</v>
      </c>
      <c r="Y104" s="30"/>
      <c r="Z104" s="16"/>
      <c r="AA104" s="27" t="str">
        <f>IFERROR(VLOOKUP(10*tblRiskRegister32[[#This Row],[Risk Treatment Safeguard Maturity Score]]+tblRiskRegister32[[#This Row],[VCDB Index]],tblHITIndexWeightTable[],4,FALSE),"")</f>
        <v/>
      </c>
      <c r="AB104" s="138" t="str">
        <f>VLOOKUP(tblRiskRegister32[[#This Row],[Asset Class]],tblInherentImpacts30[],2,FALSE)</f>
        <v/>
      </c>
      <c r="AC104" s="138">
        <f>VLOOKUP(tblRiskRegister32[[#This Row],[Asset Class]],tblInherentImpacts30[],3,FALSE)</f>
        <v>0</v>
      </c>
      <c r="AD104" s="138">
        <f>VLOOKUP(tblRiskRegister32[[#This Row],[Asset Class]],tblInherentImpacts30[],4,FALSE)</f>
        <v>0</v>
      </c>
      <c r="AE104" s="138">
        <f>VLOOKUP(tblRiskRegister32[[#This Row],[Asset Class]],tblInherentImpacts30[],5,FALSE)</f>
        <v>0</v>
      </c>
      <c r="AF104" s="138" t="str">
        <f>IFERROR(MAX(tblRiskRegister32[[#This Row],[Risk Treatment Safeguard Impact to Mission]:[Risk Treatment Safeguard Impact to Obligations]])*tblRiskRegister32[[#This Row],[Risk Treatment
Safeguard Expectancy Score]],"")</f>
        <v/>
      </c>
      <c r="AG104" s="138" t="str">
        <f>IF(tblRiskRegister32[[#This Row],[Risk Score]]&gt;AcceptableRisk,IF(tblRiskRegister32[[#This Row],[Risk Treatment Safeguard Risk Score]]&lt;AcceptableRisk, IF(tblRiskRegister32[[#This Row],[Risk Treatment Safeguard Risk Score]]&lt;=tblRiskRegister32[[#This Row],[Risk Score]],"Yes","No"),"No"),"Yes")</f>
        <v>No</v>
      </c>
      <c r="AH104" s="18"/>
      <c r="AI104" s="18"/>
      <c r="AJ104" s="19"/>
    </row>
    <row r="105" spans="2:36" ht="25.5" x14ac:dyDescent="0.2">
      <c r="B105" s="44" t="s">
        <v>133</v>
      </c>
      <c r="C105" s="44"/>
      <c r="D105" s="112">
        <v>13.6</v>
      </c>
      <c r="E105" s="14" t="s">
        <v>292</v>
      </c>
      <c r="F105" s="17"/>
      <c r="G105" s="17" t="s">
        <v>785</v>
      </c>
      <c r="H105" s="17" t="s">
        <v>929</v>
      </c>
      <c r="I105" s="15"/>
      <c r="J105" s="15"/>
      <c r="K105" s="15"/>
      <c r="L105" s="16"/>
      <c r="M105" s="26">
        <f>IFERROR(VLOOKUP(tblRiskRegister32[[#This Row],[Asset Class]],tblVCDBIndex[],4,FALSE),"")</f>
        <v>1</v>
      </c>
      <c r="N105" s="29" t="str">
        <f>IFERROR(VLOOKUP(10*tblRiskRegister32[[#This Row],[Safeguard Maturity Score]]+tblRiskRegister32[[#This Row],[VCDB Index]],tblHITIndexWeightTable[],4,FALSE),"")</f>
        <v/>
      </c>
      <c r="O105" s="29" t="str">
        <f>VLOOKUP(tblRiskRegister32[[#This Row],[Asset Class]],tblInherentImpacts30[],2,FALSE)</f>
        <v/>
      </c>
      <c r="P105" s="29">
        <f>VLOOKUP(tblRiskRegister32[[#This Row],[Asset Class]],tblInherentImpacts30[],3,FALSE)</f>
        <v>0</v>
      </c>
      <c r="Q105" s="29">
        <f>VLOOKUP(tblRiskRegister32[[#This Row],[Asset Class]],tblInherentImpacts30[],4,FALSE)</f>
        <v>0</v>
      </c>
      <c r="R105" s="29">
        <f>VLOOKUP(tblRiskRegister32[[#This Row],[Asset Class]],tblInherentImpacts30[],5,FALSE)</f>
        <v>0</v>
      </c>
      <c r="S105" s="29" t="str">
        <f>IFERROR(MAX(tblRiskRegister32[[#This Row],[Impact to Mission]:[Impact to Obligations]])*tblRiskRegister32[[#This Row],[Expectancy Score]],"")</f>
        <v/>
      </c>
      <c r="T105" s="29" t="str">
        <f>tblRiskRegister32[[#This Row],[Risk Score]]</f>
        <v/>
      </c>
      <c r="U105" s="100"/>
      <c r="V105" s="112">
        <v>13.6</v>
      </c>
      <c r="W105" s="44" t="s">
        <v>292</v>
      </c>
      <c r="X105" s="44" t="s">
        <v>509</v>
      </c>
      <c r="Y105" s="30"/>
      <c r="Z105" s="16"/>
      <c r="AA105" s="27" t="str">
        <f>IFERROR(VLOOKUP(10*tblRiskRegister32[[#This Row],[Risk Treatment Safeguard Maturity Score]]+tblRiskRegister32[[#This Row],[VCDB Index]],tblHITIndexWeightTable[],4,FALSE),"")</f>
        <v/>
      </c>
      <c r="AB105" s="138" t="str">
        <f>VLOOKUP(tblRiskRegister32[[#This Row],[Asset Class]],tblInherentImpacts30[],2,FALSE)</f>
        <v/>
      </c>
      <c r="AC105" s="138">
        <f>VLOOKUP(tblRiskRegister32[[#This Row],[Asset Class]],tblInherentImpacts30[],3,FALSE)</f>
        <v>0</v>
      </c>
      <c r="AD105" s="138">
        <f>VLOOKUP(tblRiskRegister32[[#This Row],[Asset Class]],tblInherentImpacts30[],4,FALSE)</f>
        <v>0</v>
      </c>
      <c r="AE105" s="138">
        <f>VLOOKUP(tblRiskRegister32[[#This Row],[Asset Class]],tblInherentImpacts30[],5,FALSE)</f>
        <v>0</v>
      </c>
      <c r="AF105" s="138" t="str">
        <f>IFERROR(MAX(tblRiskRegister32[[#This Row],[Risk Treatment Safeguard Impact to Mission]:[Risk Treatment Safeguard Impact to Obligations]])*tblRiskRegister32[[#This Row],[Risk Treatment
Safeguard Expectancy Score]],"")</f>
        <v/>
      </c>
      <c r="AG105" s="138" t="str">
        <f>IF(tblRiskRegister32[[#This Row],[Risk Score]]&gt;AcceptableRisk,IF(tblRiskRegister32[[#This Row],[Risk Treatment Safeguard Risk Score]]&lt;AcceptableRisk, IF(tblRiskRegister32[[#This Row],[Risk Treatment Safeguard Risk Score]]&lt;=tblRiskRegister32[[#This Row],[Risk Score]],"Yes","No"),"No"),"Yes")</f>
        <v>No</v>
      </c>
      <c r="AH105" s="18"/>
      <c r="AI105" s="18"/>
      <c r="AJ105" s="19"/>
    </row>
    <row r="106" spans="2:36" ht="63.75" x14ac:dyDescent="0.2">
      <c r="B106" s="44" t="s">
        <v>135</v>
      </c>
      <c r="C106" s="44"/>
      <c r="D106" s="112">
        <v>14.1</v>
      </c>
      <c r="E106" s="14" t="s">
        <v>118</v>
      </c>
      <c r="F106" s="17" t="s">
        <v>785</v>
      </c>
      <c r="G106" s="17" t="s">
        <v>785</v>
      </c>
      <c r="H106" s="17" t="s">
        <v>928</v>
      </c>
      <c r="I106" s="15"/>
      <c r="J106" s="15"/>
      <c r="K106" s="15"/>
      <c r="L106" s="16"/>
      <c r="M106" s="26">
        <f>IFERROR(VLOOKUP(tblRiskRegister32[[#This Row],[Asset Class]],tblVCDBIndex[],4,FALSE),"")</f>
        <v>3</v>
      </c>
      <c r="N106" s="29" t="str">
        <f>IFERROR(VLOOKUP(10*tblRiskRegister32[[#This Row],[Safeguard Maturity Score]]+tblRiskRegister32[[#This Row],[VCDB Index]],tblHITIndexWeightTable[],4,FALSE),"")</f>
        <v/>
      </c>
      <c r="O106" s="29" t="str">
        <f>VLOOKUP(tblRiskRegister32[[#This Row],[Asset Class]],tblInherentImpacts30[],2,FALSE)</f>
        <v/>
      </c>
      <c r="P106" s="29" t="str">
        <f>VLOOKUP(tblRiskRegister32[[#This Row],[Asset Class]],tblInherentImpacts30[],3,FALSE)</f>
        <v/>
      </c>
      <c r="Q106" s="29" t="str">
        <f>VLOOKUP(tblRiskRegister32[[#This Row],[Asset Class]],tblInherentImpacts30[],4,FALSE)</f>
        <v/>
      </c>
      <c r="R106" s="29" t="str">
        <f>VLOOKUP(tblRiskRegister32[[#This Row],[Asset Class]],tblInherentImpacts30[],5,FALSE)</f>
        <v/>
      </c>
      <c r="S106" s="29" t="str">
        <f>IFERROR(MAX(tblRiskRegister32[[#This Row],[Impact to Mission]:[Impact to Obligations]])*tblRiskRegister32[[#This Row],[Expectancy Score]],"")</f>
        <v/>
      </c>
      <c r="T106" s="29" t="str">
        <f>tblRiskRegister32[[#This Row],[Risk Score]]</f>
        <v/>
      </c>
      <c r="U106" s="100"/>
      <c r="V106" s="112">
        <v>14.1</v>
      </c>
      <c r="W106" s="44" t="s">
        <v>118</v>
      </c>
      <c r="X106" s="44" t="s">
        <v>510</v>
      </c>
      <c r="Y106" s="30"/>
      <c r="Z106" s="16"/>
      <c r="AA106" s="27" t="str">
        <f>IFERROR(VLOOKUP(10*tblRiskRegister32[[#This Row],[Risk Treatment Safeguard Maturity Score]]+tblRiskRegister32[[#This Row],[VCDB Index]],tblHITIndexWeightTable[],4,FALSE),"")</f>
        <v/>
      </c>
      <c r="AB106" s="138" t="str">
        <f>VLOOKUP(tblRiskRegister32[[#This Row],[Asset Class]],tblInherentImpacts30[],2,FALSE)</f>
        <v/>
      </c>
      <c r="AC106" s="138" t="str">
        <f>VLOOKUP(tblRiskRegister32[[#This Row],[Asset Class]],tblInherentImpacts30[],3,FALSE)</f>
        <v/>
      </c>
      <c r="AD106" s="138" t="str">
        <f>VLOOKUP(tblRiskRegister32[[#This Row],[Asset Class]],tblInherentImpacts30[],4,FALSE)</f>
        <v/>
      </c>
      <c r="AE106" s="138" t="str">
        <f>VLOOKUP(tblRiskRegister32[[#This Row],[Asset Class]],tblInherentImpacts30[],5,FALSE)</f>
        <v/>
      </c>
      <c r="AF106" s="138" t="str">
        <f>IFERROR(MAX(tblRiskRegister32[[#This Row],[Risk Treatment Safeguard Impact to Mission]:[Risk Treatment Safeguard Impact to Obligations]])*tblRiskRegister32[[#This Row],[Risk Treatment
Safeguard Expectancy Score]],"")</f>
        <v/>
      </c>
      <c r="AG106" s="138" t="str">
        <f>IF(tblRiskRegister32[[#This Row],[Risk Score]]&gt;AcceptableRisk,IF(tblRiskRegister32[[#This Row],[Risk Treatment Safeguard Risk Score]]&lt;AcceptableRisk, IF(tblRiskRegister32[[#This Row],[Risk Treatment Safeguard Risk Score]]&lt;=tblRiskRegister32[[#This Row],[Risk Score]],"Yes","No"),"No"),"Yes")</f>
        <v>No</v>
      </c>
      <c r="AH106" s="18"/>
      <c r="AI106" s="18"/>
      <c r="AJ106" s="19"/>
    </row>
    <row r="107" spans="2:36" ht="38.25" x14ac:dyDescent="0.2">
      <c r="B107" s="44" t="s">
        <v>135</v>
      </c>
      <c r="C107" s="44"/>
      <c r="D107" s="112">
        <v>14.2</v>
      </c>
      <c r="E107" s="14" t="s">
        <v>119</v>
      </c>
      <c r="F107" s="17" t="s">
        <v>785</v>
      </c>
      <c r="G107" s="17" t="s">
        <v>785</v>
      </c>
      <c r="H107" s="17" t="s">
        <v>928</v>
      </c>
      <c r="I107" s="15"/>
      <c r="J107" s="15"/>
      <c r="K107" s="15"/>
      <c r="L107" s="16"/>
      <c r="M107" s="26">
        <f>IFERROR(VLOOKUP(tblRiskRegister32[[#This Row],[Asset Class]],tblVCDBIndex[],4,FALSE),"")</f>
        <v>3</v>
      </c>
      <c r="N107" s="29" t="str">
        <f>IFERROR(VLOOKUP(10*tblRiskRegister32[[#This Row],[Safeguard Maturity Score]]+tblRiskRegister32[[#This Row],[VCDB Index]],tblHITIndexWeightTable[],4,FALSE),"")</f>
        <v/>
      </c>
      <c r="O107" s="29" t="str">
        <f>VLOOKUP(tblRiskRegister32[[#This Row],[Asset Class]],tblInherentImpacts30[],2,FALSE)</f>
        <v/>
      </c>
      <c r="P107" s="29" t="str">
        <f>VLOOKUP(tblRiskRegister32[[#This Row],[Asset Class]],tblInherentImpacts30[],3,FALSE)</f>
        <v/>
      </c>
      <c r="Q107" s="29" t="str">
        <f>VLOOKUP(tblRiskRegister32[[#This Row],[Asset Class]],tblInherentImpacts30[],4,FALSE)</f>
        <v/>
      </c>
      <c r="R107" s="29" t="str">
        <f>VLOOKUP(tblRiskRegister32[[#This Row],[Asset Class]],tblInherentImpacts30[],5,FALSE)</f>
        <v/>
      </c>
      <c r="S107" s="29" t="str">
        <f>IFERROR(MAX(tblRiskRegister32[[#This Row],[Impact to Mission]:[Impact to Obligations]])*tblRiskRegister32[[#This Row],[Expectancy Score]],"")</f>
        <v/>
      </c>
      <c r="T107" s="29" t="str">
        <f>tblRiskRegister32[[#This Row],[Risk Score]]</f>
        <v/>
      </c>
      <c r="U107" s="100"/>
      <c r="V107" s="112">
        <v>14.2</v>
      </c>
      <c r="W107" s="44" t="s">
        <v>119</v>
      </c>
      <c r="X107" s="44" t="s">
        <v>511</v>
      </c>
      <c r="Y107" s="30"/>
      <c r="Z107" s="16"/>
      <c r="AA107" s="27" t="str">
        <f>IFERROR(VLOOKUP(10*tblRiskRegister32[[#This Row],[Risk Treatment Safeguard Maturity Score]]+tblRiskRegister32[[#This Row],[VCDB Index]],tblHITIndexWeightTable[],4,FALSE),"")</f>
        <v/>
      </c>
      <c r="AB107" s="138" t="str">
        <f>VLOOKUP(tblRiskRegister32[[#This Row],[Asset Class]],tblInherentImpacts30[],2,FALSE)</f>
        <v/>
      </c>
      <c r="AC107" s="138" t="str">
        <f>VLOOKUP(tblRiskRegister32[[#This Row],[Asset Class]],tblInherentImpacts30[],3,FALSE)</f>
        <v/>
      </c>
      <c r="AD107" s="138" t="str">
        <f>VLOOKUP(tblRiskRegister32[[#This Row],[Asset Class]],tblInherentImpacts30[],4,FALSE)</f>
        <v/>
      </c>
      <c r="AE107" s="138" t="str">
        <f>VLOOKUP(tblRiskRegister32[[#This Row],[Asset Class]],tblInherentImpacts30[],5,FALSE)</f>
        <v/>
      </c>
      <c r="AF107" s="138" t="str">
        <f>IFERROR(MAX(tblRiskRegister32[[#This Row],[Risk Treatment Safeguard Impact to Mission]:[Risk Treatment Safeguard Impact to Obligations]])*tblRiskRegister32[[#This Row],[Risk Treatment
Safeguard Expectancy Score]],"")</f>
        <v/>
      </c>
      <c r="AG107" s="138" t="str">
        <f>IF(tblRiskRegister32[[#This Row],[Risk Score]]&gt;AcceptableRisk,IF(tblRiskRegister32[[#This Row],[Risk Treatment Safeguard Risk Score]]&lt;AcceptableRisk, IF(tblRiskRegister32[[#This Row],[Risk Treatment Safeguard Risk Score]]&lt;=tblRiskRegister32[[#This Row],[Risk Score]],"Yes","No"),"No"),"Yes")</f>
        <v>No</v>
      </c>
      <c r="AH107" s="18"/>
      <c r="AI107" s="18"/>
      <c r="AJ107" s="19"/>
    </row>
    <row r="108" spans="2:36" ht="38.25" x14ac:dyDescent="0.2">
      <c r="B108" s="44" t="s">
        <v>135</v>
      </c>
      <c r="C108" s="44"/>
      <c r="D108" s="112">
        <v>14.3</v>
      </c>
      <c r="E108" s="14" t="s">
        <v>120</v>
      </c>
      <c r="F108" s="17" t="s">
        <v>785</v>
      </c>
      <c r="G108" s="17" t="s">
        <v>785</v>
      </c>
      <c r="H108" s="17" t="s">
        <v>928</v>
      </c>
      <c r="I108" s="15"/>
      <c r="J108" s="15"/>
      <c r="K108" s="15"/>
      <c r="L108" s="16"/>
      <c r="M108" s="26">
        <f>IFERROR(VLOOKUP(tblRiskRegister32[[#This Row],[Asset Class]],tblVCDBIndex[],4,FALSE),"")</f>
        <v>3</v>
      </c>
      <c r="N108" s="29" t="str">
        <f>IFERROR(VLOOKUP(10*tblRiskRegister32[[#This Row],[Safeguard Maturity Score]]+tblRiskRegister32[[#This Row],[VCDB Index]],tblHITIndexWeightTable[],4,FALSE),"")</f>
        <v/>
      </c>
      <c r="O108" s="29" t="str">
        <f>VLOOKUP(tblRiskRegister32[[#This Row],[Asset Class]],tblInherentImpacts30[],2,FALSE)</f>
        <v/>
      </c>
      <c r="P108" s="29" t="str">
        <f>VLOOKUP(tblRiskRegister32[[#This Row],[Asset Class]],tblInherentImpacts30[],3,FALSE)</f>
        <v/>
      </c>
      <c r="Q108" s="29" t="str">
        <f>VLOOKUP(tblRiskRegister32[[#This Row],[Asset Class]],tblInherentImpacts30[],4,FALSE)</f>
        <v/>
      </c>
      <c r="R108" s="29" t="str">
        <f>VLOOKUP(tblRiskRegister32[[#This Row],[Asset Class]],tblInherentImpacts30[],5,FALSE)</f>
        <v/>
      </c>
      <c r="S108" s="29" t="str">
        <f>IFERROR(MAX(tblRiskRegister32[[#This Row],[Impact to Mission]:[Impact to Obligations]])*tblRiskRegister32[[#This Row],[Expectancy Score]],"")</f>
        <v/>
      </c>
      <c r="T108" s="29" t="str">
        <f>tblRiskRegister32[[#This Row],[Risk Score]]</f>
        <v/>
      </c>
      <c r="U108" s="100"/>
      <c r="V108" s="112">
        <v>14.3</v>
      </c>
      <c r="W108" s="44" t="s">
        <v>120</v>
      </c>
      <c r="X108" s="44" t="s">
        <v>512</v>
      </c>
      <c r="Y108" s="30"/>
      <c r="Z108" s="16"/>
      <c r="AA108" s="27" t="str">
        <f>IFERROR(VLOOKUP(10*tblRiskRegister32[[#This Row],[Risk Treatment Safeguard Maturity Score]]+tblRiskRegister32[[#This Row],[VCDB Index]],tblHITIndexWeightTable[],4,FALSE),"")</f>
        <v/>
      </c>
      <c r="AB108" s="138" t="str">
        <f>VLOOKUP(tblRiskRegister32[[#This Row],[Asset Class]],tblInherentImpacts30[],2,FALSE)</f>
        <v/>
      </c>
      <c r="AC108" s="138" t="str">
        <f>VLOOKUP(tblRiskRegister32[[#This Row],[Asset Class]],tblInherentImpacts30[],3,FALSE)</f>
        <v/>
      </c>
      <c r="AD108" s="138" t="str">
        <f>VLOOKUP(tblRiskRegister32[[#This Row],[Asset Class]],tblInherentImpacts30[],4,FALSE)</f>
        <v/>
      </c>
      <c r="AE108" s="138" t="str">
        <f>VLOOKUP(tblRiskRegister32[[#This Row],[Asset Class]],tblInherentImpacts30[],5,FALSE)</f>
        <v/>
      </c>
      <c r="AF108" s="138" t="str">
        <f>IFERROR(MAX(tblRiskRegister32[[#This Row],[Risk Treatment Safeguard Impact to Mission]:[Risk Treatment Safeguard Impact to Obligations]])*tblRiskRegister32[[#This Row],[Risk Treatment
Safeguard Expectancy Score]],"")</f>
        <v/>
      </c>
      <c r="AG108" s="138" t="str">
        <f>IF(tblRiskRegister32[[#This Row],[Risk Score]]&gt;AcceptableRisk,IF(tblRiskRegister32[[#This Row],[Risk Treatment Safeguard Risk Score]]&lt;AcceptableRisk, IF(tblRiskRegister32[[#This Row],[Risk Treatment Safeguard Risk Score]]&lt;=tblRiskRegister32[[#This Row],[Risk Score]],"Yes","No"),"No"),"Yes")</f>
        <v>No</v>
      </c>
      <c r="AH108" s="18"/>
      <c r="AI108" s="18"/>
      <c r="AJ108" s="19"/>
    </row>
    <row r="109" spans="2:36" ht="76.5" x14ac:dyDescent="0.2">
      <c r="B109" s="44" t="s">
        <v>135</v>
      </c>
      <c r="C109" s="44"/>
      <c r="D109" s="112">
        <v>14.4</v>
      </c>
      <c r="E109" s="14" t="s">
        <v>121</v>
      </c>
      <c r="F109" s="17" t="s">
        <v>785</v>
      </c>
      <c r="G109" s="17" t="s">
        <v>785</v>
      </c>
      <c r="H109" s="17" t="s">
        <v>928</v>
      </c>
      <c r="I109" s="15"/>
      <c r="J109" s="15"/>
      <c r="K109" s="15"/>
      <c r="L109" s="16"/>
      <c r="M109" s="26">
        <f>IFERROR(VLOOKUP(tblRiskRegister32[[#This Row],[Asset Class]],tblVCDBIndex[],4,FALSE),"")</f>
        <v>3</v>
      </c>
      <c r="N109" s="29" t="str">
        <f>IFERROR(VLOOKUP(10*tblRiskRegister32[[#This Row],[Safeguard Maturity Score]]+tblRiskRegister32[[#This Row],[VCDB Index]],tblHITIndexWeightTable[],4,FALSE),"")</f>
        <v/>
      </c>
      <c r="O109" s="29" t="str">
        <f>VLOOKUP(tblRiskRegister32[[#This Row],[Asset Class]],tblInherentImpacts30[],2,FALSE)</f>
        <v/>
      </c>
      <c r="P109" s="29" t="str">
        <f>VLOOKUP(tblRiskRegister32[[#This Row],[Asset Class]],tblInherentImpacts30[],3,FALSE)</f>
        <v/>
      </c>
      <c r="Q109" s="29" t="str">
        <f>VLOOKUP(tblRiskRegister32[[#This Row],[Asset Class]],tblInherentImpacts30[],4,FALSE)</f>
        <v/>
      </c>
      <c r="R109" s="29" t="str">
        <f>VLOOKUP(tblRiskRegister32[[#This Row],[Asset Class]],tblInherentImpacts30[],5,FALSE)</f>
        <v/>
      </c>
      <c r="S109" s="29" t="str">
        <f>IFERROR(MAX(tblRiskRegister32[[#This Row],[Impact to Mission]:[Impact to Obligations]])*tblRiskRegister32[[#This Row],[Expectancy Score]],"")</f>
        <v/>
      </c>
      <c r="T109" s="29" t="str">
        <f>tblRiskRegister32[[#This Row],[Risk Score]]</f>
        <v/>
      </c>
      <c r="U109" s="100"/>
      <c r="V109" s="112">
        <v>14.4</v>
      </c>
      <c r="W109" s="44" t="s">
        <v>121</v>
      </c>
      <c r="X109" s="44" t="s">
        <v>513</v>
      </c>
      <c r="Y109" s="30"/>
      <c r="Z109" s="16"/>
      <c r="AA109" s="27" t="str">
        <f>IFERROR(VLOOKUP(10*tblRiskRegister32[[#This Row],[Risk Treatment Safeguard Maturity Score]]+tblRiskRegister32[[#This Row],[VCDB Index]],tblHITIndexWeightTable[],4,FALSE),"")</f>
        <v/>
      </c>
      <c r="AB109" s="138" t="str">
        <f>VLOOKUP(tblRiskRegister32[[#This Row],[Asset Class]],tblInherentImpacts30[],2,FALSE)</f>
        <v/>
      </c>
      <c r="AC109" s="138" t="str">
        <f>VLOOKUP(tblRiskRegister32[[#This Row],[Asset Class]],tblInherentImpacts30[],3,FALSE)</f>
        <v/>
      </c>
      <c r="AD109" s="138" t="str">
        <f>VLOOKUP(tblRiskRegister32[[#This Row],[Asset Class]],tblInherentImpacts30[],4,FALSE)</f>
        <v/>
      </c>
      <c r="AE109" s="138" t="str">
        <f>VLOOKUP(tblRiskRegister32[[#This Row],[Asset Class]],tblInherentImpacts30[],5,FALSE)</f>
        <v/>
      </c>
      <c r="AF109" s="138" t="str">
        <f>IFERROR(MAX(tblRiskRegister32[[#This Row],[Risk Treatment Safeguard Impact to Mission]:[Risk Treatment Safeguard Impact to Obligations]])*tblRiskRegister32[[#This Row],[Risk Treatment
Safeguard Expectancy Score]],"")</f>
        <v/>
      </c>
      <c r="AG109" s="138" t="str">
        <f>IF(tblRiskRegister32[[#This Row],[Risk Score]]&gt;AcceptableRisk,IF(tblRiskRegister32[[#This Row],[Risk Treatment Safeguard Risk Score]]&lt;AcceptableRisk, IF(tblRiskRegister32[[#This Row],[Risk Treatment Safeguard Risk Score]]&lt;=tblRiskRegister32[[#This Row],[Risk Score]],"Yes","No"),"No"),"Yes")</f>
        <v>No</v>
      </c>
      <c r="AH109" s="18"/>
      <c r="AI109" s="18"/>
      <c r="AJ109" s="19"/>
    </row>
    <row r="110" spans="2:36" ht="38.25" x14ac:dyDescent="0.2">
      <c r="B110" s="44" t="s">
        <v>135</v>
      </c>
      <c r="C110" s="44"/>
      <c r="D110" s="112">
        <v>14.5</v>
      </c>
      <c r="E110" s="14" t="s">
        <v>122</v>
      </c>
      <c r="F110" s="17" t="s">
        <v>785</v>
      </c>
      <c r="G110" s="17" t="s">
        <v>785</v>
      </c>
      <c r="H110" s="17" t="s">
        <v>928</v>
      </c>
      <c r="I110" s="15"/>
      <c r="J110" s="15"/>
      <c r="K110" s="15"/>
      <c r="L110" s="16"/>
      <c r="M110" s="26">
        <f>IFERROR(VLOOKUP(tblRiskRegister32[[#This Row],[Asset Class]],tblVCDBIndex[],4,FALSE),"")</f>
        <v>3</v>
      </c>
      <c r="N110" s="29" t="str">
        <f>IFERROR(VLOOKUP(10*tblRiskRegister32[[#This Row],[Safeguard Maturity Score]]+tblRiskRegister32[[#This Row],[VCDB Index]],tblHITIndexWeightTable[],4,FALSE),"")</f>
        <v/>
      </c>
      <c r="O110" s="29" t="str">
        <f>VLOOKUP(tblRiskRegister32[[#This Row],[Asset Class]],tblInherentImpacts30[],2,FALSE)</f>
        <v/>
      </c>
      <c r="P110" s="29" t="str">
        <f>VLOOKUP(tblRiskRegister32[[#This Row],[Asset Class]],tblInherentImpacts30[],3,FALSE)</f>
        <v/>
      </c>
      <c r="Q110" s="29" t="str">
        <f>VLOOKUP(tblRiskRegister32[[#This Row],[Asset Class]],tblInherentImpacts30[],4,FALSE)</f>
        <v/>
      </c>
      <c r="R110" s="29" t="str">
        <f>VLOOKUP(tblRiskRegister32[[#This Row],[Asset Class]],tblInherentImpacts30[],5,FALSE)</f>
        <v/>
      </c>
      <c r="S110" s="29" t="str">
        <f>IFERROR(MAX(tblRiskRegister32[[#This Row],[Impact to Mission]:[Impact to Obligations]])*tblRiskRegister32[[#This Row],[Expectancy Score]],"")</f>
        <v/>
      </c>
      <c r="T110" s="29" t="str">
        <f>tblRiskRegister32[[#This Row],[Risk Score]]</f>
        <v/>
      </c>
      <c r="U110" s="100"/>
      <c r="V110" s="112">
        <v>14.5</v>
      </c>
      <c r="W110" s="44" t="s">
        <v>122</v>
      </c>
      <c r="X110" s="44" t="s">
        <v>514</v>
      </c>
      <c r="Y110" s="30"/>
      <c r="Z110" s="16"/>
      <c r="AA110" s="27" t="str">
        <f>IFERROR(VLOOKUP(10*tblRiskRegister32[[#This Row],[Risk Treatment Safeguard Maturity Score]]+tblRiskRegister32[[#This Row],[VCDB Index]],tblHITIndexWeightTable[],4,FALSE),"")</f>
        <v/>
      </c>
      <c r="AB110" s="138" t="str">
        <f>VLOOKUP(tblRiskRegister32[[#This Row],[Asset Class]],tblInherentImpacts30[],2,FALSE)</f>
        <v/>
      </c>
      <c r="AC110" s="138" t="str">
        <f>VLOOKUP(tblRiskRegister32[[#This Row],[Asset Class]],tblInherentImpacts30[],3,FALSE)</f>
        <v/>
      </c>
      <c r="AD110" s="138" t="str">
        <f>VLOOKUP(tblRiskRegister32[[#This Row],[Asset Class]],tblInherentImpacts30[],4,FALSE)</f>
        <v/>
      </c>
      <c r="AE110" s="138" t="str">
        <f>VLOOKUP(tblRiskRegister32[[#This Row],[Asset Class]],tblInherentImpacts30[],5,FALSE)</f>
        <v/>
      </c>
      <c r="AF110" s="138" t="str">
        <f>IFERROR(MAX(tblRiskRegister32[[#This Row],[Risk Treatment Safeguard Impact to Mission]:[Risk Treatment Safeguard Impact to Obligations]])*tblRiskRegister32[[#This Row],[Risk Treatment
Safeguard Expectancy Score]],"")</f>
        <v/>
      </c>
      <c r="AG110" s="138" t="str">
        <f>IF(tblRiskRegister32[[#This Row],[Risk Score]]&gt;AcceptableRisk,IF(tblRiskRegister32[[#This Row],[Risk Treatment Safeguard Risk Score]]&lt;AcceptableRisk, IF(tblRiskRegister32[[#This Row],[Risk Treatment Safeguard Risk Score]]&lt;=tblRiskRegister32[[#This Row],[Risk Score]],"Yes","No"),"No"),"Yes")</f>
        <v>No</v>
      </c>
      <c r="AH110" s="18"/>
      <c r="AI110" s="18"/>
      <c r="AJ110" s="19"/>
    </row>
    <row r="111" spans="2:36" ht="38.25" x14ac:dyDescent="0.2">
      <c r="B111" s="44" t="s">
        <v>135</v>
      </c>
      <c r="C111" s="44"/>
      <c r="D111" s="112">
        <v>14.6</v>
      </c>
      <c r="E111" s="14" t="s">
        <v>123</v>
      </c>
      <c r="F111" s="17" t="s">
        <v>785</v>
      </c>
      <c r="G111" s="17" t="s">
        <v>785</v>
      </c>
      <c r="H111" s="17" t="s">
        <v>928</v>
      </c>
      <c r="I111" s="15"/>
      <c r="J111" s="15"/>
      <c r="K111" s="15"/>
      <c r="L111" s="16"/>
      <c r="M111" s="26">
        <f>IFERROR(VLOOKUP(tblRiskRegister32[[#This Row],[Asset Class]],tblVCDBIndex[],4,FALSE),"")</f>
        <v>3</v>
      </c>
      <c r="N111" s="29" t="str">
        <f>IFERROR(VLOOKUP(10*tblRiskRegister32[[#This Row],[Safeguard Maturity Score]]+tblRiskRegister32[[#This Row],[VCDB Index]],tblHITIndexWeightTable[],4,FALSE),"")</f>
        <v/>
      </c>
      <c r="O111" s="29" t="str">
        <f>VLOOKUP(tblRiskRegister32[[#This Row],[Asset Class]],tblInherentImpacts30[],2,FALSE)</f>
        <v/>
      </c>
      <c r="P111" s="29" t="str">
        <f>VLOOKUP(tblRiskRegister32[[#This Row],[Asset Class]],tblInherentImpacts30[],3,FALSE)</f>
        <v/>
      </c>
      <c r="Q111" s="29" t="str">
        <f>VLOOKUP(tblRiskRegister32[[#This Row],[Asset Class]],tblInherentImpacts30[],4,FALSE)</f>
        <v/>
      </c>
      <c r="R111" s="29" t="str">
        <f>VLOOKUP(tblRiskRegister32[[#This Row],[Asset Class]],tblInherentImpacts30[],5,FALSE)</f>
        <v/>
      </c>
      <c r="S111" s="29" t="str">
        <f>IFERROR(MAX(tblRiskRegister32[[#This Row],[Impact to Mission]:[Impact to Obligations]])*tblRiskRegister32[[#This Row],[Expectancy Score]],"")</f>
        <v/>
      </c>
      <c r="T111" s="29" t="str">
        <f>tblRiskRegister32[[#This Row],[Risk Score]]</f>
        <v/>
      </c>
      <c r="U111" s="100"/>
      <c r="V111" s="112">
        <v>14.6</v>
      </c>
      <c r="W111" s="44" t="s">
        <v>123</v>
      </c>
      <c r="X111" s="44" t="s">
        <v>515</v>
      </c>
      <c r="Y111" s="30"/>
      <c r="Z111" s="16"/>
      <c r="AA111" s="27" t="str">
        <f>IFERROR(VLOOKUP(10*tblRiskRegister32[[#This Row],[Risk Treatment Safeguard Maturity Score]]+tblRiskRegister32[[#This Row],[VCDB Index]],tblHITIndexWeightTable[],4,FALSE),"")</f>
        <v/>
      </c>
      <c r="AB111" s="138" t="str">
        <f>VLOOKUP(tblRiskRegister32[[#This Row],[Asset Class]],tblInherentImpacts30[],2,FALSE)</f>
        <v/>
      </c>
      <c r="AC111" s="138" t="str">
        <f>VLOOKUP(tblRiskRegister32[[#This Row],[Asset Class]],tblInherentImpacts30[],3,FALSE)</f>
        <v/>
      </c>
      <c r="AD111" s="138" t="str">
        <f>VLOOKUP(tblRiskRegister32[[#This Row],[Asset Class]],tblInherentImpacts30[],4,FALSE)</f>
        <v/>
      </c>
      <c r="AE111" s="138" t="str">
        <f>VLOOKUP(tblRiskRegister32[[#This Row],[Asset Class]],tblInherentImpacts30[],5,FALSE)</f>
        <v/>
      </c>
      <c r="AF111" s="138" t="str">
        <f>IFERROR(MAX(tblRiskRegister32[[#This Row],[Risk Treatment Safeguard Impact to Mission]:[Risk Treatment Safeguard Impact to Obligations]])*tblRiskRegister32[[#This Row],[Risk Treatment
Safeguard Expectancy Score]],"")</f>
        <v/>
      </c>
      <c r="AG111" s="138" t="str">
        <f>IF(tblRiskRegister32[[#This Row],[Risk Score]]&gt;AcceptableRisk,IF(tblRiskRegister32[[#This Row],[Risk Treatment Safeguard Risk Score]]&lt;AcceptableRisk, IF(tblRiskRegister32[[#This Row],[Risk Treatment Safeguard Risk Score]]&lt;=tblRiskRegister32[[#This Row],[Risk Score]],"Yes","No"),"No"),"Yes")</f>
        <v>No</v>
      </c>
      <c r="AH111" s="18"/>
      <c r="AI111" s="18"/>
      <c r="AJ111" s="19"/>
    </row>
    <row r="112" spans="2:36" ht="51" x14ac:dyDescent="0.2">
      <c r="B112" s="44" t="s">
        <v>135</v>
      </c>
      <c r="C112" s="44"/>
      <c r="D112" s="112">
        <v>14.7</v>
      </c>
      <c r="E112" s="14" t="s">
        <v>124</v>
      </c>
      <c r="F112" s="17" t="s">
        <v>785</v>
      </c>
      <c r="G112" s="17" t="s">
        <v>785</v>
      </c>
      <c r="H112" s="17" t="s">
        <v>928</v>
      </c>
      <c r="I112" s="15"/>
      <c r="J112" s="15"/>
      <c r="K112" s="15"/>
      <c r="L112" s="16"/>
      <c r="M112" s="26">
        <f>IFERROR(VLOOKUP(tblRiskRegister32[[#This Row],[Asset Class]],tblVCDBIndex[],4,FALSE),"")</f>
        <v>3</v>
      </c>
      <c r="N112" s="29" t="str">
        <f>IFERROR(VLOOKUP(10*tblRiskRegister32[[#This Row],[Safeguard Maturity Score]]+tblRiskRegister32[[#This Row],[VCDB Index]],tblHITIndexWeightTable[],4,FALSE),"")</f>
        <v/>
      </c>
      <c r="O112" s="29" t="str">
        <f>VLOOKUP(tblRiskRegister32[[#This Row],[Asset Class]],tblInherentImpacts30[],2,FALSE)</f>
        <v/>
      </c>
      <c r="P112" s="29" t="str">
        <f>VLOOKUP(tblRiskRegister32[[#This Row],[Asset Class]],tblInherentImpacts30[],3,FALSE)</f>
        <v/>
      </c>
      <c r="Q112" s="29" t="str">
        <f>VLOOKUP(tblRiskRegister32[[#This Row],[Asset Class]],tblInherentImpacts30[],4,FALSE)</f>
        <v/>
      </c>
      <c r="R112" s="29" t="str">
        <f>VLOOKUP(tblRiskRegister32[[#This Row],[Asset Class]],tblInherentImpacts30[],5,FALSE)</f>
        <v/>
      </c>
      <c r="S112" s="29" t="str">
        <f>IFERROR(MAX(tblRiskRegister32[[#This Row],[Impact to Mission]:[Impact to Obligations]])*tblRiskRegister32[[#This Row],[Expectancy Score]],"")</f>
        <v/>
      </c>
      <c r="T112" s="29" t="str">
        <f>tblRiskRegister32[[#This Row],[Risk Score]]</f>
        <v/>
      </c>
      <c r="U112" s="100"/>
      <c r="V112" s="112">
        <v>14.7</v>
      </c>
      <c r="W112" s="44" t="s">
        <v>124</v>
      </c>
      <c r="X112" s="44" t="s">
        <v>516</v>
      </c>
      <c r="Y112" s="30"/>
      <c r="Z112" s="16"/>
      <c r="AA112" s="27" t="str">
        <f>IFERROR(VLOOKUP(10*tblRiskRegister32[[#This Row],[Risk Treatment Safeguard Maturity Score]]+tblRiskRegister32[[#This Row],[VCDB Index]],tblHITIndexWeightTable[],4,FALSE),"")</f>
        <v/>
      </c>
      <c r="AB112" s="138" t="str">
        <f>VLOOKUP(tblRiskRegister32[[#This Row],[Asset Class]],tblInherentImpacts30[],2,FALSE)</f>
        <v/>
      </c>
      <c r="AC112" s="138" t="str">
        <f>VLOOKUP(tblRiskRegister32[[#This Row],[Asset Class]],tblInherentImpacts30[],3,FALSE)</f>
        <v/>
      </c>
      <c r="AD112" s="138" t="str">
        <f>VLOOKUP(tblRiskRegister32[[#This Row],[Asset Class]],tblInherentImpacts30[],4,FALSE)</f>
        <v/>
      </c>
      <c r="AE112" s="138" t="str">
        <f>VLOOKUP(tblRiskRegister32[[#This Row],[Asset Class]],tblInherentImpacts30[],5,FALSE)</f>
        <v/>
      </c>
      <c r="AF112" s="138" t="str">
        <f>IFERROR(MAX(tblRiskRegister32[[#This Row],[Risk Treatment Safeguard Impact to Mission]:[Risk Treatment Safeguard Impact to Obligations]])*tblRiskRegister32[[#This Row],[Risk Treatment
Safeguard Expectancy Score]],"")</f>
        <v/>
      </c>
      <c r="AG112" s="138" t="str">
        <f>IF(tblRiskRegister32[[#This Row],[Risk Score]]&gt;AcceptableRisk,IF(tblRiskRegister32[[#This Row],[Risk Treatment Safeguard Risk Score]]&lt;AcceptableRisk, IF(tblRiskRegister32[[#This Row],[Risk Treatment Safeguard Risk Score]]&lt;=tblRiskRegister32[[#This Row],[Risk Score]],"Yes","No"),"No"),"Yes")</f>
        <v>No</v>
      </c>
      <c r="AH112" s="18"/>
      <c r="AI112" s="18"/>
      <c r="AJ112" s="19"/>
    </row>
    <row r="113" spans="2:36" ht="51" x14ac:dyDescent="0.2">
      <c r="B113" s="44" t="s">
        <v>135</v>
      </c>
      <c r="C113" s="44"/>
      <c r="D113" s="112">
        <v>14.8</v>
      </c>
      <c r="E113" s="14" t="s">
        <v>125</v>
      </c>
      <c r="F113" s="17" t="s">
        <v>785</v>
      </c>
      <c r="G113" s="17" t="s">
        <v>785</v>
      </c>
      <c r="H113" s="17" t="s">
        <v>928</v>
      </c>
      <c r="I113" s="15"/>
      <c r="J113" s="15"/>
      <c r="K113" s="15"/>
      <c r="L113" s="16"/>
      <c r="M113" s="26">
        <f>IFERROR(VLOOKUP(tblRiskRegister32[[#This Row],[Asset Class]],tblVCDBIndex[],4,FALSE),"")</f>
        <v>3</v>
      </c>
      <c r="N113" s="29" t="str">
        <f>IFERROR(VLOOKUP(10*tblRiskRegister32[[#This Row],[Safeguard Maturity Score]]+tblRiskRegister32[[#This Row],[VCDB Index]],tblHITIndexWeightTable[],4,FALSE),"")</f>
        <v/>
      </c>
      <c r="O113" s="29" t="str">
        <f>VLOOKUP(tblRiskRegister32[[#This Row],[Asset Class]],tblInherentImpacts30[],2,FALSE)</f>
        <v/>
      </c>
      <c r="P113" s="29" t="str">
        <f>VLOOKUP(tblRiskRegister32[[#This Row],[Asset Class]],tblInherentImpacts30[],3,FALSE)</f>
        <v/>
      </c>
      <c r="Q113" s="29" t="str">
        <f>VLOOKUP(tblRiskRegister32[[#This Row],[Asset Class]],tblInherentImpacts30[],4,FALSE)</f>
        <v/>
      </c>
      <c r="R113" s="29" t="str">
        <f>VLOOKUP(tblRiskRegister32[[#This Row],[Asset Class]],tblInherentImpacts30[],5,FALSE)</f>
        <v/>
      </c>
      <c r="S113" s="29" t="str">
        <f>IFERROR(MAX(tblRiskRegister32[[#This Row],[Impact to Mission]:[Impact to Obligations]])*tblRiskRegister32[[#This Row],[Expectancy Score]],"")</f>
        <v/>
      </c>
      <c r="T113" s="29" t="str">
        <f>tblRiskRegister32[[#This Row],[Risk Score]]</f>
        <v/>
      </c>
      <c r="U113" s="100"/>
      <c r="V113" s="112">
        <v>14.8</v>
      </c>
      <c r="W113" s="44" t="s">
        <v>125</v>
      </c>
      <c r="X113" s="44" t="s">
        <v>517</v>
      </c>
      <c r="Y113" s="30"/>
      <c r="Z113" s="16"/>
      <c r="AA113" s="27" t="str">
        <f>IFERROR(VLOOKUP(10*tblRiskRegister32[[#This Row],[Risk Treatment Safeguard Maturity Score]]+tblRiskRegister32[[#This Row],[VCDB Index]],tblHITIndexWeightTable[],4,FALSE),"")</f>
        <v/>
      </c>
      <c r="AB113" s="138" t="str">
        <f>VLOOKUP(tblRiskRegister32[[#This Row],[Asset Class]],tblInherentImpacts30[],2,FALSE)</f>
        <v/>
      </c>
      <c r="AC113" s="138" t="str">
        <f>VLOOKUP(tblRiskRegister32[[#This Row],[Asset Class]],tblInherentImpacts30[],3,FALSE)</f>
        <v/>
      </c>
      <c r="AD113" s="138" t="str">
        <f>VLOOKUP(tblRiskRegister32[[#This Row],[Asset Class]],tblInherentImpacts30[],4,FALSE)</f>
        <v/>
      </c>
      <c r="AE113" s="138" t="str">
        <f>VLOOKUP(tblRiskRegister32[[#This Row],[Asset Class]],tblInherentImpacts30[],5,FALSE)</f>
        <v/>
      </c>
      <c r="AF113" s="138" t="str">
        <f>IFERROR(MAX(tblRiskRegister32[[#This Row],[Risk Treatment Safeguard Impact to Mission]:[Risk Treatment Safeguard Impact to Obligations]])*tblRiskRegister32[[#This Row],[Risk Treatment
Safeguard Expectancy Score]],"")</f>
        <v/>
      </c>
      <c r="AG113" s="138" t="str">
        <f>IF(tblRiskRegister32[[#This Row],[Risk Score]]&gt;AcceptableRisk,IF(tblRiskRegister32[[#This Row],[Risk Treatment Safeguard Risk Score]]&lt;AcceptableRisk, IF(tblRiskRegister32[[#This Row],[Risk Treatment Safeguard Risk Score]]&lt;=tblRiskRegister32[[#This Row],[Risk Score]],"Yes","No"),"No"),"Yes")</f>
        <v>No</v>
      </c>
      <c r="AH113" s="18"/>
      <c r="AI113" s="18"/>
      <c r="AJ113" s="19"/>
    </row>
    <row r="114" spans="2:36" ht="63.75" x14ac:dyDescent="0.2">
      <c r="B114" s="44" t="s">
        <v>135</v>
      </c>
      <c r="C114" s="44"/>
      <c r="D114" s="112">
        <v>14.9</v>
      </c>
      <c r="E114" s="14" t="s">
        <v>263</v>
      </c>
      <c r="F114" s="17"/>
      <c r="G114" s="17" t="s">
        <v>785</v>
      </c>
      <c r="H114" s="17" t="s">
        <v>928</v>
      </c>
      <c r="I114" s="15"/>
      <c r="J114" s="15"/>
      <c r="K114" s="15"/>
      <c r="L114" s="16"/>
      <c r="M114" s="26">
        <f>IFERROR(VLOOKUP(tblRiskRegister32[[#This Row],[Asset Class]],tblVCDBIndex[],4,FALSE),"")</f>
        <v>3</v>
      </c>
      <c r="N114" s="29" t="str">
        <f>IFERROR(VLOOKUP(10*tblRiskRegister32[[#This Row],[Safeguard Maturity Score]]+tblRiskRegister32[[#This Row],[VCDB Index]],tblHITIndexWeightTable[],4,FALSE),"")</f>
        <v/>
      </c>
      <c r="O114" s="29" t="str">
        <f>VLOOKUP(tblRiskRegister32[[#This Row],[Asset Class]],tblInherentImpacts30[],2,FALSE)</f>
        <v/>
      </c>
      <c r="P114" s="29" t="str">
        <f>VLOOKUP(tblRiskRegister32[[#This Row],[Asset Class]],tblInherentImpacts30[],3,FALSE)</f>
        <v/>
      </c>
      <c r="Q114" s="29" t="str">
        <f>VLOOKUP(tblRiskRegister32[[#This Row],[Asset Class]],tblInherentImpacts30[],4,FALSE)</f>
        <v/>
      </c>
      <c r="R114" s="29" t="str">
        <f>VLOOKUP(tblRiskRegister32[[#This Row],[Asset Class]],tblInherentImpacts30[],5,FALSE)</f>
        <v/>
      </c>
      <c r="S114" s="29" t="str">
        <f>IFERROR(MAX(tblRiskRegister32[[#This Row],[Impact to Mission]:[Impact to Obligations]])*tblRiskRegister32[[#This Row],[Expectancy Score]],"")</f>
        <v/>
      </c>
      <c r="T114" s="29" t="str">
        <f>tblRiskRegister32[[#This Row],[Risk Score]]</f>
        <v/>
      </c>
      <c r="U114" s="100"/>
      <c r="V114" s="112">
        <v>14.9</v>
      </c>
      <c r="W114" s="44" t="s">
        <v>263</v>
      </c>
      <c r="X114" s="44" t="s">
        <v>518</v>
      </c>
      <c r="Y114" s="30"/>
      <c r="Z114" s="16"/>
      <c r="AA114" s="27" t="str">
        <f>IFERROR(VLOOKUP(10*tblRiskRegister32[[#This Row],[Risk Treatment Safeguard Maturity Score]]+tblRiskRegister32[[#This Row],[VCDB Index]],tblHITIndexWeightTable[],4,FALSE),"")</f>
        <v/>
      </c>
      <c r="AB114" s="138" t="str">
        <f>VLOOKUP(tblRiskRegister32[[#This Row],[Asset Class]],tblInherentImpacts30[],2,FALSE)</f>
        <v/>
      </c>
      <c r="AC114" s="138" t="str">
        <f>VLOOKUP(tblRiskRegister32[[#This Row],[Asset Class]],tblInherentImpacts30[],3,FALSE)</f>
        <v/>
      </c>
      <c r="AD114" s="138" t="str">
        <f>VLOOKUP(tblRiskRegister32[[#This Row],[Asset Class]],tblInherentImpacts30[],4,FALSE)</f>
        <v/>
      </c>
      <c r="AE114" s="138" t="str">
        <f>VLOOKUP(tblRiskRegister32[[#This Row],[Asset Class]],tblInherentImpacts30[],5,FALSE)</f>
        <v/>
      </c>
      <c r="AF114" s="138" t="str">
        <f>IFERROR(MAX(tblRiskRegister32[[#This Row],[Risk Treatment Safeguard Impact to Mission]:[Risk Treatment Safeguard Impact to Obligations]])*tblRiskRegister32[[#This Row],[Risk Treatment
Safeguard Expectancy Score]],"")</f>
        <v/>
      </c>
      <c r="AG114" s="138" t="str">
        <f>IF(tblRiskRegister32[[#This Row],[Risk Score]]&gt;AcceptableRisk,IF(tblRiskRegister32[[#This Row],[Risk Treatment Safeguard Risk Score]]&lt;AcceptableRisk, IF(tblRiskRegister32[[#This Row],[Risk Treatment Safeguard Risk Score]]&lt;=tblRiskRegister32[[#This Row],[Risk Score]],"Yes","No"),"No"),"Yes")</f>
        <v>No</v>
      </c>
      <c r="AH114" s="18"/>
      <c r="AI114" s="18"/>
      <c r="AJ114" s="19"/>
    </row>
    <row r="115" spans="2:36" ht="63.75" x14ac:dyDescent="0.2">
      <c r="B115" s="44" t="s">
        <v>135</v>
      </c>
      <c r="C115" s="44"/>
      <c r="D115" s="112">
        <v>15.1</v>
      </c>
      <c r="E115" s="14" t="s">
        <v>126</v>
      </c>
      <c r="F115" s="17" t="s">
        <v>785</v>
      </c>
      <c r="G115" s="17" t="s">
        <v>785</v>
      </c>
      <c r="H115" s="17" t="s">
        <v>926</v>
      </c>
      <c r="I115" s="15"/>
      <c r="J115" s="15"/>
      <c r="K115" s="15"/>
      <c r="L115" s="16"/>
      <c r="M115" s="26">
        <f>IFERROR(VLOOKUP(tblRiskRegister32[[#This Row],[Asset Class]],tblVCDBIndex[],4,FALSE),"")</f>
        <v>3</v>
      </c>
      <c r="N115" s="29" t="str">
        <f>IFERROR(VLOOKUP(10*tblRiskRegister32[[#This Row],[Safeguard Maturity Score]]+tblRiskRegister32[[#This Row],[VCDB Index]],tblHITIndexWeightTable[],4,FALSE),"")</f>
        <v/>
      </c>
      <c r="O115" s="29" t="str">
        <f>VLOOKUP(tblRiskRegister32[[#This Row],[Asset Class]],tblInherentImpacts30[],2,FALSE)</f>
        <v/>
      </c>
      <c r="P115" s="29" t="str">
        <f>VLOOKUP(tblRiskRegister32[[#This Row],[Asset Class]],tblInherentImpacts30[],3,FALSE)</f>
        <v/>
      </c>
      <c r="Q115" s="29" t="str">
        <f>VLOOKUP(tblRiskRegister32[[#This Row],[Asset Class]],tblInherentImpacts30[],4,FALSE)</f>
        <v/>
      </c>
      <c r="R115" s="29" t="str">
        <f>VLOOKUP(tblRiskRegister32[[#This Row],[Asset Class]],tblInherentImpacts30[],5,FALSE)</f>
        <v/>
      </c>
      <c r="S115" s="29" t="str">
        <f>IFERROR(MAX(tblRiskRegister32[[#This Row],[Impact to Mission]:[Impact to Obligations]])*tblRiskRegister32[[#This Row],[Expectancy Score]],"")</f>
        <v/>
      </c>
      <c r="T115" s="29" t="str">
        <f>tblRiskRegister32[[#This Row],[Risk Score]]</f>
        <v/>
      </c>
      <c r="U115" s="100"/>
      <c r="V115" s="112">
        <v>15.1</v>
      </c>
      <c r="W115" s="44" t="s">
        <v>126</v>
      </c>
      <c r="X115" s="44" t="s">
        <v>519</v>
      </c>
      <c r="Y115" s="30"/>
      <c r="Z115" s="16"/>
      <c r="AA115" s="27" t="str">
        <f>IFERROR(VLOOKUP(10*tblRiskRegister32[[#This Row],[Risk Treatment Safeguard Maturity Score]]+tblRiskRegister32[[#This Row],[VCDB Index]],tblHITIndexWeightTable[],4,FALSE),"")</f>
        <v/>
      </c>
      <c r="AB115" s="138" t="str">
        <f>VLOOKUP(tblRiskRegister32[[#This Row],[Asset Class]],tblInherentImpacts30[],2,FALSE)</f>
        <v/>
      </c>
      <c r="AC115" s="138" t="str">
        <f>VLOOKUP(tblRiskRegister32[[#This Row],[Asset Class]],tblInherentImpacts30[],3,FALSE)</f>
        <v/>
      </c>
      <c r="AD115" s="138" t="str">
        <f>VLOOKUP(tblRiskRegister32[[#This Row],[Asset Class]],tblInherentImpacts30[],4,FALSE)</f>
        <v/>
      </c>
      <c r="AE115" s="138" t="str">
        <f>VLOOKUP(tblRiskRegister32[[#This Row],[Asset Class]],tblInherentImpacts30[],5,FALSE)</f>
        <v/>
      </c>
      <c r="AF115" s="138" t="str">
        <f>IFERROR(MAX(tblRiskRegister32[[#This Row],[Risk Treatment Safeguard Impact to Mission]:[Risk Treatment Safeguard Impact to Obligations]])*tblRiskRegister32[[#This Row],[Risk Treatment
Safeguard Expectancy Score]],"")</f>
        <v/>
      </c>
      <c r="AG115" s="138" t="str">
        <f>IF(tblRiskRegister32[[#This Row],[Risk Score]]&gt;AcceptableRisk,IF(tblRiskRegister32[[#This Row],[Risk Treatment Safeguard Risk Score]]&lt;AcceptableRisk, IF(tblRiskRegister32[[#This Row],[Risk Treatment Safeguard Risk Score]]&lt;=tblRiskRegister32[[#This Row],[Risk Score]],"Yes","No"),"No"),"Yes")</f>
        <v>No</v>
      </c>
      <c r="AH115" s="18"/>
      <c r="AI115" s="18"/>
      <c r="AJ115" s="19"/>
    </row>
    <row r="116" spans="2:36" ht="51" x14ac:dyDescent="0.2">
      <c r="B116" s="44" t="s">
        <v>135</v>
      </c>
      <c r="C116" s="44"/>
      <c r="D116" s="112">
        <v>15.2</v>
      </c>
      <c r="E116" s="14" t="s">
        <v>264</v>
      </c>
      <c r="F116" s="17"/>
      <c r="G116" s="17" t="s">
        <v>785</v>
      </c>
      <c r="H116" s="17" t="s">
        <v>926</v>
      </c>
      <c r="I116" s="15"/>
      <c r="J116" s="15"/>
      <c r="K116" s="15"/>
      <c r="L116" s="16"/>
      <c r="M116" s="26">
        <f>IFERROR(VLOOKUP(tblRiskRegister32[[#This Row],[Asset Class]],tblVCDBIndex[],4,FALSE),"")</f>
        <v>3</v>
      </c>
      <c r="N116" s="29" t="str">
        <f>IFERROR(VLOOKUP(10*tblRiskRegister32[[#This Row],[Safeguard Maturity Score]]+tblRiskRegister32[[#This Row],[VCDB Index]],tblHITIndexWeightTable[],4,FALSE),"")</f>
        <v/>
      </c>
      <c r="O116" s="29" t="str">
        <f>VLOOKUP(tblRiskRegister32[[#This Row],[Asset Class]],tblInherentImpacts30[],2,FALSE)</f>
        <v/>
      </c>
      <c r="P116" s="29" t="str">
        <f>VLOOKUP(tblRiskRegister32[[#This Row],[Asset Class]],tblInherentImpacts30[],3,FALSE)</f>
        <v/>
      </c>
      <c r="Q116" s="29" t="str">
        <f>VLOOKUP(tblRiskRegister32[[#This Row],[Asset Class]],tblInherentImpacts30[],4,FALSE)</f>
        <v/>
      </c>
      <c r="R116" s="29" t="str">
        <f>VLOOKUP(tblRiskRegister32[[#This Row],[Asset Class]],tblInherentImpacts30[],5,FALSE)</f>
        <v/>
      </c>
      <c r="S116" s="29" t="str">
        <f>IFERROR(MAX(tblRiskRegister32[[#This Row],[Impact to Mission]:[Impact to Obligations]])*tblRiskRegister32[[#This Row],[Expectancy Score]],"")</f>
        <v/>
      </c>
      <c r="T116" s="29" t="str">
        <f>tblRiskRegister32[[#This Row],[Risk Score]]</f>
        <v/>
      </c>
      <c r="U116" s="100"/>
      <c r="V116" s="112">
        <v>15.2</v>
      </c>
      <c r="W116" s="44" t="s">
        <v>264</v>
      </c>
      <c r="X116" s="44" t="s">
        <v>520</v>
      </c>
      <c r="Y116" s="30"/>
      <c r="Z116" s="16"/>
      <c r="AA116" s="27" t="str">
        <f>IFERROR(VLOOKUP(10*tblRiskRegister32[[#This Row],[Risk Treatment Safeguard Maturity Score]]+tblRiskRegister32[[#This Row],[VCDB Index]],tblHITIndexWeightTable[],4,FALSE),"")</f>
        <v/>
      </c>
      <c r="AB116" s="138" t="str">
        <f>VLOOKUP(tblRiskRegister32[[#This Row],[Asset Class]],tblInherentImpacts30[],2,FALSE)</f>
        <v/>
      </c>
      <c r="AC116" s="138" t="str">
        <f>VLOOKUP(tblRiskRegister32[[#This Row],[Asset Class]],tblInherentImpacts30[],3,FALSE)</f>
        <v/>
      </c>
      <c r="AD116" s="138" t="str">
        <f>VLOOKUP(tblRiskRegister32[[#This Row],[Asset Class]],tblInherentImpacts30[],4,FALSE)</f>
        <v/>
      </c>
      <c r="AE116" s="138" t="str">
        <f>VLOOKUP(tblRiskRegister32[[#This Row],[Asset Class]],tblInherentImpacts30[],5,FALSE)</f>
        <v/>
      </c>
      <c r="AF116" s="138" t="str">
        <f>IFERROR(MAX(tblRiskRegister32[[#This Row],[Risk Treatment Safeguard Impact to Mission]:[Risk Treatment Safeguard Impact to Obligations]])*tblRiskRegister32[[#This Row],[Risk Treatment
Safeguard Expectancy Score]],"")</f>
        <v/>
      </c>
      <c r="AG116" s="138" t="str">
        <f>IF(tblRiskRegister32[[#This Row],[Risk Score]]&gt;AcceptableRisk,IF(tblRiskRegister32[[#This Row],[Risk Treatment Safeguard Risk Score]]&lt;AcceptableRisk, IF(tblRiskRegister32[[#This Row],[Risk Treatment Safeguard Risk Score]]&lt;=tblRiskRegister32[[#This Row],[Risk Score]],"Yes","No"),"No"),"Yes")</f>
        <v>No</v>
      </c>
      <c r="AH116" s="18"/>
      <c r="AI116" s="18"/>
      <c r="AJ116" s="19"/>
    </row>
    <row r="117" spans="2:36" ht="63.75" x14ac:dyDescent="0.2">
      <c r="B117" s="44" t="s">
        <v>135</v>
      </c>
      <c r="C117" s="44"/>
      <c r="D117" s="112">
        <v>15.3</v>
      </c>
      <c r="E117" s="14" t="s">
        <v>265</v>
      </c>
      <c r="F117" s="17"/>
      <c r="G117" s="17" t="s">
        <v>785</v>
      </c>
      <c r="H117" s="17" t="s">
        <v>926</v>
      </c>
      <c r="I117" s="15"/>
      <c r="J117" s="15"/>
      <c r="K117" s="15"/>
      <c r="L117" s="16"/>
      <c r="M117" s="26">
        <f>IFERROR(VLOOKUP(tblRiskRegister32[[#This Row],[Asset Class]],tblVCDBIndex[],4,FALSE),"")</f>
        <v>3</v>
      </c>
      <c r="N117" s="29" t="str">
        <f>IFERROR(VLOOKUP(10*tblRiskRegister32[[#This Row],[Safeguard Maturity Score]]+tblRiskRegister32[[#This Row],[VCDB Index]],tblHITIndexWeightTable[],4,FALSE),"")</f>
        <v/>
      </c>
      <c r="O117" s="29" t="str">
        <f>VLOOKUP(tblRiskRegister32[[#This Row],[Asset Class]],tblInherentImpacts30[],2,FALSE)</f>
        <v/>
      </c>
      <c r="P117" s="29" t="str">
        <f>VLOOKUP(tblRiskRegister32[[#This Row],[Asset Class]],tblInherentImpacts30[],3,FALSE)</f>
        <v/>
      </c>
      <c r="Q117" s="29" t="str">
        <f>VLOOKUP(tblRiskRegister32[[#This Row],[Asset Class]],tblInherentImpacts30[],4,FALSE)</f>
        <v/>
      </c>
      <c r="R117" s="29" t="str">
        <f>VLOOKUP(tblRiskRegister32[[#This Row],[Asset Class]],tblInherentImpacts30[],5,FALSE)</f>
        <v/>
      </c>
      <c r="S117" s="29" t="str">
        <f>IFERROR(MAX(tblRiskRegister32[[#This Row],[Impact to Mission]:[Impact to Obligations]])*tblRiskRegister32[[#This Row],[Expectancy Score]],"")</f>
        <v/>
      </c>
      <c r="T117" s="29" t="str">
        <f>tblRiskRegister32[[#This Row],[Risk Score]]</f>
        <v/>
      </c>
      <c r="U117" s="100"/>
      <c r="V117" s="112">
        <v>15.3</v>
      </c>
      <c r="W117" s="44" t="s">
        <v>265</v>
      </c>
      <c r="X117" s="44" t="s">
        <v>521</v>
      </c>
      <c r="Y117" s="30"/>
      <c r="Z117" s="16"/>
      <c r="AA117" s="27" t="str">
        <f>IFERROR(VLOOKUP(10*tblRiskRegister32[[#This Row],[Risk Treatment Safeguard Maturity Score]]+tblRiskRegister32[[#This Row],[VCDB Index]],tblHITIndexWeightTable[],4,FALSE),"")</f>
        <v/>
      </c>
      <c r="AB117" s="138" t="str">
        <f>VLOOKUP(tblRiskRegister32[[#This Row],[Asset Class]],tblInherentImpacts30[],2,FALSE)</f>
        <v/>
      </c>
      <c r="AC117" s="138" t="str">
        <f>VLOOKUP(tblRiskRegister32[[#This Row],[Asset Class]],tblInherentImpacts30[],3,FALSE)</f>
        <v/>
      </c>
      <c r="AD117" s="138" t="str">
        <f>VLOOKUP(tblRiskRegister32[[#This Row],[Asset Class]],tblInherentImpacts30[],4,FALSE)</f>
        <v/>
      </c>
      <c r="AE117" s="138" t="str">
        <f>VLOOKUP(tblRiskRegister32[[#This Row],[Asset Class]],tblInherentImpacts30[],5,FALSE)</f>
        <v/>
      </c>
      <c r="AF117" s="138" t="str">
        <f>IFERROR(MAX(tblRiskRegister32[[#This Row],[Risk Treatment Safeguard Impact to Mission]:[Risk Treatment Safeguard Impact to Obligations]])*tblRiskRegister32[[#This Row],[Risk Treatment
Safeguard Expectancy Score]],"")</f>
        <v/>
      </c>
      <c r="AG117" s="138" t="str">
        <f>IF(tblRiskRegister32[[#This Row],[Risk Score]]&gt;AcceptableRisk,IF(tblRiskRegister32[[#This Row],[Risk Treatment Safeguard Risk Score]]&lt;AcceptableRisk, IF(tblRiskRegister32[[#This Row],[Risk Treatment Safeguard Risk Score]]&lt;=tblRiskRegister32[[#This Row],[Risk Score]],"Yes","No"),"No"),"Yes")</f>
        <v>No</v>
      </c>
      <c r="AH117" s="18"/>
      <c r="AI117" s="18"/>
      <c r="AJ117" s="19"/>
    </row>
    <row r="118" spans="2:36" ht="89.25" x14ac:dyDescent="0.2">
      <c r="B118" s="44" t="s">
        <v>135</v>
      </c>
      <c r="C118" s="44"/>
      <c r="D118" s="112">
        <v>15.4</v>
      </c>
      <c r="E118" s="14" t="s">
        <v>266</v>
      </c>
      <c r="F118" s="17"/>
      <c r="G118" s="17" t="s">
        <v>785</v>
      </c>
      <c r="H118" s="17" t="s">
        <v>928</v>
      </c>
      <c r="I118" s="15"/>
      <c r="J118" s="15"/>
      <c r="K118" s="15"/>
      <c r="L118" s="16"/>
      <c r="M118" s="26">
        <f>IFERROR(VLOOKUP(tblRiskRegister32[[#This Row],[Asset Class]],tblVCDBIndex[],4,FALSE),"")</f>
        <v>3</v>
      </c>
      <c r="N118" s="29" t="str">
        <f>IFERROR(VLOOKUP(10*tblRiskRegister32[[#This Row],[Safeguard Maturity Score]]+tblRiskRegister32[[#This Row],[VCDB Index]],tblHITIndexWeightTable[],4,FALSE),"")</f>
        <v/>
      </c>
      <c r="O118" s="29" t="str">
        <f>VLOOKUP(tblRiskRegister32[[#This Row],[Asset Class]],tblInherentImpacts30[],2,FALSE)</f>
        <v/>
      </c>
      <c r="P118" s="29" t="str">
        <f>VLOOKUP(tblRiskRegister32[[#This Row],[Asset Class]],tblInherentImpacts30[],3,FALSE)</f>
        <v/>
      </c>
      <c r="Q118" s="29" t="str">
        <f>VLOOKUP(tblRiskRegister32[[#This Row],[Asset Class]],tblInherentImpacts30[],4,FALSE)</f>
        <v/>
      </c>
      <c r="R118" s="29" t="str">
        <f>VLOOKUP(tblRiskRegister32[[#This Row],[Asset Class]],tblInherentImpacts30[],5,FALSE)</f>
        <v/>
      </c>
      <c r="S118" s="29" t="str">
        <f>IFERROR(MAX(tblRiskRegister32[[#This Row],[Impact to Mission]:[Impact to Obligations]])*tblRiskRegister32[[#This Row],[Expectancy Score]],"")</f>
        <v/>
      </c>
      <c r="T118" s="29" t="str">
        <f>tblRiskRegister32[[#This Row],[Risk Score]]</f>
        <v/>
      </c>
      <c r="U118" s="100"/>
      <c r="V118" s="112">
        <v>15.4</v>
      </c>
      <c r="W118" s="44" t="s">
        <v>266</v>
      </c>
      <c r="X118" s="44" t="s">
        <v>522</v>
      </c>
      <c r="Y118" s="30"/>
      <c r="Z118" s="16"/>
      <c r="AA118" s="27" t="str">
        <f>IFERROR(VLOOKUP(10*tblRiskRegister32[[#This Row],[Risk Treatment Safeguard Maturity Score]]+tblRiskRegister32[[#This Row],[VCDB Index]],tblHITIndexWeightTable[],4,FALSE),"")</f>
        <v/>
      </c>
      <c r="AB118" s="138" t="str">
        <f>VLOOKUP(tblRiskRegister32[[#This Row],[Asset Class]],tblInherentImpacts30[],2,FALSE)</f>
        <v/>
      </c>
      <c r="AC118" s="138" t="str">
        <f>VLOOKUP(tblRiskRegister32[[#This Row],[Asset Class]],tblInherentImpacts30[],3,FALSE)</f>
        <v/>
      </c>
      <c r="AD118" s="138" t="str">
        <f>VLOOKUP(tblRiskRegister32[[#This Row],[Asset Class]],tblInherentImpacts30[],4,FALSE)</f>
        <v/>
      </c>
      <c r="AE118" s="138" t="str">
        <f>VLOOKUP(tblRiskRegister32[[#This Row],[Asset Class]],tblInherentImpacts30[],5,FALSE)</f>
        <v/>
      </c>
      <c r="AF118" s="138" t="str">
        <f>IFERROR(MAX(tblRiskRegister32[[#This Row],[Risk Treatment Safeguard Impact to Mission]:[Risk Treatment Safeguard Impact to Obligations]])*tblRiskRegister32[[#This Row],[Risk Treatment
Safeguard Expectancy Score]],"")</f>
        <v/>
      </c>
      <c r="AG118" s="138" t="str">
        <f>IF(tblRiskRegister32[[#This Row],[Risk Score]]&gt;AcceptableRisk,IF(tblRiskRegister32[[#This Row],[Risk Treatment Safeguard Risk Score]]&lt;AcceptableRisk, IF(tblRiskRegister32[[#This Row],[Risk Treatment Safeguard Risk Score]]&lt;=tblRiskRegister32[[#This Row],[Risk Score]],"Yes","No"),"No"),"Yes")</f>
        <v>No</v>
      </c>
      <c r="AH118" s="18"/>
      <c r="AI118" s="18"/>
      <c r="AJ118" s="19"/>
    </row>
    <row r="119" spans="2:36" ht="76.5" x14ac:dyDescent="0.2">
      <c r="B119" s="15" t="s">
        <v>132</v>
      </c>
      <c r="C119" s="15"/>
      <c r="D119" s="100">
        <v>16.100000000000001</v>
      </c>
      <c r="E119" s="14" t="s">
        <v>233</v>
      </c>
      <c r="F119" s="17"/>
      <c r="G119" s="17" t="s">
        <v>785</v>
      </c>
      <c r="H119" s="17" t="s">
        <v>928</v>
      </c>
      <c r="I119" s="15"/>
      <c r="J119" s="15"/>
      <c r="K119" s="15"/>
      <c r="L119" s="16"/>
      <c r="M119" s="26">
        <f>IFERROR(VLOOKUP(tblRiskRegister32[[#This Row],[Asset Class]],tblVCDBIndex[],4,FALSE),"")</f>
        <v>2</v>
      </c>
      <c r="N119" s="26" t="str">
        <f>IFERROR(VLOOKUP(10*tblRiskRegister32[[#This Row],[Safeguard Maturity Score]]+tblRiskRegister32[[#This Row],[VCDB Index]],tblHITIndexWeightTable[],4,FALSE),"")</f>
        <v/>
      </c>
      <c r="O119" s="26" t="str">
        <f>VLOOKUP(tblRiskRegister32[[#This Row],[Asset Class]],tblInherentImpacts30[],2,FALSE)</f>
        <v/>
      </c>
      <c r="P119" s="26">
        <f>VLOOKUP(tblRiskRegister32[[#This Row],[Asset Class]],tblInherentImpacts30[],3,FALSE)</f>
        <v>0</v>
      </c>
      <c r="Q119" s="26">
        <f>VLOOKUP(tblRiskRegister32[[#This Row],[Asset Class]],tblInherentImpacts30[],4,FALSE)</f>
        <v>0</v>
      </c>
      <c r="R119" s="26">
        <f>VLOOKUP(tblRiskRegister32[[#This Row],[Asset Class]],tblInherentImpacts30[],5,FALSE)</f>
        <v>0</v>
      </c>
      <c r="S119" s="26" t="str">
        <f>IFERROR(MAX(tblRiskRegister32[[#This Row],[Impact to Mission]:[Impact to Obligations]])*tblRiskRegister32[[#This Row],[Expectancy Score]],"")</f>
        <v/>
      </c>
      <c r="T119" s="26" t="str">
        <f>tblRiskRegister32[[#This Row],[Risk Score]]</f>
        <v/>
      </c>
      <c r="U119" s="100"/>
      <c r="V119" s="100">
        <v>16.100000000000001</v>
      </c>
      <c r="W119" s="15" t="s">
        <v>233</v>
      </c>
      <c r="X119" s="15" t="s">
        <v>523</v>
      </c>
      <c r="Y119" s="15"/>
      <c r="Z119" s="16"/>
      <c r="AA119" s="27" t="str">
        <f>IFERROR(VLOOKUP(10*tblRiskRegister32[[#This Row],[Risk Treatment Safeguard Maturity Score]]+tblRiskRegister32[[#This Row],[VCDB Index]],tblHITIndexWeightTable[],4,FALSE),"")</f>
        <v/>
      </c>
      <c r="AB119" s="138" t="str">
        <f>VLOOKUP(tblRiskRegister32[[#This Row],[Asset Class]],tblInherentImpacts30[],2,FALSE)</f>
        <v/>
      </c>
      <c r="AC119" s="138">
        <f>VLOOKUP(tblRiskRegister32[[#This Row],[Asset Class]],tblInherentImpacts30[],3,FALSE)</f>
        <v>0</v>
      </c>
      <c r="AD119" s="138">
        <f>VLOOKUP(tblRiskRegister32[[#This Row],[Asset Class]],tblInherentImpacts30[],4,FALSE)</f>
        <v>0</v>
      </c>
      <c r="AE119" s="138">
        <f>VLOOKUP(tblRiskRegister32[[#This Row],[Asset Class]],tblInherentImpacts30[],5,FALSE)</f>
        <v>0</v>
      </c>
      <c r="AF119" s="138" t="str">
        <f>IFERROR(MAX(tblRiskRegister32[[#This Row],[Risk Treatment Safeguard Impact to Mission]:[Risk Treatment Safeguard Impact to Obligations]])*tblRiskRegister32[[#This Row],[Risk Treatment
Safeguard Expectancy Score]],"")</f>
        <v/>
      </c>
      <c r="AG119" s="138" t="str">
        <f>IF(tblRiskRegister32[[#This Row],[Risk Score]]&gt;AcceptableRisk,IF(tblRiskRegister32[[#This Row],[Risk Treatment Safeguard Risk Score]]&lt;AcceptableRisk, IF(tblRiskRegister32[[#This Row],[Risk Treatment Safeguard Risk Score]]&lt;=tblRiskRegister32[[#This Row],[Risk Score]],"Yes","No"),"No"),"Yes")</f>
        <v>No</v>
      </c>
      <c r="AH119" s="18"/>
      <c r="AI119" s="18"/>
      <c r="AJ119" s="19"/>
    </row>
    <row r="120" spans="2:36" ht="165.75" x14ac:dyDescent="0.2">
      <c r="B120" s="15" t="s">
        <v>132</v>
      </c>
      <c r="C120" s="15"/>
      <c r="D120" s="100">
        <v>16.2</v>
      </c>
      <c r="E120" s="14" t="s">
        <v>234</v>
      </c>
      <c r="F120" s="17"/>
      <c r="G120" s="17" t="s">
        <v>785</v>
      </c>
      <c r="H120" s="17" t="s">
        <v>928</v>
      </c>
      <c r="I120" s="15"/>
      <c r="J120" s="15"/>
      <c r="K120" s="15"/>
      <c r="L120" s="16"/>
      <c r="M120" s="26">
        <f>IFERROR(VLOOKUP(tblRiskRegister32[[#This Row],[Asset Class]],tblVCDBIndex[],4,FALSE),"")</f>
        <v>2</v>
      </c>
      <c r="N120" s="26" t="str">
        <f>IFERROR(VLOOKUP(10*tblRiskRegister32[[#This Row],[Safeguard Maturity Score]]+tblRiskRegister32[[#This Row],[VCDB Index]],tblHITIndexWeightTable[],4,FALSE),"")</f>
        <v/>
      </c>
      <c r="O120" s="26" t="str">
        <f>VLOOKUP(tblRiskRegister32[[#This Row],[Asset Class]],tblInherentImpacts30[],2,FALSE)</f>
        <v/>
      </c>
      <c r="P120" s="26">
        <f>VLOOKUP(tblRiskRegister32[[#This Row],[Asset Class]],tblInherentImpacts30[],3,FALSE)</f>
        <v>0</v>
      </c>
      <c r="Q120" s="26">
        <f>VLOOKUP(tblRiskRegister32[[#This Row],[Asset Class]],tblInherentImpacts30[],4,FALSE)</f>
        <v>0</v>
      </c>
      <c r="R120" s="26">
        <f>VLOOKUP(tblRiskRegister32[[#This Row],[Asset Class]],tblInherentImpacts30[],5,FALSE)</f>
        <v>0</v>
      </c>
      <c r="S120" s="26" t="str">
        <f>IFERROR(MAX(tblRiskRegister32[[#This Row],[Impact to Mission]:[Impact to Obligations]])*tblRiskRegister32[[#This Row],[Expectancy Score]],"")</f>
        <v/>
      </c>
      <c r="T120" s="26" t="str">
        <f>tblRiskRegister32[[#This Row],[Risk Score]]</f>
        <v/>
      </c>
      <c r="U120" s="100"/>
      <c r="V120" s="100">
        <v>16.2</v>
      </c>
      <c r="W120" s="15" t="s">
        <v>234</v>
      </c>
      <c r="X120" s="15" t="s">
        <v>524</v>
      </c>
      <c r="Y120" s="15"/>
      <c r="Z120" s="16"/>
      <c r="AA120" s="27" t="str">
        <f>IFERROR(VLOOKUP(10*tblRiskRegister32[[#This Row],[Risk Treatment Safeguard Maturity Score]]+tblRiskRegister32[[#This Row],[VCDB Index]],tblHITIndexWeightTable[],4,FALSE),"")</f>
        <v/>
      </c>
      <c r="AB120" s="138" t="str">
        <f>VLOOKUP(tblRiskRegister32[[#This Row],[Asset Class]],tblInherentImpacts30[],2,FALSE)</f>
        <v/>
      </c>
      <c r="AC120" s="138">
        <f>VLOOKUP(tblRiskRegister32[[#This Row],[Asset Class]],tblInherentImpacts30[],3,FALSE)</f>
        <v>0</v>
      </c>
      <c r="AD120" s="138">
        <f>VLOOKUP(tblRiskRegister32[[#This Row],[Asset Class]],tblInherentImpacts30[],4,FALSE)</f>
        <v>0</v>
      </c>
      <c r="AE120" s="138">
        <f>VLOOKUP(tblRiskRegister32[[#This Row],[Asset Class]],tblInherentImpacts30[],5,FALSE)</f>
        <v>0</v>
      </c>
      <c r="AF120" s="138" t="str">
        <f>IFERROR(MAX(tblRiskRegister32[[#This Row],[Risk Treatment Safeguard Impact to Mission]:[Risk Treatment Safeguard Impact to Obligations]])*tblRiskRegister32[[#This Row],[Risk Treatment
Safeguard Expectancy Score]],"")</f>
        <v/>
      </c>
      <c r="AG120" s="138" t="str">
        <f>IF(tblRiskRegister32[[#This Row],[Risk Score]]&gt;AcceptableRisk,IF(tblRiskRegister32[[#This Row],[Risk Treatment Safeguard Risk Score]]&lt;AcceptableRisk, IF(tblRiskRegister32[[#This Row],[Risk Treatment Safeguard Risk Score]]&lt;=tblRiskRegister32[[#This Row],[Risk Score]],"Yes","No"),"No"),"Yes")</f>
        <v>No</v>
      </c>
      <c r="AH120" s="18"/>
      <c r="AI120" s="18"/>
      <c r="AJ120" s="19"/>
    </row>
    <row r="121" spans="2:36" ht="51" x14ac:dyDescent="0.2">
      <c r="B121" s="15" t="s">
        <v>132</v>
      </c>
      <c r="C121" s="15"/>
      <c r="D121" s="100">
        <v>16.3</v>
      </c>
      <c r="E121" s="14" t="s">
        <v>235</v>
      </c>
      <c r="F121" s="17"/>
      <c r="G121" s="17" t="s">
        <v>785</v>
      </c>
      <c r="H121" s="17" t="s">
        <v>928</v>
      </c>
      <c r="I121" s="15"/>
      <c r="J121" s="15"/>
      <c r="K121" s="15"/>
      <c r="L121" s="16"/>
      <c r="M121" s="26">
        <f>IFERROR(VLOOKUP(tblRiskRegister32[[#This Row],[Asset Class]],tblVCDBIndex[],4,FALSE),"")</f>
        <v>2</v>
      </c>
      <c r="N121" s="26" t="str">
        <f>IFERROR(VLOOKUP(10*tblRiskRegister32[[#This Row],[Safeguard Maturity Score]]+tblRiskRegister32[[#This Row],[VCDB Index]],tblHITIndexWeightTable[],4,FALSE),"")</f>
        <v/>
      </c>
      <c r="O121" s="26" t="str">
        <f>VLOOKUP(tblRiskRegister32[[#This Row],[Asset Class]],tblInherentImpacts30[],2,FALSE)</f>
        <v/>
      </c>
      <c r="P121" s="26">
        <f>VLOOKUP(tblRiskRegister32[[#This Row],[Asset Class]],tblInherentImpacts30[],3,FALSE)</f>
        <v>0</v>
      </c>
      <c r="Q121" s="26">
        <f>VLOOKUP(tblRiskRegister32[[#This Row],[Asset Class]],tblInherentImpacts30[],4,FALSE)</f>
        <v>0</v>
      </c>
      <c r="R121" s="26">
        <f>VLOOKUP(tblRiskRegister32[[#This Row],[Asset Class]],tblInherentImpacts30[],5,FALSE)</f>
        <v>0</v>
      </c>
      <c r="S121" s="26" t="str">
        <f>IFERROR(MAX(tblRiskRegister32[[#This Row],[Impact to Mission]:[Impact to Obligations]])*tblRiskRegister32[[#This Row],[Expectancy Score]],"")</f>
        <v/>
      </c>
      <c r="T121" s="26" t="str">
        <f>tblRiskRegister32[[#This Row],[Risk Score]]</f>
        <v/>
      </c>
      <c r="U121" s="100"/>
      <c r="V121" s="100">
        <v>16.3</v>
      </c>
      <c r="W121" s="15" t="s">
        <v>235</v>
      </c>
      <c r="X121" s="15" t="s">
        <v>525</v>
      </c>
      <c r="Y121" s="15"/>
      <c r="Z121" s="16"/>
      <c r="AA121" s="27" t="str">
        <f>IFERROR(VLOOKUP(10*tblRiskRegister32[[#This Row],[Risk Treatment Safeguard Maturity Score]]+tblRiskRegister32[[#This Row],[VCDB Index]],tblHITIndexWeightTable[],4,FALSE),"")</f>
        <v/>
      </c>
      <c r="AB121" s="138" t="str">
        <f>VLOOKUP(tblRiskRegister32[[#This Row],[Asset Class]],tblInherentImpacts30[],2,FALSE)</f>
        <v/>
      </c>
      <c r="AC121" s="138">
        <f>VLOOKUP(tblRiskRegister32[[#This Row],[Asset Class]],tblInherentImpacts30[],3,FALSE)</f>
        <v>0</v>
      </c>
      <c r="AD121" s="138">
        <f>VLOOKUP(tblRiskRegister32[[#This Row],[Asset Class]],tblInherentImpacts30[],4,FALSE)</f>
        <v>0</v>
      </c>
      <c r="AE121" s="138">
        <f>VLOOKUP(tblRiskRegister32[[#This Row],[Asset Class]],tblInherentImpacts30[],5,FALSE)</f>
        <v>0</v>
      </c>
      <c r="AF121" s="138" t="str">
        <f>IFERROR(MAX(tblRiskRegister32[[#This Row],[Risk Treatment Safeguard Impact to Mission]:[Risk Treatment Safeguard Impact to Obligations]])*tblRiskRegister32[[#This Row],[Risk Treatment
Safeguard Expectancy Score]],"")</f>
        <v/>
      </c>
      <c r="AG121" s="138" t="str">
        <f>IF(tblRiskRegister32[[#This Row],[Risk Score]]&gt;AcceptableRisk,IF(tblRiskRegister32[[#This Row],[Risk Treatment Safeguard Risk Score]]&lt;AcceptableRisk, IF(tblRiskRegister32[[#This Row],[Risk Treatment Safeguard Risk Score]]&lt;=tblRiskRegister32[[#This Row],[Risk Score]],"Yes","No"),"No"),"Yes")</f>
        <v>No</v>
      </c>
      <c r="AH121" s="18"/>
      <c r="AI121" s="18"/>
      <c r="AJ121" s="19"/>
    </row>
    <row r="122" spans="2:36" ht="76.5" x14ac:dyDescent="0.2">
      <c r="B122" s="15" t="s">
        <v>132</v>
      </c>
      <c r="C122" s="15"/>
      <c r="D122" s="100">
        <v>16.399999999999999</v>
      </c>
      <c r="E122" s="14" t="s">
        <v>299</v>
      </c>
      <c r="F122" s="17"/>
      <c r="G122" s="17" t="s">
        <v>785</v>
      </c>
      <c r="H122" s="17" t="s">
        <v>928</v>
      </c>
      <c r="I122" s="15"/>
      <c r="J122" s="15"/>
      <c r="K122" s="15"/>
      <c r="L122" s="16"/>
      <c r="M122" s="26">
        <f>IFERROR(VLOOKUP(tblRiskRegister32[[#This Row],[Asset Class]],tblVCDBIndex[],4,FALSE),"")</f>
        <v>2</v>
      </c>
      <c r="N122" s="26" t="str">
        <f>IFERROR(VLOOKUP(10*tblRiskRegister32[[#This Row],[Safeguard Maturity Score]]+tblRiskRegister32[[#This Row],[VCDB Index]],tblHITIndexWeightTable[],4,FALSE),"")</f>
        <v/>
      </c>
      <c r="O122" s="26" t="str">
        <f>VLOOKUP(tblRiskRegister32[[#This Row],[Asset Class]],tblInherentImpacts30[],2,FALSE)</f>
        <v/>
      </c>
      <c r="P122" s="26">
        <f>VLOOKUP(tblRiskRegister32[[#This Row],[Asset Class]],tblInherentImpacts30[],3,FALSE)</f>
        <v>0</v>
      </c>
      <c r="Q122" s="26">
        <f>VLOOKUP(tblRiskRegister32[[#This Row],[Asset Class]],tblInherentImpacts30[],4,FALSE)</f>
        <v>0</v>
      </c>
      <c r="R122" s="26">
        <f>VLOOKUP(tblRiskRegister32[[#This Row],[Asset Class]],tblInherentImpacts30[],5,FALSE)</f>
        <v>0</v>
      </c>
      <c r="S122" s="26" t="str">
        <f>IFERROR(MAX(tblRiskRegister32[[#This Row],[Impact to Mission]:[Impact to Obligations]])*tblRiskRegister32[[#This Row],[Expectancy Score]],"")</f>
        <v/>
      </c>
      <c r="T122" s="26" t="str">
        <f>tblRiskRegister32[[#This Row],[Risk Score]]</f>
        <v/>
      </c>
      <c r="U122" s="100"/>
      <c r="V122" s="100">
        <v>16.399999999999999</v>
      </c>
      <c r="W122" s="15" t="s">
        <v>299</v>
      </c>
      <c r="X122" s="15" t="s">
        <v>526</v>
      </c>
      <c r="Y122" s="15"/>
      <c r="Z122" s="16"/>
      <c r="AA122" s="27" t="str">
        <f>IFERROR(VLOOKUP(10*tblRiskRegister32[[#This Row],[Risk Treatment Safeguard Maturity Score]]+tblRiskRegister32[[#This Row],[VCDB Index]],tblHITIndexWeightTable[],4,FALSE),"")</f>
        <v/>
      </c>
      <c r="AB122" s="138" t="str">
        <f>VLOOKUP(tblRiskRegister32[[#This Row],[Asset Class]],tblInherentImpacts30[],2,FALSE)</f>
        <v/>
      </c>
      <c r="AC122" s="138">
        <f>VLOOKUP(tblRiskRegister32[[#This Row],[Asset Class]],tblInherentImpacts30[],3,FALSE)</f>
        <v>0</v>
      </c>
      <c r="AD122" s="138">
        <f>VLOOKUP(tblRiskRegister32[[#This Row],[Asset Class]],tblInherentImpacts30[],4,FALSE)</f>
        <v>0</v>
      </c>
      <c r="AE122" s="138">
        <f>VLOOKUP(tblRiskRegister32[[#This Row],[Asset Class]],tblInherentImpacts30[],5,FALSE)</f>
        <v>0</v>
      </c>
      <c r="AF122" s="138" t="str">
        <f>IFERROR(MAX(tblRiskRegister32[[#This Row],[Risk Treatment Safeguard Impact to Mission]:[Risk Treatment Safeguard Impact to Obligations]])*tblRiskRegister32[[#This Row],[Risk Treatment
Safeguard Expectancy Score]],"")</f>
        <v/>
      </c>
      <c r="AG122" s="138" t="str">
        <f>IF(tblRiskRegister32[[#This Row],[Risk Score]]&gt;AcceptableRisk,IF(tblRiskRegister32[[#This Row],[Risk Treatment Safeguard Risk Score]]&lt;AcceptableRisk, IF(tblRiskRegister32[[#This Row],[Risk Treatment Safeguard Risk Score]]&lt;=tblRiskRegister32[[#This Row],[Risk Score]],"Yes","No"),"No"),"Yes")</f>
        <v>No</v>
      </c>
      <c r="AH122" s="18"/>
      <c r="AI122" s="18"/>
      <c r="AJ122" s="19"/>
    </row>
    <row r="123" spans="2:36" ht="51" x14ac:dyDescent="0.2">
      <c r="B123" s="15" t="s">
        <v>132</v>
      </c>
      <c r="C123" s="15"/>
      <c r="D123" s="100">
        <v>16.5</v>
      </c>
      <c r="E123" s="14" t="s">
        <v>236</v>
      </c>
      <c r="F123" s="17"/>
      <c r="G123" s="17" t="s">
        <v>785</v>
      </c>
      <c r="H123" s="17" t="s">
        <v>928</v>
      </c>
      <c r="I123" s="15"/>
      <c r="J123" s="15"/>
      <c r="K123" s="15"/>
      <c r="L123" s="16"/>
      <c r="M123" s="26">
        <f>IFERROR(VLOOKUP(tblRiskRegister32[[#This Row],[Asset Class]],tblVCDBIndex[],4,FALSE),"")</f>
        <v>2</v>
      </c>
      <c r="N123" s="26" t="str">
        <f>IFERROR(VLOOKUP(10*tblRiskRegister32[[#This Row],[Safeguard Maturity Score]]+tblRiskRegister32[[#This Row],[VCDB Index]],tblHITIndexWeightTable[],4,FALSE),"")</f>
        <v/>
      </c>
      <c r="O123" s="26" t="str">
        <f>VLOOKUP(tblRiskRegister32[[#This Row],[Asset Class]],tblInherentImpacts30[],2,FALSE)</f>
        <v/>
      </c>
      <c r="P123" s="26">
        <f>VLOOKUP(tblRiskRegister32[[#This Row],[Asset Class]],tblInherentImpacts30[],3,FALSE)</f>
        <v>0</v>
      </c>
      <c r="Q123" s="26">
        <f>VLOOKUP(tblRiskRegister32[[#This Row],[Asset Class]],tblInherentImpacts30[],4,FALSE)</f>
        <v>0</v>
      </c>
      <c r="R123" s="26">
        <f>VLOOKUP(tblRiskRegister32[[#This Row],[Asset Class]],tblInherentImpacts30[],5,FALSE)</f>
        <v>0</v>
      </c>
      <c r="S123" s="26" t="str">
        <f>IFERROR(MAX(tblRiskRegister32[[#This Row],[Impact to Mission]:[Impact to Obligations]])*tblRiskRegister32[[#This Row],[Expectancy Score]],"")</f>
        <v/>
      </c>
      <c r="T123" s="26" t="str">
        <f>tblRiskRegister32[[#This Row],[Risk Score]]</f>
        <v/>
      </c>
      <c r="U123" s="100"/>
      <c r="V123" s="100">
        <v>16.5</v>
      </c>
      <c r="W123" s="15" t="s">
        <v>236</v>
      </c>
      <c r="X123" s="15" t="s">
        <v>527</v>
      </c>
      <c r="Y123" s="15"/>
      <c r="Z123" s="16"/>
      <c r="AA123" s="27" t="str">
        <f>IFERROR(VLOOKUP(10*tblRiskRegister32[[#This Row],[Risk Treatment Safeguard Maturity Score]]+tblRiskRegister32[[#This Row],[VCDB Index]],tblHITIndexWeightTable[],4,FALSE),"")</f>
        <v/>
      </c>
      <c r="AB123" s="138" t="str">
        <f>VLOOKUP(tblRiskRegister32[[#This Row],[Asset Class]],tblInherentImpacts30[],2,FALSE)</f>
        <v/>
      </c>
      <c r="AC123" s="138">
        <f>VLOOKUP(tblRiskRegister32[[#This Row],[Asset Class]],tblInherentImpacts30[],3,FALSE)</f>
        <v>0</v>
      </c>
      <c r="AD123" s="138">
        <f>VLOOKUP(tblRiskRegister32[[#This Row],[Asset Class]],tblInherentImpacts30[],4,FALSE)</f>
        <v>0</v>
      </c>
      <c r="AE123" s="138">
        <f>VLOOKUP(tblRiskRegister32[[#This Row],[Asset Class]],tblInherentImpacts30[],5,FALSE)</f>
        <v>0</v>
      </c>
      <c r="AF123" s="138" t="str">
        <f>IFERROR(MAX(tblRiskRegister32[[#This Row],[Risk Treatment Safeguard Impact to Mission]:[Risk Treatment Safeguard Impact to Obligations]])*tblRiskRegister32[[#This Row],[Risk Treatment
Safeguard Expectancy Score]],"")</f>
        <v/>
      </c>
      <c r="AG123" s="138" t="str">
        <f>IF(tblRiskRegister32[[#This Row],[Risk Score]]&gt;AcceptableRisk,IF(tblRiskRegister32[[#This Row],[Risk Treatment Safeguard Risk Score]]&lt;AcceptableRisk, IF(tblRiskRegister32[[#This Row],[Risk Treatment Safeguard Risk Score]]&lt;=tblRiskRegister32[[#This Row],[Risk Score]],"Yes","No"),"No"),"Yes")</f>
        <v>No</v>
      </c>
      <c r="AH123" s="18"/>
      <c r="AI123" s="18"/>
      <c r="AJ123" s="19"/>
    </row>
    <row r="124" spans="2:36" ht="89.25" x14ac:dyDescent="0.2">
      <c r="B124" s="15" t="s">
        <v>132</v>
      </c>
      <c r="C124" s="15"/>
      <c r="D124" s="100">
        <v>16.600000000000001</v>
      </c>
      <c r="E124" s="14" t="s">
        <v>237</v>
      </c>
      <c r="F124" s="17"/>
      <c r="G124" s="17" t="s">
        <v>785</v>
      </c>
      <c r="H124" s="17" t="s">
        <v>928</v>
      </c>
      <c r="I124" s="15"/>
      <c r="J124" s="15"/>
      <c r="K124" s="15"/>
      <c r="L124" s="16"/>
      <c r="M124" s="26">
        <f>IFERROR(VLOOKUP(tblRiskRegister32[[#This Row],[Asset Class]],tblVCDBIndex[],4,FALSE),"")</f>
        <v>2</v>
      </c>
      <c r="N124" s="26" t="str">
        <f>IFERROR(VLOOKUP(10*tblRiskRegister32[[#This Row],[Safeguard Maturity Score]]+tblRiskRegister32[[#This Row],[VCDB Index]],tblHITIndexWeightTable[],4,FALSE),"")</f>
        <v/>
      </c>
      <c r="O124" s="26" t="str">
        <f>VLOOKUP(tblRiskRegister32[[#This Row],[Asset Class]],tblInherentImpacts30[],2,FALSE)</f>
        <v/>
      </c>
      <c r="P124" s="26">
        <f>VLOOKUP(tblRiskRegister32[[#This Row],[Asset Class]],tblInherentImpacts30[],3,FALSE)</f>
        <v>0</v>
      </c>
      <c r="Q124" s="26">
        <f>VLOOKUP(tblRiskRegister32[[#This Row],[Asset Class]],tblInherentImpacts30[],4,FALSE)</f>
        <v>0</v>
      </c>
      <c r="R124" s="26">
        <f>VLOOKUP(tblRiskRegister32[[#This Row],[Asset Class]],tblInherentImpacts30[],5,FALSE)</f>
        <v>0</v>
      </c>
      <c r="S124" s="26" t="str">
        <f>IFERROR(MAX(tblRiskRegister32[[#This Row],[Impact to Mission]:[Impact to Obligations]])*tblRiskRegister32[[#This Row],[Expectancy Score]],"")</f>
        <v/>
      </c>
      <c r="T124" s="26" t="str">
        <f>tblRiskRegister32[[#This Row],[Risk Score]]</f>
        <v/>
      </c>
      <c r="U124" s="100"/>
      <c r="V124" s="100">
        <v>16.600000000000001</v>
      </c>
      <c r="W124" s="15" t="s">
        <v>237</v>
      </c>
      <c r="X124" s="15" t="s">
        <v>528</v>
      </c>
      <c r="Y124" s="15"/>
      <c r="Z124" s="16"/>
      <c r="AA124" s="27" t="str">
        <f>IFERROR(VLOOKUP(10*tblRiskRegister32[[#This Row],[Risk Treatment Safeguard Maturity Score]]+tblRiskRegister32[[#This Row],[VCDB Index]],tblHITIndexWeightTable[],4,FALSE),"")</f>
        <v/>
      </c>
      <c r="AB124" s="138" t="str">
        <f>VLOOKUP(tblRiskRegister32[[#This Row],[Asset Class]],tblInherentImpacts30[],2,FALSE)</f>
        <v/>
      </c>
      <c r="AC124" s="138">
        <f>VLOOKUP(tblRiskRegister32[[#This Row],[Asset Class]],tblInherentImpacts30[],3,FALSE)</f>
        <v>0</v>
      </c>
      <c r="AD124" s="138">
        <f>VLOOKUP(tblRiskRegister32[[#This Row],[Asset Class]],tblInherentImpacts30[],4,FALSE)</f>
        <v>0</v>
      </c>
      <c r="AE124" s="138">
        <f>VLOOKUP(tblRiskRegister32[[#This Row],[Asset Class]],tblInherentImpacts30[],5,FALSE)</f>
        <v>0</v>
      </c>
      <c r="AF124" s="138" t="str">
        <f>IFERROR(MAX(tblRiskRegister32[[#This Row],[Risk Treatment Safeguard Impact to Mission]:[Risk Treatment Safeguard Impact to Obligations]])*tblRiskRegister32[[#This Row],[Risk Treatment
Safeguard Expectancy Score]],"")</f>
        <v/>
      </c>
      <c r="AG124" s="138" t="str">
        <f>IF(tblRiskRegister32[[#This Row],[Risk Score]]&gt;AcceptableRisk,IF(tblRiskRegister32[[#This Row],[Risk Treatment Safeguard Risk Score]]&lt;AcceptableRisk, IF(tblRiskRegister32[[#This Row],[Risk Treatment Safeguard Risk Score]]&lt;=tblRiskRegister32[[#This Row],[Risk Score]],"Yes","No"),"No"),"Yes")</f>
        <v>No</v>
      </c>
      <c r="AH124" s="18"/>
      <c r="AI124" s="18"/>
      <c r="AJ124" s="19"/>
    </row>
    <row r="125" spans="2:36" ht="63.75" x14ac:dyDescent="0.2">
      <c r="B125" s="15" t="s">
        <v>132</v>
      </c>
      <c r="C125" s="15"/>
      <c r="D125" s="100">
        <v>16.7</v>
      </c>
      <c r="E125" s="14" t="s">
        <v>238</v>
      </c>
      <c r="F125" s="17"/>
      <c r="G125" s="17" t="s">
        <v>785</v>
      </c>
      <c r="H125" s="17" t="s">
        <v>928</v>
      </c>
      <c r="I125" s="15"/>
      <c r="J125" s="15"/>
      <c r="K125" s="15"/>
      <c r="L125" s="16"/>
      <c r="M125" s="26">
        <f>IFERROR(VLOOKUP(tblRiskRegister32[[#This Row],[Asset Class]],tblVCDBIndex[],4,FALSE),"")</f>
        <v>2</v>
      </c>
      <c r="N125" s="26" t="str">
        <f>IFERROR(VLOOKUP(10*tblRiskRegister32[[#This Row],[Safeguard Maturity Score]]+tblRiskRegister32[[#This Row],[VCDB Index]],tblHITIndexWeightTable[],4,FALSE),"")</f>
        <v/>
      </c>
      <c r="O125" s="26" t="str">
        <f>VLOOKUP(tblRiskRegister32[[#This Row],[Asset Class]],tblInherentImpacts30[],2,FALSE)</f>
        <v/>
      </c>
      <c r="P125" s="26">
        <f>VLOOKUP(tblRiskRegister32[[#This Row],[Asset Class]],tblInherentImpacts30[],3,FALSE)</f>
        <v>0</v>
      </c>
      <c r="Q125" s="26">
        <f>VLOOKUP(tblRiskRegister32[[#This Row],[Asset Class]],tblInherentImpacts30[],4,FALSE)</f>
        <v>0</v>
      </c>
      <c r="R125" s="26">
        <f>VLOOKUP(tblRiskRegister32[[#This Row],[Asset Class]],tblInherentImpacts30[],5,FALSE)</f>
        <v>0</v>
      </c>
      <c r="S125" s="26" t="str">
        <f>IFERROR(MAX(tblRiskRegister32[[#This Row],[Impact to Mission]:[Impact to Obligations]])*tblRiskRegister32[[#This Row],[Expectancy Score]],"")</f>
        <v/>
      </c>
      <c r="T125" s="26" t="str">
        <f>tblRiskRegister32[[#This Row],[Risk Score]]</f>
        <v/>
      </c>
      <c r="U125" s="100"/>
      <c r="V125" s="100">
        <v>16.7</v>
      </c>
      <c r="W125" s="15" t="s">
        <v>238</v>
      </c>
      <c r="X125" s="15" t="s">
        <v>529</v>
      </c>
      <c r="Y125" s="15"/>
      <c r="Z125" s="16"/>
      <c r="AA125" s="27" t="str">
        <f>IFERROR(VLOOKUP(10*tblRiskRegister32[[#This Row],[Risk Treatment Safeguard Maturity Score]]+tblRiskRegister32[[#This Row],[VCDB Index]],tblHITIndexWeightTable[],4,FALSE),"")</f>
        <v/>
      </c>
      <c r="AB125" s="138" t="str">
        <f>VLOOKUP(tblRiskRegister32[[#This Row],[Asset Class]],tblInherentImpacts30[],2,FALSE)</f>
        <v/>
      </c>
      <c r="AC125" s="138">
        <f>VLOOKUP(tblRiskRegister32[[#This Row],[Asset Class]],tblInherentImpacts30[],3,FALSE)</f>
        <v>0</v>
      </c>
      <c r="AD125" s="138">
        <f>VLOOKUP(tblRiskRegister32[[#This Row],[Asset Class]],tblInherentImpacts30[],4,FALSE)</f>
        <v>0</v>
      </c>
      <c r="AE125" s="138">
        <f>VLOOKUP(tblRiskRegister32[[#This Row],[Asset Class]],tblInherentImpacts30[],5,FALSE)</f>
        <v>0</v>
      </c>
      <c r="AF125" s="138" t="str">
        <f>IFERROR(MAX(tblRiskRegister32[[#This Row],[Risk Treatment Safeguard Impact to Mission]:[Risk Treatment Safeguard Impact to Obligations]])*tblRiskRegister32[[#This Row],[Risk Treatment
Safeguard Expectancy Score]],"")</f>
        <v/>
      </c>
      <c r="AG125" s="138" t="str">
        <f>IF(tblRiskRegister32[[#This Row],[Risk Score]]&gt;AcceptableRisk,IF(tblRiskRegister32[[#This Row],[Risk Treatment Safeguard Risk Score]]&lt;AcceptableRisk, IF(tblRiskRegister32[[#This Row],[Risk Treatment Safeguard Risk Score]]&lt;=tblRiskRegister32[[#This Row],[Risk Score]],"Yes","No"),"No"),"Yes")</f>
        <v>No</v>
      </c>
      <c r="AH125" s="18"/>
      <c r="AI125" s="18"/>
      <c r="AJ125" s="19"/>
    </row>
    <row r="126" spans="2:36" ht="25.5" x14ac:dyDescent="0.2">
      <c r="B126" s="15" t="s">
        <v>132</v>
      </c>
      <c r="C126" s="15"/>
      <c r="D126" s="100">
        <v>16.8</v>
      </c>
      <c r="E126" s="14" t="s">
        <v>239</v>
      </c>
      <c r="F126" s="17"/>
      <c r="G126" s="17" t="s">
        <v>785</v>
      </c>
      <c r="H126" s="17" t="s">
        <v>928</v>
      </c>
      <c r="I126" s="15"/>
      <c r="J126" s="15"/>
      <c r="K126" s="15"/>
      <c r="L126" s="16"/>
      <c r="M126" s="26">
        <f>IFERROR(VLOOKUP(tblRiskRegister32[[#This Row],[Asset Class]],tblVCDBIndex[],4,FALSE),"")</f>
        <v>2</v>
      </c>
      <c r="N126" s="26" t="str">
        <f>IFERROR(VLOOKUP(10*tblRiskRegister32[[#This Row],[Safeguard Maturity Score]]+tblRiskRegister32[[#This Row],[VCDB Index]],tblHITIndexWeightTable[],4,FALSE),"")</f>
        <v/>
      </c>
      <c r="O126" s="26" t="str">
        <f>VLOOKUP(tblRiskRegister32[[#This Row],[Asset Class]],tblInherentImpacts30[],2,FALSE)</f>
        <v/>
      </c>
      <c r="P126" s="26">
        <f>VLOOKUP(tblRiskRegister32[[#This Row],[Asset Class]],tblInherentImpacts30[],3,FALSE)</f>
        <v>0</v>
      </c>
      <c r="Q126" s="26">
        <f>VLOOKUP(tblRiskRegister32[[#This Row],[Asset Class]],tblInherentImpacts30[],4,FALSE)</f>
        <v>0</v>
      </c>
      <c r="R126" s="26">
        <f>VLOOKUP(tblRiskRegister32[[#This Row],[Asset Class]],tblInherentImpacts30[],5,FALSE)</f>
        <v>0</v>
      </c>
      <c r="S126" s="26" t="str">
        <f>IFERROR(MAX(tblRiskRegister32[[#This Row],[Impact to Mission]:[Impact to Obligations]])*tblRiskRegister32[[#This Row],[Expectancy Score]],"")</f>
        <v/>
      </c>
      <c r="T126" s="26" t="str">
        <f>tblRiskRegister32[[#This Row],[Risk Score]]</f>
        <v/>
      </c>
      <c r="U126" s="100"/>
      <c r="V126" s="100">
        <v>16.8</v>
      </c>
      <c r="W126" s="15" t="s">
        <v>239</v>
      </c>
      <c r="X126" s="15" t="s">
        <v>530</v>
      </c>
      <c r="Y126" s="15"/>
      <c r="Z126" s="16"/>
      <c r="AA126" s="27" t="str">
        <f>IFERROR(VLOOKUP(10*tblRiskRegister32[[#This Row],[Risk Treatment Safeguard Maturity Score]]+tblRiskRegister32[[#This Row],[VCDB Index]],tblHITIndexWeightTable[],4,FALSE),"")</f>
        <v/>
      </c>
      <c r="AB126" s="138" t="str">
        <f>VLOOKUP(tblRiskRegister32[[#This Row],[Asset Class]],tblInherentImpacts30[],2,FALSE)</f>
        <v/>
      </c>
      <c r="AC126" s="138">
        <f>VLOOKUP(tblRiskRegister32[[#This Row],[Asset Class]],tblInherentImpacts30[],3,FALSE)</f>
        <v>0</v>
      </c>
      <c r="AD126" s="138">
        <f>VLOOKUP(tblRiskRegister32[[#This Row],[Asset Class]],tblInherentImpacts30[],4,FALSE)</f>
        <v>0</v>
      </c>
      <c r="AE126" s="138">
        <f>VLOOKUP(tblRiskRegister32[[#This Row],[Asset Class]],tblInherentImpacts30[],5,FALSE)</f>
        <v>0</v>
      </c>
      <c r="AF126" s="138" t="str">
        <f>IFERROR(MAX(tblRiskRegister32[[#This Row],[Risk Treatment Safeguard Impact to Mission]:[Risk Treatment Safeguard Impact to Obligations]])*tblRiskRegister32[[#This Row],[Risk Treatment
Safeguard Expectancy Score]],"")</f>
        <v/>
      </c>
      <c r="AG126" s="138" t="str">
        <f>IF(tblRiskRegister32[[#This Row],[Risk Score]]&gt;AcceptableRisk,IF(tblRiskRegister32[[#This Row],[Risk Treatment Safeguard Risk Score]]&lt;AcceptableRisk, IF(tblRiskRegister32[[#This Row],[Risk Treatment Safeguard Risk Score]]&lt;=tblRiskRegister32[[#This Row],[Risk Score]],"Yes","No"),"No"),"Yes")</f>
        <v>No</v>
      </c>
      <c r="AH126" s="18"/>
      <c r="AI126" s="18"/>
      <c r="AJ126" s="19"/>
    </row>
    <row r="127" spans="2:36" ht="76.5" x14ac:dyDescent="0.2">
      <c r="B127" s="15" t="s">
        <v>132</v>
      </c>
      <c r="C127" s="15"/>
      <c r="D127" s="100">
        <v>16.899999999999999</v>
      </c>
      <c r="E127" s="14" t="s">
        <v>240</v>
      </c>
      <c r="F127" s="17"/>
      <c r="G127" s="17" t="s">
        <v>785</v>
      </c>
      <c r="H127" s="17" t="s">
        <v>928</v>
      </c>
      <c r="I127" s="15"/>
      <c r="J127" s="15"/>
      <c r="K127" s="15"/>
      <c r="L127" s="16"/>
      <c r="M127" s="26">
        <f>IFERROR(VLOOKUP(tblRiskRegister32[[#This Row],[Asset Class]],tblVCDBIndex[],4,FALSE),"")</f>
        <v>2</v>
      </c>
      <c r="N127" s="26" t="str">
        <f>IFERROR(VLOOKUP(10*tblRiskRegister32[[#This Row],[Safeguard Maturity Score]]+tblRiskRegister32[[#This Row],[VCDB Index]],tblHITIndexWeightTable[],4,FALSE),"")</f>
        <v/>
      </c>
      <c r="O127" s="26" t="str">
        <f>VLOOKUP(tblRiskRegister32[[#This Row],[Asset Class]],tblInherentImpacts30[],2,FALSE)</f>
        <v/>
      </c>
      <c r="P127" s="26">
        <f>VLOOKUP(tblRiskRegister32[[#This Row],[Asset Class]],tblInherentImpacts30[],3,FALSE)</f>
        <v>0</v>
      </c>
      <c r="Q127" s="26">
        <f>VLOOKUP(tblRiskRegister32[[#This Row],[Asset Class]],tblInherentImpacts30[],4,FALSE)</f>
        <v>0</v>
      </c>
      <c r="R127" s="26">
        <f>VLOOKUP(tblRiskRegister32[[#This Row],[Asset Class]],tblInherentImpacts30[],5,FALSE)</f>
        <v>0</v>
      </c>
      <c r="S127" s="26" t="str">
        <f>IFERROR(MAX(tblRiskRegister32[[#This Row],[Impact to Mission]:[Impact to Obligations]])*tblRiskRegister32[[#This Row],[Expectancy Score]],"")</f>
        <v/>
      </c>
      <c r="T127" s="26" t="str">
        <f>tblRiskRegister32[[#This Row],[Risk Score]]</f>
        <v/>
      </c>
      <c r="U127" s="100"/>
      <c r="V127" s="100">
        <v>16.899999999999999</v>
      </c>
      <c r="W127" s="15" t="s">
        <v>240</v>
      </c>
      <c r="X127" s="15" t="s">
        <v>531</v>
      </c>
      <c r="Y127" s="15"/>
      <c r="Z127" s="16"/>
      <c r="AA127" s="27" t="str">
        <f>IFERROR(VLOOKUP(10*tblRiskRegister32[[#This Row],[Risk Treatment Safeguard Maturity Score]]+tblRiskRegister32[[#This Row],[VCDB Index]],tblHITIndexWeightTable[],4,FALSE),"")</f>
        <v/>
      </c>
      <c r="AB127" s="138" t="str">
        <f>VLOOKUP(tblRiskRegister32[[#This Row],[Asset Class]],tblInherentImpacts30[],2,FALSE)</f>
        <v/>
      </c>
      <c r="AC127" s="138">
        <f>VLOOKUP(tblRiskRegister32[[#This Row],[Asset Class]],tblInherentImpacts30[],3,FALSE)</f>
        <v>0</v>
      </c>
      <c r="AD127" s="138">
        <f>VLOOKUP(tblRiskRegister32[[#This Row],[Asset Class]],tblInherentImpacts30[],4,FALSE)</f>
        <v>0</v>
      </c>
      <c r="AE127" s="138">
        <f>VLOOKUP(tblRiskRegister32[[#This Row],[Asset Class]],tblInherentImpacts30[],5,FALSE)</f>
        <v>0</v>
      </c>
      <c r="AF127" s="138" t="str">
        <f>IFERROR(MAX(tblRiskRegister32[[#This Row],[Risk Treatment Safeguard Impact to Mission]:[Risk Treatment Safeguard Impact to Obligations]])*tblRiskRegister32[[#This Row],[Risk Treatment
Safeguard Expectancy Score]],"")</f>
        <v/>
      </c>
      <c r="AG127" s="138" t="str">
        <f>IF(tblRiskRegister32[[#This Row],[Risk Score]]&gt;AcceptableRisk,IF(tblRiskRegister32[[#This Row],[Risk Treatment Safeguard Risk Score]]&lt;AcceptableRisk, IF(tblRiskRegister32[[#This Row],[Risk Treatment Safeguard Risk Score]]&lt;=tblRiskRegister32[[#This Row],[Risk Score]],"Yes","No"),"No"),"Yes")</f>
        <v>No</v>
      </c>
      <c r="AH127" s="18"/>
      <c r="AI127" s="18"/>
      <c r="AJ127" s="19"/>
    </row>
    <row r="128" spans="2:36" ht="114.75" x14ac:dyDescent="0.2">
      <c r="B128" s="15" t="s">
        <v>132</v>
      </c>
      <c r="C128" s="15"/>
      <c r="D128" s="288">
        <v>16.100000000000001</v>
      </c>
      <c r="E128" s="14" t="s">
        <v>241</v>
      </c>
      <c r="F128" s="17"/>
      <c r="G128" s="17" t="s">
        <v>785</v>
      </c>
      <c r="H128" s="17" t="s">
        <v>928</v>
      </c>
      <c r="I128" s="15"/>
      <c r="J128" s="15"/>
      <c r="K128" s="15"/>
      <c r="L128" s="16"/>
      <c r="M128" s="26">
        <f>IFERROR(VLOOKUP(tblRiskRegister32[[#This Row],[Asset Class]],tblVCDBIndex[],4,FALSE),"")</f>
        <v>2</v>
      </c>
      <c r="N128" s="26" t="str">
        <f>IFERROR(VLOOKUP(10*tblRiskRegister32[[#This Row],[Safeguard Maturity Score]]+tblRiskRegister32[[#This Row],[VCDB Index]],tblHITIndexWeightTable[],4,FALSE),"")</f>
        <v/>
      </c>
      <c r="O128" s="26" t="str">
        <f>VLOOKUP(tblRiskRegister32[[#This Row],[Asset Class]],tblInherentImpacts30[],2,FALSE)</f>
        <v/>
      </c>
      <c r="P128" s="26">
        <f>VLOOKUP(tblRiskRegister32[[#This Row],[Asset Class]],tblInherentImpacts30[],3,FALSE)</f>
        <v>0</v>
      </c>
      <c r="Q128" s="26">
        <f>VLOOKUP(tblRiskRegister32[[#This Row],[Asset Class]],tblInherentImpacts30[],4,FALSE)</f>
        <v>0</v>
      </c>
      <c r="R128" s="26">
        <f>VLOOKUP(tblRiskRegister32[[#This Row],[Asset Class]],tblInherentImpacts30[],5,FALSE)</f>
        <v>0</v>
      </c>
      <c r="S128" s="26" t="str">
        <f>IFERROR(MAX(tblRiskRegister32[[#This Row],[Impact to Mission]:[Impact to Obligations]])*tblRiskRegister32[[#This Row],[Expectancy Score]],"")</f>
        <v/>
      </c>
      <c r="T128" s="26" t="str">
        <f>tblRiskRegister32[[#This Row],[Risk Score]]</f>
        <v/>
      </c>
      <c r="U128" s="100"/>
      <c r="V128" s="100">
        <v>16.100000000000001</v>
      </c>
      <c r="W128" s="15" t="s">
        <v>241</v>
      </c>
      <c r="X128" s="15" t="s">
        <v>532</v>
      </c>
      <c r="Y128" s="15"/>
      <c r="Z128" s="16"/>
      <c r="AA128" s="27" t="str">
        <f>IFERROR(VLOOKUP(10*tblRiskRegister32[[#This Row],[Risk Treatment Safeguard Maturity Score]]+tblRiskRegister32[[#This Row],[VCDB Index]],tblHITIndexWeightTable[],4,FALSE),"")</f>
        <v/>
      </c>
      <c r="AB128" s="138" t="str">
        <f>VLOOKUP(tblRiskRegister32[[#This Row],[Asset Class]],tblInherentImpacts30[],2,FALSE)</f>
        <v/>
      </c>
      <c r="AC128" s="138">
        <f>VLOOKUP(tblRiskRegister32[[#This Row],[Asset Class]],tblInherentImpacts30[],3,FALSE)</f>
        <v>0</v>
      </c>
      <c r="AD128" s="138">
        <f>VLOOKUP(tblRiskRegister32[[#This Row],[Asset Class]],tblInherentImpacts30[],4,FALSE)</f>
        <v>0</v>
      </c>
      <c r="AE128" s="138">
        <f>VLOOKUP(tblRiskRegister32[[#This Row],[Asset Class]],tblInherentImpacts30[],5,FALSE)</f>
        <v>0</v>
      </c>
      <c r="AF128" s="138" t="str">
        <f>IFERROR(MAX(tblRiskRegister32[[#This Row],[Risk Treatment Safeguard Impact to Mission]:[Risk Treatment Safeguard Impact to Obligations]])*tblRiskRegister32[[#This Row],[Risk Treatment
Safeguard Expectancy Score]],"")</f>
        <v/>
      </c>
      <c r="AG128" s="138" t="str">
        <f>IF(tblRiskRegister32[[#This Row],[Risk Score]]&gt;AcceptableRisk,IF(tblRiskRegister32[[#This Row],[Risk Treatment Safeguard Risk Score]]&lt;AcceptableRisk, IF(tblRiskRegister32[[#This Row],[Risk Treatment Safeguard Risk Score]]&lt;=tblRiskRegister32[[#This Row],[Risk Score]],"Yes","No"),"No"),"Yes")</f>
        <v>No</v>
      </c>
      <c r="AH128" s="18"/>
      <c r="AI128" s="18"/>
      <c r="AJ128" s="19"/>
    </row>
    <row r="129" spans="2:36" ht="114.75" x14ac:dyDescent="0.2">
      <c r="B129" s="15" t="s">
        <v>132</v>
      </c>
      <c r="C129" s="15"/>
      <c r="D129" s="100">
        <v>16.11</v>
      </c>
      <c r="E129" s="14" t="s">
        <v>242</v>
      </c>
      <c r="F129" s="17"/>
      <c r="G129" s="17" t="s">
        <v>785</v>
      </c>
      <c r="H129" s="17" t="s">
        <v>928</v>
      </c>
      <c r="I129" s="15"/>
      <c r="J129" s="15"/>
      <c r="K129" s="15"/>
      <c r="L129" s="16"/>
      <c r="M129" s="26">
        <f>IFERROR(VLOOKUP(tblRiskRegister32[[#This Row],[Asset Class]],tblVCDBIndex[],4,FALSE),"")</f>
        <v>2</v>
      </c>
      <c r="N129" s="26" t="str">
        <f>IFERROR(VLOOKUP(10*tblRiskRegister32[[#This Row],[Safeguard Maturity Score]]+tblRiskRegister32[[#This Row],[VCDB Index]],tblHITIndexWeightTable[],4,FALSE),"")</f>
        <v/>
      </c>
      <c r="O129" s="26" t="str">
        <f>VLOOKUP(tblRiskRegister32[[#This Row],[Asset Class]],tblInherentImpacts30[],2,FALSE)</f>
        <v/>
      </c>
      <c r="P129" s="26">
        <f>VLOOKUP(tblRiskRegister32[[#This Row],[Asset Class]],tblInherentImpacts30[],3,FALSE)</f>
        <v>0</v>
      </c>
      <c r="Q129" s="26">
        <f>VLOOKUP(tblRiskRegister32[[#This Row],[Asset Class]],tblInherentImpacts30[],4,FALSE)</f>
        <v>0</v>
      </c>
      <c r="R129" s="26">
        <f>VLOOKUP(tblRiskRegister32[[#This Row],[Asset Class]],tblInherentImpacts30[],5,FALSE)</f>
        <v>0</v>
      </c>
      <c r="S129" s="26" t="str">
        <f>IFERROR(MAX(tblRiskRegister32[[#This Row],[Impact to Mission]:[Impact to Obligations]])*tblRiskRegister32[[#This Row],[Expectancy Score]],"")</f>
        <v/>
      </c>
      <c r="T129" s="26" t="str">
        <f>tblRiskRegister32[[#This Row],[Risk Score]]</f>
        <v/>
      </c>
      <c r="U129" s="100"/>
      <c r="V129" s="100">
        <v>16.11</v>
      </c>
      <c r="W129" s="15" t="s">
        <v>242</v>
      </c>
      <c r="X129" s="15" t="s">
        <v>533</v>
      </c>
      <c r="Y129" s="15"/>
      <c r="Z129" s="16"/>
      <c r="AA129" s="27" t="str">
        <f>IFERROR(VLOOKUP(10*tblRiskRegister32[[#This Row],[Risk Treatment Safeguard Maturity Score]]+tblRiskRegister32[[#This Row],[VCDB Index]],tblHITIndexWeightTable[],4,FALSE),"")</f>
        <v/>
      </c>
      <c r="AB129" s="138" t="str">
        <f>VLOOKUP(tblRiskRegister32[[#This Row],[Asset Class]],tblInherentImpacts30[],2,FALSE)</f>
        <v/>
      </c>
      <c r="AC129" s="138">
        <f>VLOOKUP(tblRiskRegister32[[#This Row],[Asset Class]],tblInherentImpacts30[],3,FALSE)</f>
        <v>0</v>
      </c>
      <c r="AD129" s="138">
        <f>VLOOKUP(tblRiskRegister32[[#This Row],[Asset Class]],tblInherentImpacts30[],4,FALSE)</f>
        <v>0</v>
      </c>
      <c r="AE129" s="138">
        <f>VLOOKUP(tblRiskRegister32[[#This Row],[Asset Class]],tblInherentImpacts30[],5,FALSE)</f>
        <v>0</v>
      </c>
      <c r="AF129" s="138" t="str">
        <f>IFERROR(MAX(tblRiskRegister32[[#This Row],[Risk Treatment Safeguard Impact to Mission]:[Risk Treatment Safeguard Impact to Obligations]])*tblRiskRegister32[[#This Row],[Risk Treatment
Safeguard Expectancy Score]],"")</f>
        <v/>
      </c>
      <c r="AG129" s="138" t="str">
        <f>IF(tblRiskRegister32[[#This Row],[Risk Score]]&gt;AcceptableRisk,IF(tblRiskRegister32[[#This Row],[Risk Treatment Safeguard Risk Score]]&lt;AcceptableRisk, IF(tblRiskRegister32[[#This Row],[Risk Treatment Safeguard Risk Score]]&lt;=tblRiskRegister32[[#This Row],[Risk Score]],"Yes","No"),"No"),"Yes")</f>
        <v>No</v>
      </c>
      <c r="AH129" s="18"/>
      <c r="AI129" s="18"/>
      <c r="AJ129" s="19"/>
    </row>
    <row r="130" spans="2:36" ht="102" x14ac:dyDescent="0.2">
      <c r="B130" s="44" t="s">
        <v>135</v>
      </c>
      <c r="C130" s="44"/>
      <c r="D130" s="112">
        <v>17.100000000000001</v>
      </c>
      <c r="E130" s="14" t="s">
        <v>127</v>
      </c>
      <c r="F130" s="17" t="s">
        <v>785</v>
      </c>
      <c r="G130" s="17" t="s">
        <v>785</v>
      </c>
      <c r="H130" s="17" t="s">
        <v>927</v>
      </c>
      <c r="I130" s="15"/>
      <c r="J130" s="15"/>
      <c r="K130" s="15"/>
      <c r="L130" s="16"/>
      <c r="M130" s="26">
        <f>IFERROR(VLOOKUP(tblRiskRegister32[[#This Row],[Asset Class]],tblVCDBIndex[],4,FALSE),"")</f>
        <v>3</v>
      </c>
      <c r="N130" s="29" t="str">
        <f>IFERROR(VLOOKUP(10*tblRiskRegister32[[#This Row],[Safeguard Maturity Score]]+tblRiskRegister32[[#This Row],[VCDB Index]],tblHITIndexWeightTable[],4,FALSE),"")</f>
        <v/>
      </c>
      <c r="O130" s="29" t="str">
        <f>VLOOKUP(tblRiskRegister32[[#This Row],[Asset Class]],tblInherentImpacts30[],2,FALSE)</f>
        <v/>
      </c>
      <c r="P130" s="29" t="str">
        <f>VLOOKUP(tblRiskRegister32[[#This Row],[Asset Class]],tblInherentImpacts30[],3,FALSE)</f>
        <v/>
      </c>
      <c r="Q130" s="29" t="str">
        <f>VLOOKUP(tblRiskRegister32[[#This Row],[Asset Class]],tblInherentImpacts30[],4,FALSE)</f>
        <v/>
      </c>
      <c r="R130" s="29" t="str">
        <f>VLOOKUP(tblRiskRegister32[[#This Row],[Asset Class]],tblInherentImpacts30[],5,FALSE)</f>
        <v/>
      </c>
      <c r="S130" s="29" t="str">
        <f>IFERROR(MAX(tblRiskRegister32[[#This Row],[Impact to Mission]:[Impact to Obligations]])*tblRiskRegister32[[#This Row],[Expectancy Score]],"")</f>
        <v/>
      </c>
      <c r="T130" s="29" t="str">
        <f>tblRiskRegister32[[#This Row],[Risk Score]]</f>
        <v/>
      </c>
      <c r="U130" s="100"/>
      <c r="V130" s="112">
        <v>17.100000000000001</v>
      </c>
      <c r="W130" s="44" t="s">
        <v>127</v>
      </c>
      <c r="X130" s="44" t="s">
        <v>534</v>
      </c>
      <c r="Y130" s="30"/>
      <c r="Z130" s="16"/>
      <c r="AA130" s="27" t="str">
        <f>IFERROR(VLOOKUP(10*tblRiskRegister32[[#This Row],[Risk Treatment Safeguard Maturity Score]]+tblRiskRegister32[[#This Row],[VCDB Index]],tblHITIndexWeightTable[],4,FALSE),"")</f>
        <v/>
      </c>
      <c r="AB130" s="138" t="str">
        <f>VLOOKUP(tblRiskRegister32[[#This Row],[Asset Class]],tblInherentImpacts30[],2,FALSE)</f>
        <v/>
      </c>
      <c r="AC130" s="138" t="str">
        <f>VLOOKUP(tblRiskRegister32[[#This Row],[Asset Class]],tblInherentImpacts30[],3,FALSE)</f>
        <v/>
      </c>
      <c r="AD130" s="138" t="str">
        <f>VLOOKUP(tblRiskRegister32[[#This Row],[Asset Class]],tblInherentImpacts30[],4,FALSE)</f>
        <v/>
      </c>
      <c r="AE130" s="138" t="str">
        <f>VLOOKUP(tblRiskRegister32[[#This Row],[Asset Class]],tblInherentImpacts30[],5,FALSE)</f>
        <v/>
      </c>
      <c r="AF130" s="138" t="str">
        <f>IFERROR(MAX(tblRiskRegister32[[#This Row],[Risk Treatment Safeguard Impact to Mission]:[Risk Treatment Safeguard Impact to Obligations]])*tblRiskRegister32[[#This Row],[Risk Treatment
Safeguard Expectancy Score]],"")</f>
        <v/>
      </c>
      <c r="AG130" s="138" t="str">
        <f>IF(tblRiskRegister32[[#This Row],[Risk Score]]&gt;AcceptableRisk,IF(tblRiskRegister32[[#This Row],[Risk Treatment Safeguard Risk Score]]&lt;AcceptableRisk, IF(tblRiskRegister32[[#This Row],[Risk Treatment Safeguard Risk Score]]&lt;=tblRiskRegister32[[#This Row],[Risk Score]],"Yes","No"),"No"),"Yes")</f>
        <v>No</v>
      </c>
      <c r="AH130" s="18"/>
      <c r="AI130" s="18"/>
      <c r="AJ130" s="19"/>
    </row>
    <row r="131" spans="2:36" ht="63.75" x14ac:dyDescent="0.2">
      <c r="B131" s="44" t="s">
        <v>135</v>
      </c>
      <c r="C131" s="44"/>
      <c r="D131" s="112">
        <v>17.2</v>
      </c>
      <c r="E131" s="14" t="s">
        <v>128</v>
      </c>
      <c r="F131" s="17" t="s">
        <v>785</v>
      </c>
      <c r="G131" s="17" t="s">
        <v>785</v>
      </c>
      <c r="H131" s="17" t="s">
        <v>927</v>
      </c>
      <c r="I131" s="15"/>
      <c r="J131" s="15"/>
      <c r="K131" s="15"/>
      <c r="L131" s="16"/>
      <c r="M131" s="26">
        <f>IFERROR(VLOOKUP(tblRiskRegister32[[#This Row],[Asset Class]],tblVCDBIndex[],4,FALSE),"")</f>
        <v>3</v>
      </c>
      <c r="N131" s="29" t="str">
        <f>IFERROR(VLOOKUP(10*tblRiskRegister32[[#This Row],[Safeguard Maturity Score]]+tblRiskRegister32[[#This Row],[VCDB Index]],tblHITIndexWeightTable[],4,FALSE),"")</f>
        <v/>
      </c>
      <c r="O131" s="29" t="str">
        <f>VLOOKUP(tblRiskRegister32[[#This Row],[Asset Class]],tblInherentImpacts30[],2,FALSE)</f>
        <v/>
      </c>
      <c r="P131" s="29" t="str">
        <f>VLOOKUP(tblRiskRegister32[[#This Row],[Asset Class]],tblInherentImpacts30[],3,FALSE)</f>
        <v/>
      </c>
      <c r="Q131" s="29" t="str">
        <f>VLOOKUP(tblRiskRegister32[[#This Row],[Asset Class]],tblInherentImpacts30[],4,FALSE)</f>
        <v/>
      </c>
      <c r="R131" s="29" t="str">
        <f>VLOOKUP(tblRiskRegister32[[#This Row],[Asset Class]],tblInherentImpacts30[],5,FALSE)</f>
        <v/>
      </c>
      <c r="S131" s="29" t="str">
        <f>IFERROR(MAX(tblRiskRegister32[[#This Row],[Impact to Mission]:[Impact to Obligations]])*tblRiskRegister32[[#This Row],[Expectancy Score]],"")</f>
        <v/>
      </c>
      <c r="T131" s="29" t="str">
        <f>tblRiskRegister32[[#This Row],[Risk Score]]</f>
        <v/>
      </c>
      <c r="U131" s="100"/>
      <c r="V131" s="112">
        <v>17.2</v>
      </c>
      <c r="W131" s="44" t="s">
        <v>128</v>
      </c>
      <c r="X131" s="44" t="s">
        <v>535</v>
      </c>
      <c r="Y131" s="30"/>
      <c r="Z131" s="16"/>
      <c r="AA131" s="27" t="str">
        <f>IFERROR(VLOOKUP(10*tblRiskRegister32[[#This Row],[Risk Treatment Safeguard Maturity Score]]+tblRiskRegister32[[#This Row],[VCDB Index]],tblHITIndexWeightTable[],4,FALSE),"")</f>
        <v/>
      </c>
      <c r="AB131" s="138" t="str">
        <f>VLOOKUP(tblRiskRegister32[[#This Row],[Asset Class]],tblInherentImpacts30[],2,FALSE)</f>
        <v/>
      </c>
      <c r="AC131" s="138" t="str">
        <f>VLOOKUP(tblRiskRegister32[[#This Row],[Asset Class]],tblInherentImpacts30[],3,FALSE)</f>
        <v/>
      </c>
      <c r="AD131" s="138" t="str">
        <f>VLOOKUP(tblRiskRegister32[[#This Row],[Asset Class]],tblInherentImpacts30[],4,FALSE)</f>
        <v/>
      </c>
      <c r="AE131" s="138" t="str">
        <f>VLOOKUP(tblRiskRegister32[[#This Row],[Asset Class]],tblInherentImpacts30[],5,FALSE)</f>
        <v/>
      </c>
      <c r="AF131" s="138" t="str">
        <f>IFERROR(MAX(tblRiskRegister32[[#This Row],[Risk Treatment Safeguard Impact to Mission]:[Risk Treatment Safeguard Impact to Obligations]])*tblRiskRegister32[[#This Row],[Risk Treatment
Safeguard Expectancy Score]],"")</f>
        <v/>
      </c>
      <c r="AG131" s="138" t="str">
        <f>IF(tblRiskRegister32[[#This Row],[Risk Score]]&gt;AcceptableRisk,IF(tblRiskRegister32[[#This Row],[Risk Treatment Safeguard Risk Score]]&lt;AcceptableRisk, IF(tblRiskRegister32[[#This Row],[Risk Treatment Safeguard Risk Score]]&lt;=tblRiskRegister32[[#This Row],[Risk Score]],"Yes","No"),"No"),"Yes")</f>
        <v>No</v>
      </c>
      <c r="AH131" s="18"/>
      <c r="AI131" s="18"/>
      <c r="AJ131" s="19"/>
    </row>
    <row r="132" spans="2:36" ht="76.5" x14ac:dyDescent="0.2">
      <c r="B132" s="44" t="s">
        <v>135</v>
      </c>
      <c r="C132" s="44"/>
      <c r="D132" s="112">
        <v>17.3</v>
      </c>
      <c r="E132" s="14" t="s">
        <v>129</v>
      </c>
      <c r="F132" s="17" t="s">
        <v>785</v>
      </c>
      <c r="G132" s="17" t="s">
        <v>785</v>
      </c>
      <c r="H132" s="17" t="s">
        <v>927</v>
      </c>
      <c r="I132" s="15"/>
      <c r="J132" s="15"/>
      <c r="K132" s="15"/>
      <c r="L132" s="16"/>
      <c r="M132" s="26">
        <f>IFERROR(VLOOKUP(tblRiskRegister32[[#This Row],[Asset Class]],tblVCDBIndex[],4,FALSE),"")</f>
        <v>3</v>
      </c>
      <c r="N132" s="29" t="str">
        <f>IFERROR(VLOOKUP(10*tblRiskRegister32[[#This Row],[Safeguard Maturity Score]]+tblRiskRegister32[[#This Row],[VCDB Index]],tblHITIndexWeightTable[],4,FALSE),"")</f>
        <v/>
      </c>
      <c r="O132" s="29" t="str">
        <f>VLOOKUP(tblRiskRegister32[[#This Row],[Asset Class]],tblInherentImpacts30[],2,FALSE)</f>
        <v/>
      </c>
      <c r="P132" s="29" t="str">
        <f>VLOOKUP(tblRiskRegister32[[#This Row],[Asset Class]],tblInherentImpacts30[],3,FALSE)</f>
        <v/>
      </c>
      <c r="Q132" s="29" t="str">
        <f>VLOOKUP(tblRiskRegister32[[#This Row],[Asset Class]],tblInherentImpacts30[],4,FALSE)</f>
        <v/>
      </c>
      <c r="R132" s="29" t="str">
        <f>VLOOKUP(tblRiskRegister32[[#This Row],[Asset Class]],tblInherentImpacts30[],5,FALSE)</f>
        <v/>
      </c>
      <c r="S132" s="29" t="str">
        <f>IFERROR(MAX(tblRiskRegister32[[#This Row],[Impact to Mission]:[Impact to Obligations]])*tblRiskRegister32[[#This Row],[Expectancy Score]],"")</f>
        <v/>
      </c>
      <c r="T132" s="29" t="str">
        <f>tblRiskRegister32[[#This Row],[Risk Score]]</f>
        <v/>
      </c>
      <c r="U132" s="100"/>
      <c r="V132" s="112">
        <v>17.3</v>
      </c>
      <c r="W132" s="44" t="s">
        <v>129</v>
      </c>
      <c r="X132" s="44" t="s">
        <v>536</v>
      </c>
      <c r="Y132" s="30"/>
      <c r="Z132" s="16"/>
      <c r="AA132" s="27" t="str">
        <f>IFERROR(VLOOKUP(10*tblRiskRegister32[[#This Row],[Risk Treatment Safeguard Maturity Score]]+tblRiskRegister32[[#This Row],[VCDB Index]],tblHITIndexWeightTable[],4,FALSE),"")</f>
        <v/>
      </c>
      <c r="AB132" s="138" t="str">
        <f>VLOOKUP(tblRiskRegister32[[#This Row],[Asset Class]],tblInherentImpacts30[],2,FALSE)</f>
        <v/>
      </c>
      <c r="AC132" s="138" t="str">
        <f>VLOOKUP(tblRiskRegister32[[#This Row],[Asset Class]],tblInherentImpacts30[],3,FALSE)</f>
        <v/>
      </c>
      <c r="AD132" s="138" t="str">
        <f>VLOOKUP(tblRiskRegister32[[#This Row],[Asset Class]],tblInherentImpacts30[],4,FALSE)</f>
        <v/>
      </c>
      <c r="AE132" s="138" t="str">
        <f>VLOOKUP(tblRiskRegister32[[#This Row],[Asset Class]],tblInherentImpacts30[],5,FALSE)</f>
        <v/>
      </c>
      <c r="AF132" s="138" t="str">
        <f>IFERROR(MAX(tblRiskRegister32[[#This Row],[Risk Treatment Safeguard Impact to Mission]:[Risk Treatment Safeguard Impact to Obligations]])*tblRiskRegister32[[#This Row],[Risk Treatment
Safeguard Expectancy Score]],"")</f>
        <v/>
      </c>
      <c r="AG132" s="138" t="str">
        <f>IF(tblRiskRegister32[[#This Row],[Risk Score]]&gt;AcceptableRisk,IF(tblRiskRegister32[[#This Row],[Risk Treatment Safeguard Risk Score]]&lt;AcceptableRisk, IF(tblRiskRegister32[[#This Row],[Risk Treatment Safeguard Risk Score]]&lt;=tblRiskRegister32[[#This Row],[Risk Score]],"Yes","No"),"No"),"Yes")</f>
        <v>No</v>
      </c>
      <c r="AH132" s="18"/>
      <c r="AI132" s="18"/>
      <c r="AJ132" s="19"/>
    </row>
    <row r="133" spans="2:36" ht="51" x14ac:dyDescent="0.2">
      <c r="B133" s="44" t="s">
        <v>135</v>
      </c>
      <c r="C133" s="44"/>
      <c r="D133" s="112">
        <v>17.399999999999999</v>
      </c>
      <c r="E133" s="14" t="s">
        <v>267</v>
      </c>
      <c r="F133" s="17"/>
      <c r="G133" s="17" t="s">
        <v>785</v>
      </c>
      <c r="H133" s="17" t="s">
        <v>927</v>
      </c>
      <c r="I133" s="15"/>
      <c r="J133" s="15"/>
      <c r="K133" s="15"/>
      <c r="L133" s="16"/>
      <c r="M133" s="26">
        <f>IFERROR(VLOOKUP(tblRiskRegister32[[#This Row],[Asset Class]],tblVCDBIndex[],4,FALSE),"")</f>
        <v>3</v>
      </c>
      <c r="N133" s="29" t="str">
        <f>IFERROR(VLOOKUP(10*tblRiskRegister32[[#This Row],[Safeguard Maturity Score]]+tblRiskRegister32[[#This Row],[VCDB Index]],tblHITIndexWeightTable[],4,FALSE),"")</f>
        <v/>
      </c>
      <c r="O133" s="29" t="str">
        <f>VLOOKUP(tblRiskRegister32[[#This Row],[Asset Class]],tblInherentImpacts30[],2,FALSE)</f>
        <v/>
      </c>
      <c r="P133" s="29" t="str">
        <f>VLOOKUP(tblRiskRegister32[[#This Row],[Asset Class]],tblInherentImpacts30[],3,FALSE)</f>
        <v/>
      </c>
      <c r="Q133" s="29" t="str">
        <f>VLOOKUP(tblRiskRegister32[[#This Row],[Asset Class]],tblInherentImpacts30[],4,FALSE)</f>
        <v/>
      </c>
      <c r="R133" s="29" t="str">
        <f>VLOOKUP(tblRiskRegister32[[#This Row],[Asset Class]],tblInherentImpacts30[],5,FALSE)</f>
        <v/>
      </c>
      <c r="S133" s="29" t="str">
        <f>IFERROR(MAX(tblRiskRegister32[[#This Row],[Impact to Mission]:[Impact to Obligations]])*tblRiskRegister32[[#This Row],[Expectancy Score]],"")</f>
        <v/>
      </c>
      <c r="T133" s="29" t="str">
        <f>tblRiskRegister32[[#This Row],[Risk Score]]</f>
        <v/>
      </c>
      <c r="U133" s="100"/>
      <c r="V133" s="112">
        <v>17.399999999999999</v>
      </c>
      <c r="W133" s="44" t="s">
        <v>267</v>
      </c>
      <c r="X133" s="44" t="s">
        <v>537</v>
      </c>
      <c r="Y133" s="30"/>
      <c r="Z133" s="16"/>
      <c r="AA133" s="27" t="str">
        <f>IFERROR(VLOOKUP(10*tblRiskRegister32[[#This Row],[Risk Treatment Safeguard Maturity Score]]+tblRiskRegister32[[#This Row],[VCDB Index]],tblHITIndexWeightTable[],4,FALSE),"")</f>
        <v/>
      </c>
      <c r="AB133" s="138" t="str">
        <f>VLOOKUP(tblRiskRegister32[[#This Row],[Asset Class]],tblInherentImpacts30[],2,FALSE)</f>
        <v/>
      </c>
      <c r="AC133" s="138" t="str">
        <f>VLOOKUP(tblRiskRegister32[[#This Row],[Asset Class]],tblInherentImpacts30[],3,FALSE)</f>
        <v/>
      </c>
      <c r="AD133" s="138" t="str">
        <f>VLOOKUP(tblRiskRegister32[[#This Row],[Asset Class]],tblInherentImpacts30[],4,FALSE)</f>
        <v/>
      </c>
      <c r="AE133" s="138" t="str">
        <f>VLOOKUP(tblRiskRegister32[[#This Row],[Asset Class]],tblInherentImpacts30[],5,FALSE)</f>
        <v/>
      </c>
      <c r="AF133" s="138" t="str">
        <f>IFERROR(MAX(tblRiskRegister32[[#This Row],[Risk Treatment Safeguard Impact to Mission]:[Risk Treatment Safeguard Impact to Obligations]])*tblRiskRegister32[[#This Row],[Risk Treatment
Safeguard Expectancy Score]],"")</f>
        <v/>
      </c>
      <c r="AG133" s="138" t="str">
        <f>IF(tblRiskRegister32[[#This Row],[Risk Score]]&gt;AcceptableRisk,IF(tblRiskRegister32[[#This Row],[Risk Treatment Safeguard Risk Score]]&lt;AcceptableRisk, IF(tblRiskRegister32[[#This Row],[Risk Treatment Safeguard Risk Score]]&lt;=tblRiskRegister32[[#This Row],[Risk Score]],"Yes","No"),"No"),"Yes")</f>
        <v>No</v>
      </c>
      <c r="AH133" s="18"/>
      <c r="AI133" s="18"/>
      <c r="AJ133" s="19"/>
    </row>
    <row r="134" spans="2:36" ht="51" x14ac:dyDescent="0.2">
      <c r="B134" s="44" t="s">
        <v>135</v>
      </c>
      <c r="C134" s="44"/>
      <c r="D134" s="112">
        <v>17.5</v>
      </c>
      <c r="E134" s="14" t="s">
        <v>268</v>
      </c>
      <c r="F134" s="17"/>
      <c r="G134" s="17" t="s">
        <v>785</v>
      </c>
      <c r="H134" s="17" t="s">
        <v>927</v>
      </c>
      <c r="I134" s="15"/>
      <c r="J134" s="15"/>
      <c r="K134" s="15"/>
      <c r="L134" s="16"/>
      <c r="M134" s="26">
        <f>IFERROR(VLOOKUP(tblRiskRegister32[[#This Row],[Asset Class]],tblVCDBIndex[],4,FALSE),"")</f>
        <v>3</v>
      </c>
      <c r="N134" s="29" t="str">
        <f>IFERROR(VLOOKUP(10*tblRiskRegister32[[#This Row],[Safeguard Maturity Score]]+tblRiskRegister32[[#This Row],[VCDB Index]],tblHITIndexWeightTable[],4,FALSE),"")</f>
        <v/>
      </c>
      <c r="O134" s="29" t="str">
        <f>VLOOKUP(tblRiskRegister32[[#This Row],[Asset Class]],tblInherentImpacts30[],2,FALSE)</f>
        <v/>
      </c>
      <c r="P134" s="29" t="str">
        <f>VLOOKUP(tblRiskRegister32[[#This Row],[Asset Class]],tblInherentImpacts30[],3,FALSE)</f>
        <v/>
      </c>
      <c r="Q134" s="29" t="str">
        <f>VLOOKUP(tblRiskRegister32[[#This Row],[Asset Class]],tblInherentImpacts30[],4,FALSE)</f>
        <v/>
      </c>
      <c r="R134" s="29" t="str">
        <f>VLOOKUP(tblRiskRegister32[[#This Row],[Asset Class]],tblInherentImpacts30[],5,FALSE)</f>
        <v/>
      </c>
      <c r="S134" s="29" t="str">
        <f>IFERROR(MAX(tblRiskRegister32[[#This Row],[Impact to Mission]:[Impact to Obligations]])*tblRiskRegister32[[#This Row],[Expectancy Score]],"")</f>
        <v/>
      </c>
      <c r="T134" s="29" t="str">
        <f>tblRiskRegister32[[#This Row],[Risk Score]]</f>
        <v/>
      </c>
      <c r="U134" s="100"/>
      <c r="V134" s="112">
        <v>17.5</v>
      </c>
      <c r="W134" s="44" t="s">
        <v>268</v>
      </c>
      <c r="X134" s="44" t="s">
        <v>538</v>
      </c>
      <c r="Y134" s="30"/>
      <c r="Z134" s="16"/>
      <c r="AA134" s="27" t="str">
        <f>IFERROR(VLOOKUP(10*tblRiskRegister32[[#This Row],[Risk Treatment Safeguard Maturity Score]]+tblRiskRegister32[[#This Row],[VCDB Index]],tblHITIndexWeightTable[],4,FALSE),"")</f>
        <v/>
      </c>
      <c r="AB134" s="138" t="str">
        <f>VLOOKUP(tblRiskRegister32[[#This Row],[Asset Class]],tblInherentImpacts30[],2,FALSE)</f>
        <v/>
      </c>
      <c r="AC134" s="138" t="str">
        <f>VLOOKUP(tblRiskRegister32[[#This Row],[Asset Class]],tblInherentImpacts30[],3,FALSE)</f>
        <v/>
      </c>
      <c r="AD134" s="138" t="str">
        <f>VLOOKUP(tblRiskRegister32[[#This Row],[Asset Class]],tblInherentImpacts30[],4,FALSE)</f>
        <v/>
      </c>
      <c r="AE134" s="138" t="str">
        <f>VLOOKUP(tblRiskRegister32[[#This Row],[Asset Class]],tblInherentImpacts30[],5,FALSE)</f>
        <v/>
      </c>
      <c r="AF134" s="138" t="str">
        <f>IFERROR(MAX(tblRiskRegister32[[#This Row],[Risk Treatment Safeguard Impact to Mission]:[Risk Treatment Safeguard Impact to Obligations]])*tblRiskRegister32[[#This Row],[Risk Treatment
Safeguard Expectancy Score]],"")</f>
        <v/>
      </c>
      <c r="AG134" s="138" t="str">
        <f>IF(tblRiskRegister32[[#This Row],[Risk Score]]&gt;AcceptableRisk,IF(tblRiskRegister32[[#This Row],[Risk Treatment Safeguard Risk Score]]&lt;AcceptableRisk, IF(tblRiskRegister32[[#This Row],[Risk Treatment Safeguard Risk Score]]&lt;=tblRiskRegister32[[#This Row],[Risk Score]],"Yes","No"),"No"),"Yes")</f>
        <v>No</v>
      </c>
      <c r="AH134" s="18"/>
      <c r="AI134" s="18"/>
      <c r="AJ134" s="19"/>
    </row>
    <row r="135" spans="2:36" ht="63.75" x14ac:dyDescent="0.2">
      <c r="B135" s="44" t="s">
        <v>135</v>
      </c>
      <c r="C135" s="44"/>
      <c r="D135" s="112">
        <v>17.600000000000001</v>
      </c>
      <c r="E135" s="14" t="s">
        <v>269</v>
      </c>
      <c r="F135" s="17"/>
      <c r="G135" s="17" t="s">
        <v>785</v>
      </c>
      <c r="H135" s="17" t="s">
        <v>927</v>
      </c>
      <c r="I135" s="15"/>
      <c r="J135" s="15"/>
      <c r="K135" s="15"/>
      <c r="L135" s="16"/>
      <c r="M135" s="26">
        <f>IFERROR(VLOOKUP(tblRiskRegister32[[#This Row],[Asset Class]],tblVCDBIndex[],4,FALSE),"")</f>
        <v>3</v>
      </c>
      <c r="N135" s="29" t="str">
        <f>IFERROR(VLOOKUP(10*tblRiskRegister32[[#This Row],[Safeguard Maturity Score]]+tblRiskRegister32[[#This Row],[VCDB Index]],tblHITIndexWeightTable[],4,FALSE),"")</f>
        <v/>
      </c>
      <c r="O135" s="29" t="str">
        <f>VLOOKUP(tblRiskRegister32[[#This Row],[Asset Class]],tblInherentImpacts30[],2,FALSE)</f>
        <v/>
      </c>
      <c r="P135" s="29" t="str">
        <f>VLOOKUP(tblRiskRegister32[[#This Row],[Asset Class]],tblInherentImpacts30[],3,FALSE)</f>
        <v/>
      </c>
      <c r="Q135" s="29" t="str">
        <f>VLOOKUP(tblRiskRegister32[[#This Row],[Asset Class]],tblInherentImpacts30[],4,FALSE)</f>
        <v/>
      </c>
      <c r="R135" s="29" t="str">
        <f>VLOOKUP(tblRiskRegister32[[#This Row],[Asset Class]],tblInherentImpacts30[],5,FALSE)</f>
        <v/>
      </c>
      <c r="S135" s="29" t="str">
        <f>IFERROR(MAX(tblRiskRegister32[[#This Row],[Impact to Mission]:[Impact to Obligations]])*tblRiskRegister32[[#This Row],[Expectancy Score]],"")</f>
        <v/>
      </c>
      <c r="T135" s="29" t="str">
        <f>tblRiskRegister32[[#This Row],[Risk Score]]</f>
        <v/>
      </c>
      <c r="U135" s="100"/>
      <c r="V135" s="112">
        <v>17.600000000000001</v>
      </c>
      <c r="W135" s="44" t="s">
        <v>269</v>
      </c>
      <c r="X135" s="44" t="s">
        <v>539</v>
      </c>
      <c r="Y135" s="30"/>
      <c r="Z135" s="16"/>
      <c r="AA135" s="27" t="str">
        <f>IFERROR(VLOOKUP(10*tblRiskRegister32[[#This Row],[Risk Treatment Safeguard Maturity Score]]+tblRiskRegister32[[#This Row],[VCDB Index]],tblHITIndexWeightTable[],4,FALSE),"")</f>
        <v/>
      </c>
      <c r="AB135" s="138" t="str">
        <f>VLOOKUP(tblRiskRegister32[[#This Row],[Asset Class]],tblInherentImpacts30[],2,FALSE)</f>
        <v/>
      </c>
      <c r="AC135" s="138" t="str">
        <f>VLOOKUP(tblRiskRegister32[[#This Row],[Asset Class]],tblInherentImpacts30[],3,FALSE)</f>
        <v/>
      </c>
      <c r="AD135" s="138" t="str">
        <f>VLOOKUP(tblRiskRegister32[[#This Row],[Asset Class]],tblInherentImpacts30[],4,FALSE)</f>
        <v/>
      </c>
      <c r="AE135" s="138" t="str">
        <f>VLOOKUP(tblRiskRegister32[[#This Row],[Asset Class]],tblInherentImpacts30[],5,FALSE)</f>
        <v/>
      </c>
      <c r="AF135" s="138" t="str">
        <f>IFERROR(MAX(tblRiskRegister32[[#This Row],[Risk Treatment Safeguard Impact to Mission]:[Risk Treatment Safeguard Impact to Obligations]])*tblRiskRegister32[[#This Row],[Risk Treatment
Safeguard Expectancy Score]],"")</f>
        <v/>
      </c>
      <c r="AG135" s="138" t="str">
        <f>IF(tblRiskRegister32[[#This Row],[Risk Score]]&gt;AcceptableRisk,IF(tblRiskRegister32[[#This Row],[Risk Treatment Safeguard Risk Score]]&lt;AcceptableRisk, IF(tblRiskRegister32[[#This Row],[Risk Treatment Safeguard Risk Score]]&lt;=tblRiskRegister32[[#This Row],[Risk Score]],"Yes","No"),"No"),"Yes")</f>
        <v>No</v>
      </c>
      <c r="AH135" s="18"/>
      <c r="AI135" s="18"/>
      <c r="AJ135" s="19"/>
    </row>
    <row r="136" spans="2:36" ht="63.75" x14ac:dyDescent="0.2">
      <c r="B136" s="44" t="s">
        <v>135</v>
      </c>
      <c r="C136" s="44"/>
      <c r="D136" s="112">
        <v>17.7</v>
      </c>
      <c r="E136" s="14" t="s">
        <v>270</v>
      </c>
      <c r="F136" s="17"/>
      <c r="G136" s="17" t="s">
        <v>785</v>
      </c>
      <c r="H136" s="17" t="s">
        <v>931</v>
      </c>
      <c r="I136" s="15"/>
      <c r="J136" s="15"/>
      <c r="K136" s="15"/>
      <c r="L136" s="16"/>
      <c r="M136" s="26">
        <f>IFERROR(VLOOKUP(tblRiskRegister32[[#This Row],[Asset Class]],tblVCDBIndex[],4,FALSE),"")</f>
        <v>3</v>
      </c>
      <c r="N136" s="29" t="str">
        <f>IFERROR(VLOOKUP(10*tblRiskRegister32[[#This Row],[Safeguard Maturity Score]]+tblRiskRegister32[[#This Row],[VCDB Index]],tblHITIndexWeightTable[],4,FALSE),"")</f>
        <v/>
      </c>
      <c r="O136" s="29" t="str">
        <f>VLOOKUP(tblRiskRegister32[[#This Row],[Asset Class]],tblInherentImpacts30[],2,FALSE)</f>
        <v/>
      </c>
      <c r="P136" s="29" t="str">
        <f>VLOOKUP(tblRiskRegister32[[#This Row],[Asset Class]],tblInherentImpacts30[],3,FALSE)</f>
        <v/>
      </c>
      <c r="Q136" s="29" t="str">
        <f>VLOOKUP(tblRiskRegister32[[#This Row],[Asset Class]],tblInherentImpacts30[],4,FALSE)</f>
        <v/>
      </c>
      <c r="R136" s="29" t="str">
        <f>VLOOKUP(tblRiskRegister32[[#This Row],[Asset Class]],tblInherentImpacts30[],5,FALSE)</f>
        <v/>
      </c>
      <c r="S136" s="29" t="str">
        <f>IFERROR(MAX(tblRiskRegister32[[#This Row],[Impact to Mission]:[Impact to Obligations]])*tblRiskRegister32[[#This Row],[Expectancy Score]],"")</f>
        <v/>
      </c>
      <c r="T136" s="29" t="str">
        <f>tblRiskRegister32[[#This Row],[Risk Score]]</f>
        <v/>
      </c>
      <c r="U136" s="100"/>
      <c r="V136" s="112">
        <v>17.7</v>
      </c>
      <c r="W136" s="44" t="s">
        <v>270</v>
      </c>
      <c r="X136" s="44" t="s">
        <v>540</v>
      </c>
      <c r="Y136" s="30"/>
      <c r="Z136" s="16"/>
      <c r="AA136" s="27" t="str">
        <f>IFERROR(VLOOKUP(10*tblRiskRegister32[[#This Row],[Risk Treatment Safeguard Maturity Score]]+tblRiskRegister32[[#This Row],[VCDB Index]],tblHITIndexWeightTable[],4,FALSE),"")</f>
        <v/>
      </c>
      <c r="AB136" s="138" t="str">
        <f>VLOOKUP(tblRiskRegister32[[#This Row],[Asset Class]],tblInherentImpacts30[],2,FALSE)</f>
        <v/>
      </c>
      <c r="AC136" s="138" t="str">
        <f>VLOOKUP(tblRiskRegister32[[#This Row],[Asset Class]],tblInherentImpacts30[],3,FALSE)</f>
        <v/>
      </c>
      <c r="AD136" s="138" t="str">
        <f>VLOOKUP(tblRiskRegister32[[#This Row],[Asset Class]],tblInherentImpacts30[],4,FALSE)</f>
        <v/>
      </c>
      <c r="AE136" s="138" t="str">
        <f>VLOOKUP(tblRiskRegister32[[#This Row],[Asset Class]],tblInherentImpacts30[],5,FALSE)</f>
        <v/>
      </c>
      <c r="AF136" s="138" t="str">
        <f>IFERROR(MAX(tblRiskRegister32[[#This Row],[Risk Treatment Safeguard Impact to Mission]:[Risk Treatment Safeguard Impact to Obligations]])*tblRiskRegister32[[#This Row],[Risk Treatment
Safeguard Expectancy Score]],"")</f>
        <v/>
      </c>
      <c r="AG136" s="138" t="str">
        <f>IF(tblRiskRegister32[[#This Row],[Risk Score]]&gt;AcceptableRisk,IF(tblRiskRegister32[[#This Row],[Risk Treatment Safeguard Risk Score]]&lt;AcceptableRisk, IF(tblRiskRegister32[[#This Row],[Risk Treatment Safeguard Risk Score]]&lt;=tblRiskRegister32[[#This Row],[Risk Score]],"Yes","No"),"No"),"Yes")</f>
        <v>No</v>
      </c>
      <c r="AH136" s="18"/>
      <c r="AI136" s="18"/>
      <c r="AJ136" s="19"/>
    </row>
    <row r="137" spans="2:36" ht="25.5" x14ac:dyDescent="0.2">
      <c r="B137" s="44" t="s">
        <v>135</v>
      </c>
      <c r="C137" s="44"/>
      <c r="D137" s="112">
        <v>17.8</v>
      </c>
      <c r="E137" s="14" t="s">
        <v>271</v>
      </c>
      <c r="F137" s="17"/>
      <c r="G137" s="17" t="s">
        <v>785</v>
      </c>
      <c r="H137" s="17" t="s">
        <v>931</v>
      </c>
      <c r="I137" s="15"/>
      <c r="J137" s="15"/>
      <c r="K137" s="15"/>
      <c r="L137" s="16"/>
      <c r="M137" s="26">
        <f>IFERROR(VLOOKUP(tblRiskRegister32[[#This Row],[Asset Class]],tblVCDBIndex[],4,FALSE),"")</f>
        <v>3</v>
      </c>
      <c r="N137" s="29" t="str">
        <f>IFERROR(VLOOKUP(10*tblRiskRegister32[[#This Row],[Safeguard Maturity Score]]+tblRiskRegister32[[#This Row],[VCDB Index]],tblHITIndexWeightTable[],4,FALSE),"")</f>
        <v/>
      </c>
      <c r="O137" s="29" t="str">
        <f>VLOOKUP(tblRiskRegister32[[#This Row],[Asset Class]],tblInherentImpacts30[],2,FALSE)</f>
        <v/>
      </c>
      <c r="P137" s="29" t="str">
        <f>VLOOKUP(tblRiskRegister32[[#This Row],[Asset Class]],tblInherentImpacts30[],3,FALSE)</f>
        <v/>
      </c>
      <c r="Q137" s="29" t="str">
        <f>VLOOKUP(tblRiskRegister32[[#This Row],[Asset Class]],tblInherentImpacts30[],4,FALSE)</f>
        <v/>
      </c>
      <c r="R137" s="29" t="str">
        <f>VLOOKUP(tblRiskRegister32[[#This Row],[Asset Class]],tblInherentImpacts30[],5,FALSE)</f>
        <v/>
      </c>
      <c r="S137" s="29" t="str">
        <f>IFERROR(MAX(tblRiskRegister32[[#This Row],[Impact to Mission]:[Impact to Obligations]])*tblRiskRegister32[[#This Row],[Expectancy Score]],"")</f>
        <v/>
      </c>
      <c r="T137" s="29" t="str">
        <f>tblRiskRegister32[[#This Row],[Risk Score]]</f>
        <v/>
      </c>
      <c r="U137" s="100"/>
      <c r="V137" s="112">
        <v>17.8</v>
      </c>
      <c r="W137" s="44" t="s">
        <v>271</v>
      </c>
      <c r="X137" s="44" t="s">
        <v>541</v>
      </c>
      <c r="Y137" s="30"/>
      <c r="Z137" s="16"/>
      <c r="AA137" s="27" t="str">
        <f>IFERROR(VLOOKUP(10*tblRiskRegister32[[#This Row],[Risk Treatment Safeguard Maturity Score]]+tblRiskRegister32[[#This Row],[VCDB Index]],tblHITIndexWeightTable[],4,FALSE),"")</f>
        <v/>
      </c>
      <c r="AB137" s="138" t="str">
        <f>VLOOKUP(tblRiskRegister32[[#This Row],[Asset Class]],tblInherentImpacts30[],2,FALSE)</f>
        <v/>
      </c>
      <c r="AC137" s="138" t="str">
        <f>VLOOKUP(tblRiskRegister32[[#This Row],[Asset Class]],tblInherentImpacts30[],3,FALSE)</f>
        <v/>
      </c>
      <c r="AD137" s="138" t="str">
        <f>VLOOKUP(tblRiskRegister32[[#This Row],[Asset Class]],tblInherentImpacts30[],4,FALSE)</f>
        <v/>
      </c>
      <c r="AE137" s="138" t="str">
        <f>VLOOKUP(tblRiskRegister32[[#This Row],[Asset Class]],tblInherentImpacts30[],5,FALSE)</f>
        <v/>
      </c>
      <c r="AF137" s="138" t="str">
        <f>IFERROR(MAX(tblRiskRegister32[[#This Row],[Risk Treatment Safeguard Impact to Mission]:[Risk Treatment Safeguard Impact to Obligations]])*tblRiskRegister32[[#This Row],[Risk Treatment
Safeguard Expectancy Score]],"")</f>
        <v/>
      </c>
      <c r="AG137" s="138" t="str">
        <f>IF(tblRiskRegister32[[#This Row],[Risk Score]]&gt;AcceptableRisk,IF(tblRiskRegister32[[#This Row],[Risk Treatment Safeguard Risk Score]]&lt;AcceptableRisk, IF(tblRiskRegister32[[#This Row],[Risk Treatment Safeguard Risk Score]]&lt;=tblRiskRegister32[[#This Row],[Risk Score]],"Yes","No"),"No"),"Yes")</f>
        <v>No</v>
      </c>
      <c r="AH137" s="18"/>
      <c r="AI137" s="18"/>
      <c r="AJ137" s="19"/>
    </row>
    <row r="138" spans="2:36" ht="89.25" x14ac:dyDescent="0.2">
      <c r="B138" s="44" t="s">
        <v>135</v>
      </c>
      <c r="C138" s="44"/>
      <c r="D138" s="112">
        <v>18.100000000000001</v>
      </c>
      <c r="E138" s="14" t="s">
        <v>272</v>
      </c>
      <c r="F138" s="17"/>
      <c r="G138" s="17" t="s">
        <v>785</v>
      </c>
      <c r="H138" s="17" t="s">
        <v>926</v>
      </c>
      <c r="I138" s="15"/>
      <c r="J138" s="15"/>
      <c r="K138" s="15"/>
      <c r="L138" s="16"/>
      <c r="M138" s="26">
        <f>IFERROR(VLOOKUP(tblRiskRegister32[[#This Row],[Asset Class]],tblVCDBIndex[],4,FALSE),"")</f>
        <v>3</v>
      </c>
      <c r="N138" s="29" t="str">
        <f>IFERROR(VLOOKUP(10*tblRiskRegister32[[#This Row],[Safeguard Maturity Score]]+tblRiskRegister32[[#This Row],[VCDB Index]],tblHITIndexWeightTable[],4,FALSE),"")</f>
        <v/>
      </c>
      <c r="O138" s="29" t="str">
        <f>VLOOKUP(tblRiskRegister32[[#This Row],[Asset Class]],tblInherentImpacts30[],2,FALSE)</f>
        <v/>
      </c>
      <c r="P138" s="29" t="str">
        <f>VLOOKUP(tblRiskRegister32[[#This Row],[Asset Class]],tblInherentImpacts30[],3,FALSE)</f>
        <v/>
      </c>
      <c r="Q138" s="29" t="str">
        <f>VLOOKUP(tblRiskRegister32[[#This Row],[Asset Class]],tblInherentImpacts30[],4,FALSE)</f>
        <v/>
      </c>
      <c r="R138" s="29" t="str">
        <f>VLOOKUP(tblRiskRegister32[[#This Row],[Asset Class]],tblInherentImpacts30[],5,FALSE)</f>
        <v/>
      </c>
      <c r="S138" s="29" t="str">
        <f>IFERROR(MAX(tblRiskRegister32[[#This Row],[Impact to Mission]:[Impact to Obligations]])*tblRiskRegister32[[#This Row],[Expectancy Score]],"")</f>
        <v/>
      </c>
      <c r="T138" s="29" t="str">
        <f>tblRiskRegister32[[#This Row],[Risk Score]]</f>
        <v/>
      </c>
      <c r="U138" s="100"/>
      <c r="V138" s="112">
        <v>18.100000000000001</v>
      </c>
      <c r="W138" s="44" t="s">
        <v>272</v>
      </c>
      <c r="X138" s="44" t="s">
        <v>542</v>
      </c>
      <c r="Y138" s="30"/>
      <c r="Z138" s="16"/>
      <c r="AA138" s="27" t="str">
        <f>IFERROR(VLOOKUP(10*tblRiskRegister32[[#This Row],[Risk Treatment Safeguard Maturity Score]]+tblRiskRegister32[[#This Row],[VCDB Index]],tblHITIndexWeightTable[],4,FALSE),"")</f>
        <v/>
      </c>
      <c r="AB138" s="138" t="str">
        <f>VLOOKUP(tblRiskRegister32[[#This Row],[Asset Class]],tblInherentImpacts30[],2,FALSE)</f>
        <v/>
      </c>
      <c r="AC138" s="138" t="str">
        <f>VLOOKUP(tblRiskRegister32[[#This Row],[Asset Class]],tblInherentImpacts30[],3,FALSE)</f>
        <v/>
      </c>
      <c r="AD138" s="138" t="str">
        <f>VLOOKUP(tblRiskRegister32[[#This Row],[Asset Class]],tblInherentImpacts30[],4,FALSE)</f>
        <v/>
      </c>
      <c r="AE138" s="138" t="str">
        <f>VLOOKUP(tblRiskRegister32[[#This Row],[Asset Class]],tblInherentImpacts30[],5,FALSE)</f>
        <v/>
      </c>
      <c r="AF138" s="138" t="str">
        <f>IFERROR(MAX(tblRiskRegister32[[#This Row],[Risk Treatment Safeguard Impact to Mission]:[Risk Treatment Safeguard Impact to Obligations]])*tblRiskRegister32[[#This Row],[Risk Treatment
Safeguard Expectancy Score]],"")</f>
        <v/>
      </c>
      <c r="AG138" s="138" t="str">
        <f>IF(tblRiskRegister32[[#This Row],[Risk Score]]&gt;AcceptableRisk,IF(tblRiskRegister32[[#This Row],[Risk Treatment Safeguard Risk Score]]&lt;AcceptableRisk, IF(tblRiskRegister32[[#This Row],[Risk Treatment Safeguard Risk Score]]&lt;=tblRiskRegister32[[#This Row],[Risk Score]],"Yes","No"),"No"),"Yes")</f>
        <v>No</v>
      </c>
      <c r="AH138" s="18"/>
      <c r="AI138" s="18"/>
      <c r="AJ138" s="19"/>
    </row>
    <row r="139" spans="2:36" ht="63.75" x14ac:dyDescent="0.2">
      <c r="B139" s="44" t="s">
        <v>133</v>
      </c>
      <c r="C139" s="44"/>
      <c r="D139" s="112">
        <v>18.2</v>
      </c>
      <c r="E139" s="14" t="s">
        <v>293</v>
      </c>
      <c r="F139" s="17"/>
      <c r="G139" s="17" t="s">
        <v>785</v>
      </c>
      <c r="H139" s="17" t="s">
        <v>926</v>
      </c>
      <c r="I139" s="15"/>
      <c r="J139" s="15"/>
      <c r="K139" s="15"/>
      <c r="L139" s="16"/>
      <c r="M139" s="26">
        <f>IFERROR(VLOOKUP(tblRiskRegister32[[#This Row],[Asset Class]],tblVCDBIndex[],4,FALSE),"")</f>
        <v>1</v>
      </c>
      <c r="N139" s="29" t="str">
        <f>IFERROR(VLOOKUP(10*tblRiskRegister32[[#This Row],[Safeguard Maturity Score]]+tblRiskRegister32[[#This Row],[VCDB Index]],tblHITIndexWeightTable[],4,FALSE),"")</f>
        <v/>
      </c>
      <c r="O139" s="29" t="str">
        <f>VLOOKUP(tblRiskRegister32[[#This Row],[Asset Class]],tblInherentImpacts30[],2,FALSE)</f>
        <v/>
      </c>
      <c r="P139" s="29">
        <f>VLOOKUP(tblRiskRegister32[[#This Row],[Asset Class]],tblInherentImpacts30[],3,FALSE)</f>
        <v>0</v>
      </c>
      <c r="Q139" s="29">
        <f>VLOOKUP(tblRiskRegister32[[#This Row],[Asset Class]],tblInherentImpacts30[],4,FALSE)</f>
        <v>0</v>
      </c>
      <c r="R139" s="29">
        <f>VLOOKUP(tblRiskRegister32[[#This Row],[Asset Class]],tblInherentImpacts30[],5,FALSE)</f>
        <v>0</v>
      </c>
      <c r="S139" s="29" t="str">
        <f>IFERROR(MAX(tblRiskRegister32[[#This Row],[Impact to Mission]:[Impact to Obligations]])*tblRiskRegister32[[#This Row],[Expectancy Score]],"")</f>
        <v/>
      </c>
      <c r="T139" s="29" t="str">
        <f>tblRiskRegister32[[#This Row],[Risk Score]]</f>
        <v/>
      </c>
      <c r="U139" s="100"/>
      <c r="V139" s="112">
        <v>18.2</v>
      </c>
      <c r="W139" s="44" t="s">
        <v>293</v>
      </c>
      <c r="X139" s="44" t="s">
        <v>543</v>
      </c>
      <c r="Y139" s="30"/>
      <c r="Z139" s="16"/>
      <c r="AA139" s="27" t="str">
        <f>IFERROR(VLOOKUP(10*tblRiskRegister32[[#This Row],[Risk Treatment Safeguard Maturity Score]]+tblRiskRegister32[[#This Row],[VCDB Index]],tblHITIndexWeightTable[],4,FALSE),"")</f>
        <v/>
      </c>
      <c r="AB139" s="138" t="str">
        <f>VLOOKUP(tblRiskRegister32[[#This Row],[Asset Class]],tblInherentImpacts30[],2,FALSE)</f>
        <v/>
      </c>
      <c r="AC139" s="138">
        <f>VLOOKUP(tblRiskRegister32[[#This Row],[Asset Class]],tblInherentImpacts30[],3,FALSE)</f>
        <v>0</v>
      </c>
      <c r="AD139" s="138">
        <f>VLOOKUP(tblRiskRegister32[[#This Row],[Asset Class]],tblInherentImpacts30[],4,FALSE)</f>
        <v>0</v>
      </c>
      <c r="AE139" s="138">
        <f>VLOOKUP(tblRiskRegister32[[#This Row],[Asset Class]],tblInherentImpacts30[],5,FALSE)</f>
        <v>0</v>
      </c>
      <c r="AF139" s="138" t="str">
        <f>IFERROR(MAX(tblRiskRegister32[[#This Row],[Risk Treatment Safeguard Impact to Mission]:[Risk Treatment Safeguard Impact to Obligations]])*tblRiskRegister32[[#This Row],[Risk Treatment
Safeguard Expectancy Score]],"")</f>
        <v/>
      </c>
      <c r="AG139" s="138" t="str">
        <f>IF(tblRiskRegister32[[#This Row],[Risk Score]]&gt;AcceptableRisk,IF(tblRiskRegister32[[#This Row],[Risk Treatment Safeguard Risk Score]]&lt;AcceptableRisk, IF(tblRiskRegister32[[#This Row],[Risk Treatment Safeguard Risk Score]]&lt;=tblRiskRegister32[[#This Row],[Risk Score]],"Yes","No"),"No"),"Yes")</f>
        <v>No</v>
      </c>
      <c r="AH139" s="18"/>
      <c r="AI139" s="18"/>
      <c r="AJ139" s="19"/>
    </row>
    <row r="140" spans="2:36" ht="25.5" x14ac:dyDescent="0.2">
      <c r="B140" s="44" t="s">
        <v>133</v>
      </c>
      <c r="C140" s="44"/>
      <c r="D140" s="112">
        <v>18.3</v>
      </c>
      <c r="E140" s="14" t="s">
        <v>294</v>
      </c>
      <c r="F140" s="17"/>
      <c r="G140" s="17" t="s">
        <v>785</v>
      </c>
      <c r="H140" s="17" t="s">
        <v>928</v>
      </c>
      <c r="I140" s="15"/>
      <c r="J140" s="15"/>
      <c r="K140" s="15"/>
      <c r="L140" s="16"/>
      <c r="M140" s="26">
        <f>IFERROR(VLOOKUP(tblRiskRegister32[[#This Row],[Asset Class]],tblVCDBIndex[],4,FALSE),"")</f>
        <v>1</v>
      </c>
      <c r="N140" s="29" t="str">
        <f>IFERROR(VLOOKUP(10*tblRiskRegister32[[#This Row],[Safeguard Maturity Score]]+tblRiskRegister32[[#This Row],[VCDB Index]],tblHITIndexWeightTable[],4,FALSE),"")</f>
        <v/>
      </c>
      <c r="O140" s="29" t="str">
        <f>VLOOKUP(tblRiskRegister32[[#This Row],[Asset Class]],tblInherentImpacts30[],2,FALSE)</f>
        <v/>
      </c>
      <c r="P140" s="29">
        <f>VLOOKUP(tblRiskRegister32[[#This Row],[Asset Class]],tblInherentImpacts30[],3,FALSE)</f>
        <v>0</v>
      </c>
      <c r="Q140" s="29">
        <f>VLOOKUP(tblRiskRegister32[[#This Row],[Asset Class]],tblInherentImpacts30[],4,FALSE)</f>
        <v>0</v>
      </c>
      <c r="R140" s="29">
        <f>VLOOKUP(tblRiskRegister32[[#This Row],[Asset Class]],tblInherentImpacts30[],5,FALSE)</f>
        <v>0</v>
      </c>
      <c r="S140" s="29" t="str">
        <f>IFERROR(MAX(tblRiskRegister32[[#This Row],[Impact to Mission]:[Impact to Obligations]])*tblRiskRegister32[[#This Row],[Expectancy Score]],"")</f>
        <v/>
      </c>
      <c r="T140" s="29" t="str">
        <f>tblRiskRegister32[[#This Row],[Risk Score]]</f>
        <v/>
      </c>
      <c r="U140" s="100"/>
      <c r="V140" s="112">
        <v>18.3</v>
      </c>
      <c r="W140" s="44" t="s">
        <v>294</v>
      </c>
      <c r="X140" s="44" t="s">
        <v>544</v>
      </c>
      <c r="Y140" s="30"/>
      <c r="Z140" s="16"/>
      <c r="AA140" s="27" t="str">
        <f>IFERROR(VLOOKUP(10*tblRiskRegister32[[#This Row],[Risk Treatment Safeguard Maturity Score]]+tblRiskRegister32[[#This Row],[VCDB Index]],tblHITIndexWeightTable[],4,FALSE),"")</f>
        <v/>
      </c>
      <c r="AB140" s="138" t="str">
        <f>VLOOKUP(tblRiskRegister32[[#This Row],[Asset Class]],tblInherentImpacts30[],2,FALSE)</f>
        <v/>
      </c>
      <c r="AC140" s="138">
        <f>VLOOKUP(tblRiskRegister32[[#This Row],[Asset Class]],tblInherentImpacts30[],3,FALSE)</f>
        <v>0</v>
      </c>
      <c r="AD140" s="138">
        <f>VLOOKUP(tblRiskRegister32[[#This Row],[Asset Class]],tblInherentImpacts30[],4,FALSE)</f>
        <v>0</v>
      </c>
      <c r="AE140" s="138">
        <f>VLOOKUP(tblRiskRegister32[[#This Row],[Asset Class]],tblInherentImpacts30[],5,FALSE)</f>
        <v>0</v>
      </c>
      <c r="AF140" s="138" t="str">
        <f>IFERROR(MAX(tblRiskRegister32[[#This Row],[Risk Treatment Safeguard Impact to Mission]:[Risk Treatment Safeguard Impact to Obligations]])*tblRiskRegister32[[#This Row],[Risk Treatment
Safeguard Expectancy Score]],"")</f>
        <v/>
      </c>
      <c r="AG140" s="138" t="str">
        <f>IF(tblRiskRegister32[[#This Row],[Risk Score]]&gt;AcceptableRisk,IF(tblRiskRegister32[[#This Row],[Risk Treatment Safeguard Risk Score]]&lt;AcceptableRisk, IF(tblRiskRegister32[[#This Row],[Risk Treatment Safeguard Risk Score]]&lt;=tblRiskRegister32[[#This Row],[Risk Score]],"Yes","No"),"No"),"Yes")</f>
        <v>No</v>
      </c>
      <c r="AH140" s="18"/>
      <c r="AI140" s="18"/>
      <c r="AJ140" s="19"/>
    </row>
  </sheetData>
  <sheetProtection sheet="1" formatCells="0" formatColumns="0" formatRows="0" insertRows="0" sort="0" autoFilter="0" pivotTables="0"/>
  <mergeCells count="7">
    <mergeCell ref="AL8:AN8"/>
    <mergeCell ref="U8:AJ8"/>
    <mergeCell ref="B2:B4"/>
    <mergeCell ref="D2:E2"/>
    <mergeCell ref="D3:E3"/>
    <mergeCell ref="D4:E4"/>
    <mergeCell ref="C8:S8"/>
  </mergeCells>
  <phoneticPr fontId="30" type="noConversion"/>
  <conditionalFormatting sqref="T11:T140">
    <cfRule type="iconSet" priority="1">
      <iconSet showValue="0" reverse="1">
        <cfvo type="percent" val="0"/>
        <cfvo type="num" val="AcceptableRisk"/>
        <cfvo type="num" val="15"/>
      </iconSet>
    </cfRule>
  </conditionalFormatting>
  <dataValidations count="5">
    <dataValidation type="list" allowBlank="1" showInputMessage="1" showErrorMessage="1" sqref="U11:U140" xr:uid="{9E6E66ED-08E3-4354-9676-F8FD026E4D65}">
      <formula1>"Accept,Reduce"</formula1>
    </dataValidation>
    <dataValidation type="list" allowBlank="1" showInputMessage="1" showErrorMessage="1" sqref="AI11:AI140" xr:uid="{73C997AE-F49E-40F2-A4E8-3DEAB8D0614E}">
      <formula1>"Q1, Q2, Q3, Q4"</formula1>
    </dataValidation>
    <dataValidation type="list" allowBlank="1" showInputMessage="1" showErrorMessage="1" sqref="B11:B140" xr:uid="{BF1472F2-8876-4FCB-9D8A-474DF21EFABA}">
      <formula1>Asset_Classes</formula1>
    </dataValidation>
    <dataValidation type="list" allowBlank="1" showInputMessage="1" showErrorMessage="1" sqref="AJ11:AJ140" xr:uid="{2254A6F9-A2C3-4091-8C2E-2AAEA95BFA9B}">
      <formula1>"2021,2022,2023,2024,2025,2026,2027,2028,2029,2030,2031"</formula1>
    </dataValidation>
    <dataValidation type="list" allowBlank="1" showInputMessage="1" showErrorMessage="1" sqref="Z11:Z140 L11:L140" xr:uid="{3E7C67A2-A01D-41EC-ADC5-49D6B399FC67}">
      <formula1>Maturity_Score</formula1>
    </dataValidation>
  </dataValidations>
  <pageMargins left="0.7" right="0.7" top="0.75" bottom="0.75" header="0.3" footer="0.3"/>
  <pageSetup orientation="portrait"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6A260-A880-418F-AD10-26A9E6DE92D4}">
  <sheetPr codeName="Sheet6">
    <tabColor rgb="FF0086BF"/>
  </sheetPr>
  <dimension ref="B2:K47"/>
  <sheetViews>
    <sheetView showGridLines="0" workbookViewId="0">
      <selection activeCell="B2" sqref="B2:B7"/>
    </sheetView>
  </sheetViews>
  <sheetFormatPr defaultColWidth="9.140625" defaultRowHeight="15" x14ac:dyDescent="0.2"/>
  <cols>
    <col min="1" max="1" width="9.140625" style="2"/>
    <col min="2" max="2" width="22" style="238" customWidth="1"/>
    <col min="3" max="3" width="28.85546875" style="22" customWidth="1"/>
    <col min="4" max="4" width="76.42578125" style="11" customWidth="1"/>
    <col min="5" max="5" width="9.140625" style="2"/>
    <col min="6" max="6" width="20.42578125" style="2" bestFit="1" customWidth="1"/>
    <col min="7" max="10" width="31.5703125" style="2" customWidth="1"/>
    <col min="11" max="11" width="16.42578125" style="2" customWidth="1"/>
    <col min="12" max="16384" width="9.140625" style="2"/>
  </cols>
  <sheetData>
    <row r="2" spans="2:11" ht="15.75" x14ac:dyDescent="0.25">
      <c r="B2" s="336" t="s">
        <v>185</v>
      </c>
      <c r="C2" s="286" t="s">
        <v>191</v>
      </c>
      <c r="D2" s="287" t="s">
        <v>186</v>
      </c>
      <c r="F2" s="334" t="s">
        <v>47</v>
      </c>
      <c r="G2" s="335"/>
      <c r="H2" s="335"/>
      <c r="I2" s="335"/>
      <c r="J2" s="335"/>
    </row>
    <row r="3" spans="2:11" ht="25.5" x14ac:dyDescent="0.2">
      <c r="B3" s="336"/>
      <c r="C3" s="31"/>
      <c r="D3" s="40" t="s">
        <v>330</v>
      </c>
      <c r="F3" s="182" t="s">
        <v>5</v>
      </c>
      <c r="G3" s="183" t="s">
        <v>6</v>
      </c>
      <c r="H3" s="183" t="s">
        <v>137</v>
      </c>
      <c r="I3" s="184" t="s">
        <v>138</v>
      </c>
      <c r="J3" s="185" t="s">
        <v>51</v>
      </c>
    </row>
    <row r="4" spans="2:11" ht="25.5" x14ac:dyDescent="0.2">
      <c r="B4" s="336"/>
      <c r="C4" s="34"/>
      <c r="D4" s="40" t="s">
        <v>331</v>
      </c>
      <c r="F4" s="186" t="s">
        <v>4</v>
      </c>
      <c r="G4" s="38" t="s">
        <v>183</v>
      </c>
      <c r="H4" s="38" t="s">
        <v>183</v>
      </c>
      <c r="I4" s="51" t="s">
        <v>184</v>
      </c>
      <c r="J4" s="38" t="s">
        <v>183</v>
      </c>
    </row>
    <row r="5" spans="2:11" ht="12.75" customHeight="1" x14ac:dyDescent="0.2">
      <c r="B5" s="336"/>
      <c r="C5" s="33"/>
      <c r="D5" s="40" t="s">
        <v>187</v>
      </c>
      <c r="F5" s="189" t="s">
        <v>199</v>
      </c>
      <c r="G5" s="38" t="s">
        <v>863</v>
      </c>
      <c r="H5" s="38" t="s">
        <v>863</v>
      </c>
      <c r="I5" s="51" t="s">
        <v>184</v>
      </c>
      <c r="J5" s="38" t="s">
        <v>863</v>
      </c>
    </row>
    <row r="6" spans="2:11" ht="25.5" x14ac:dyDescent="0.2">
      <c r="B6" s="336"/>
      <c r="C6" s="28"/>
      <c r="D6" s="40" t="s">
        <v>188</v>
      </c>
      <c r="F6" s="189" t="s">
        <v>200</v>
      </c>
      <c r="G6" s="38" t="s">
        <v>863</v>
      </c>
      <c r="H6" s="38" t="s">
        <v>863</v>
      </c>
      <c r="I6" s="51" t="s">
        <v>184</v>
      </c>
      <c r="J6" s="38" t="s">
        <v>863</v>
      </c>
    </row>
    <row r="7" spans="2:11" ht="25.5" x14ac:dyDescent="0.2">
      <c r="B7" s="336"/>
      <c r="C7" s="242"/>
      <c r="D7" s="40" t="s">
        <v>869</v>
      </c>
      <c r="F7" s="189" t="s">
        <v>201</v>
      </c>
      <c r="G7" s="38" t="s">
        <v>863</v>
      </c>
      <c r="H7" s="38" t="s">
        <v>863</v>
      </c>
      <c r="I7" s="51" t="s">
        <v>184</v>
      </c>
      <c r="J7" s="38" t="s">
        <v>863</v>
      </c>
    </row>
    <row r="8" spans="2:11" x14ac:dyDescent="0.2">
      <c r="C8" s="36"/>
      <c r="F8" s="189" t="s">
        <v>202</v>
      </c>
      <c r="G8" s="38" t="s">
        <v>863</v>
      </c>
      <c r="H8" s="38" t="s">
        <v>863</v>
      </c>
      <c r="I8" s="51" t="s">
        <v>184</v>
      </c>
      <c r="J8" s="38" t="s">
        <v>863</v>
      </c>
    </row>
    <row r="9" spans="2:11" ht="16.5" thickBot="1" x14ac:dyDescent="0.25">
      <c r="B9" s="241" t="s">
        <v>54</v>
      </c>
      <c r="C9" s="240" t="s">
        <v>332</v>
      </c>
      <c r="D9" s="240" t="s">
        <v>186</v>
      </c>
      <c r="F9" s="190" t="s">
        <v>203</v>
      </c>
      <c r="G9" s="38" t="s">
        <v>863</v>
      </c>
      <c r="H9" s="38" t="s">
        <v>863</v>
      </c>
      <c r="I9" s="191" t="str">
        <f>IF(ISBLANK('1. Impact Criteria Survey '!H56),"",'1. Impact Criteria Survey '!H56)</f>
        <v/>
      </c>
      <c r="J9" s="38" t="s">
        <v>863</v>
      </c>
    </row>
    <row r="10" spans="2:11" ht="12.75" customHeight="1" x14ac:dyDescent="0.2">
      <c r="B10" s="339" t="s">
        <v>182</v>
      </c>
      <c r="C10" s="282" t="s">
        <v>50</v>
      </c>
      <c r="D10" s="239" t="s">
        <v>335</v>
      </c>
    </row>
    <row r="11" spans="2:11" ht="26.25" customHeight="1" x14ac:dyDescent="0.2">
      <c r="B11" s="340"/>
      <c r="C11" s="279" t="s">
        <v>329</v>
      </c>
      <c r="D11" s="259" t="s">
        <v>867</v>
      </c>
      <c r="F11" s="334" t="s">
        <v>55</v>
      </c>
      <c r="G11" s="335"/>
      <c r="H11" s="335"/>
      <c r="I11" s="335"/>
      <c r="J11" s="335"/>
    </row>
    <row r="12" spans="2:11" ht="30" x14ac:dyDescent="0.2">
      <c r="B12" s="340"/>
      <c r="C12" s="283" t="s">
        <v>151</v>
      </c>
      <c r="D12" s="260" t="s">
        <v>333</v>
      </c>
      <c r="F12" s="182" t="s">
        <v>50</v>
      </c>
      <c r="G12" s="183" t="s">
        <v>45</v>
      </c>
      <c r="H12" s="183" t="s">
        <v>139</v>
      </c>
      <c r="I12" s="184" t="s">
        <v>224</v>
      </c>
      <c r="J12" s="185" t="s">
        <v>46</v>
      </c>
    </row>
    <row r="13" spans="2:11" ht="12.75" customHeight="1" x14ac:dyDescent="0.2">
      <c r="B13" s="340"/>
      <c r="C13" s="283" t="s">
        <v>152</v>
      </c>
      <c r="D13" s="260" t="s">
        <v>334</v>
      </c>
      <c r="F13" s="199" t="s">
        <v>135</v>
      </c>
      <c r="G13" s="200" t="s">
        <v>859</v>
      </c>
      <c r="H13" s="200" t="s">
        <v>859</v>
      </c>
      <c r="I13" s="200" t="s">
        <v>859</v>
      </c>
      <c r="J13" s="200" t="s">
        <v>859</v>
      </c>
    </row>
    <row r="14" spans="2:11" ht="12.75" customHeight="1" x14ac:dyDescent="0.2">
      <c r="B14" s="340"/>
      <c r="C14" s="283" t="s">
        <v>783</v>
      </c>
      <c r="D14" s="259" t="s">
        <v>864</v>
      </c>
      <c r="F14" s="189" t="s">
        <v>131</v>
      </c>
      <c r="G14" s="38" t="s">
        <v>183</v>
      </c>
      <c r="H14" s="38" t="s">
        <v>183</v>
      </c>
      <c r="I14" s="38" t="s">
        <v>183</v>
      </c>
      <c r="J14" s="38" t="s">
        <v>183</v>
      </c>
    </row>
    <row r="15" spans="2:11" ht="12.75" customHeight="1" x14ac:dyDescent="0.2">
      <c r="B15" s="340"/>
      <c r="C15" s="283" t="s">
        <v>784</v>
      </c>
      <c r="D15" s="259" t="s">
        <v>864</v>
      </c>
      <c r="F15" s="199" t="s">
        <v>132</v>
      </c>
      <c r="G15" s="38" t="s">
        <v>183</v>
      </c>
      <c r="H15" s="38" t="s">
        <v>183</v>
      </c>
      <c r="I15" s="38" t="s">
        <v>183</v>
      </c>
      <c r="J15" s="38" t="s">
        <v>183</v>
      </c>
      <c r="K15" s="36"/>
    </row>
    <row r="16" spans="2:11" ht="25.5" x14ac:dyDescent="0.2">
      <c r="B16" s="340"/>
      <c r="C16" s="283" t="s">
        <v>922</v>
      </c>
      <c r="D16" s="259" t="s">
        <v>923</v>
      </c>
      <c r="F16" s="189" t="s">
        <v>130</v>
      </c>
      <c r="G16" s="38" t="s">
        <v>183</v>
      </c>
      <c r="H16" s="38" t="s">
        <v>183</v>
      </c>
      <c r="I16" s="38" t="s">
        <v>183</v>
      </c>
      <c r="J16" s="38" t="s">
        <v>183</v>
      </c>
      <c r="K16" s="36"/>
    </row>
    <row r="17" spans="2:11" ht="25.5" x14ac:dyDescent="0.2">
      <c r="B17" s="340"/>
      <c r="C17" s="284" t="s">
        <v>811</v>
      </c>
      <c r="D17" s="260" t="s">
        <v>865</v>
      </c>
      <c r="F17" s="199" t="s">
        <v>133</v>
      </c>
      <c r="G17" s="38" t="s">
        <v>183</v>
      </c>
      <c r="H17" s="38" t="s">
        <v>183</v>
      </c>
      <c r="I17" s="38" t="s">
        <v>183</v>
      </c>
      <c r="J17" s="38" t="s">
        <v>183</v>
      </c>
      <c r="K17" s="36"/>
    </row>
    <row r="18" spans="2:11" ht="12.75" customHeight="1" x14ac:dyDescent="0.2">
      <c r="B18" s="340"/>
      <c r="C18" s="279" t="s">
        <v>830</v>
      </c>
      <c r="D18" s="259" t="s">
        <v>914</v>
      </c>
      <c r="F18" s="190" t="s">
        <v>134</v>
      </c>
      <c r="G18" s="38" t="s">
        <v>183</v>
      </c>
      <c r="H18" s="38" t="s">
        <v>183</v>
      </c>
      <c r="I18" s="38" t="s">
        <v>183</v>
      </c>
      <c r="J18" s="38" t="s">
        <v>183</v>
      </c>
      <c r="K18" s="36"/>
    </row>
    <row r="19" spans="2:11" ht="26.25" customHeight="1" x14ac:dyDescent="0.2">
      <c r="B19" s="340"/>
      <c r="C19" s="284" t="s">
        <v>804</v>
      </c>
      <c r="D19" s="259" t="s">
        <v>868</v>
      </c>
      <c r="K19" s="36"/>
    </row>
    <row r="20" spans="2:11" ht="25.5" x14ac:dyDescent="0.2">
      <c r="B20" s="340"/>
      <c r="C20" s="284" t="s">
        <v>192</v>
      </c>
      <c r="D20" s="260" t="s">
        <v>336</v>
      </c>
      <c r="F20" s="337" t="s">
        <v>858</v>
      </c>
      <c r="G20" s="338"/>
      <c r="K20" s="36"/>
    </row>
    <row r="21" spans="2:11" ht="25.5" x14ac:dyDescent="0.2">
      <c r="B21" s="340"/>
      <c r="C21" s="283" t="s">
        <v>48</v>
      </c>
      <c r="D21" s="260" t="s">
        <v>337</v>
      </c>
      <c r="F21" s="270" t="s">
        <v>855</v>
      </c>
      <c r="G21" s="221" t="s">
        <v>861</v>
      </c>
      <c r="K21" s="36"/>
    </row>
    <row r="22" spans="2:11" ht="38.25" x14ac:dyDescent="0.2">
      <c r="B22" s="340"/>
      <c r="C22" s="283" t="s">
        <v>802</v>
      </c>
      <c r="D22" s="260" t="s">
        <v>904</v>
      </c>
      <c r="F22" s="271" t="s">
        <v>856</v>
      </c>
      <c r="G22" s="165" t="s">
        <v>862</v>
      </c>
    </row>
    <row r="23" spans="2:11" ht="25.5" x14ac:dyDescent="0.2">
      <c r="B23" s="340"/>
      <c r="C23" s="283" t="s">
        <v>0</v>
      </c>
      <c r="D23" s="260" t="s">
        <v>338</v>
      </c>
      <c r="F23" s="272" t="s">
        <v>857</v>
      </c>
      <c r="G23" s="165" t="s">
        <v>860</v>
      </c>
    </row>
    <row r="24" spans="2:11" ht="25.5" x14ac:dyDescent="0.2">
      <c r="B24" s="340"/>
      <c r="C24" s="283" t="s">
        <v>140</v>
      </c>
      <c r="D24" s="260" t="s">
        <v>339</v>
      </c>
    </row>
    <row r="25" spans="2:11" ht="25.5" x14ac:dyDescent="0.2">
      <c r="B25" s="340"/>
      <c r="C25" s="283" t="s">
        <v>142</v>
      </c>
      <c r="D25" s="260" t="s">
        <v>866</v>
      </c>
    </row>
    <row r="26" spans="2:11" ht="12.75" customHeight="1" x14ac:dyDescent="0.2">
      <c r="B26" s="340"/>
      <c r="C26" s="283" t="s">
        <v>1</v>
      </c>
      <c r="D26" s="260" t="s">
        <v>340</v>
      </c>
    </row>
    <row r="27" spans="2:11" ht="13.5" customHeight="1" x14ac:dyDescent="0.2">
      <c r="B27" s="340"/>
      <c r="C27" s="283" t="s">
        <v>2</v>
      </c>
      <c r="D27" s="260" t="s">
        <v>807</v>
      </c>
    </row>
    <row r="28" spans="2:11" ht="13.5" customHeight="1" thickBot="1" x14ac:dyDescent="0.25">
      <c r="B28" s="341"/>
      <c r="C28" s="285" t="s">
        <v>3</v>
      </c>
      <c r="D28" s="261" t="s">
        <v>905</v>
      </c>
    </row>
    <row r="29" spans="2:11" ht="12.75" customHeight="1" x14ac:dyDescent="0.2">
      <c r="B29" s="339" t="s">
        <v>180</v>
      </c>
      <c r="C29" s="277" t="s">
        <v>196</v>
      </c>
      <c r="D29" s="262" t="s">
        <v>341</v>
      </c>
    </row>
    <row r="30" spans="2:11" ht="12.75" customHeight="1" x14ac:dyDescent="0.2">
      <c r="B30" s="340"/>
      <c r="C30" s="278" t="s">
        <v>56</v>
      </c>
      <c r="D30" s="260" t="s">
        <v>333</v>
      </c>
    </row>
    <row r="31" spans="2:11" ht="25.5" x14ac:dyDescent="0.2">
      <c r="B31" s="340"/>
      <c r="C31" s="278" t="s">
        <v>60</v>
      </c>
      <c r="D31" s="260" t="s">
        <v>334</v>
      </c>
    </row>
    <row r="32" spans="2:11" ht="25.5" x14ac:dyDescent="0.2">
      <c r="B32" s="340"/>
      <c r="C32" s="278" t="s">
        <v>61</v>
      </c>
      <c r="D32" s="260" t="s">
        <v>342</v>
      </c>
    </row>
    <row r="33" spans="2:4" ht="25.5" x14ac:dyDescent="0.2">
      <c r="B33" s="340"/>
      <c r="C33" s="279" t="s">
        <v>153</v>
      </c>
      <c r="D33" s="260" t="s">
        <v>343</v>
      </c>
    </row>
    <row r="34" spans="2:4" ht="25.5" x14ac:dyDescent="0.2">
      <c r="B34" s="340"/>
      <c r="C34" s="280" t="s">
        <v>193</v>
      </c>
      <c r="D34" s="260" t="s">
        <v>344</v>
      </c>
    </row>
    <row r="35" spans="2:4" ht="25.5" x14ac:dyDescent="0.2">
      <c r="B35" s="340"/>
      <c r="C35" s="278" t="s">
        <v>806</v>
      </c>
      <c r="D35" s="260" t="s">
        <v>345</v>
      </c>
    </row>
    <row r="36" spans="2:4" ht="25.5" x14ac:dyDescent="0.2">
      <c r="B36" s="340"/>
      <c r="C36" s="278" t="s">
        <v>62</v>
      </c>
      <c r="D36" s="260" t="s">
        <v>338</v>
      </c>
    </row>
    <row r="37" spans="2:4" ht="38.25" x14ac:dyDescent="0.2">
      <c r="B37" s="340"/>
      <c r="C37" s="278" t="s">
        <v>141</v>
      </c>
      <c r="D37" s="260" t="s">
        <v>339</v>
      </c>
    </row>
    <row r="38" spans="2:4" ht="38.25" x14ac:dyDescent="0.2">
      <c r="B38" s="340"/>
      <c r="C38" s="278" t="s">
        <v>796</v>
      </c>
      <c r="D38" s="260" t="s">
        <v>866</v>
      </c>
    </row>
    <row r="39" spans="2:4" ht="25.5" x14ac:dyDescent="0.2">
      <c r="B39" s="340"/>
      <c r="C39" s="278" t="s">
        <v>63</v>
      </c>
      <c r="D39" s="260" t="s">
        <v>340</v>
      </c>
    </row>
    <row r="40" spans="2:4" ht="25.5" x14ac:dyDescent="0.2">
      <c r="B40" s="340"/>
      <c r="C40" s="278" t="s">
        <v>65</v>
      </c>
      <c r="D40" s="260" t="s">
        <v>808</v>
      </c>
    </row>
    <row r="41" spans="2:4" ht="12.75" customHeight="1" x14ac:dyDescent="0.2">
      <c r="B41" s="340"/>
      <c r="C41" s="278" t="s">
        <v>181</v>
      </c>
      <c r="D41" s="260" t="s">
        <v>346</v>
      </c>
    </row>
    <row r="42" spans="2:4" ht="25.5" x14ac:dyDescent="0.2">
      <c r="B42" s="340"/>
      <c r="C42" s="279" t="s">
        <v>64</v>
      </c>
      <c r="D42" s="260" t="s">
        <v>347</v>
      </c>
    </row>
    <row r="43" spans="2:4" ht="13.5" customHeight="1" x14ac:dyDescent="0.2">
      <c r="B43" s="340"/>
      <c r="C43" s="279" t="s">
        <v>147</v>
      </c>
      <c r="D43" s="260" t="s">
        <v>348</v>
      </c>
    </row>
    <row r="44" spans="2:4" ht="13.5" customHeight="1" thickBot="1" x14ac:dyDescent="0.25">
      <c r="B44" s="341"/>
      <c r="C44" s="281" t="s">
        <v>57</v>
      </c>
      <c r="D44" s="261" t="s">
        <v>349</v>
      </c>
    </row>
    <row r="45" spans="2:4" ht="31.5" customHeight="1" x14ac:dyDescent="0.2">
      <c r="B45" s="339" t="s">
        <v>797</v>
      </c>
      <c r="C45" s="274" t="s">
        <v>142</v>
      </c>
      <c r="D45" s="263" t="s">
        <v>870</v>
      </c>
    </row>
    <row r="46" spans="2:4" ht="13.5" customHeight="1" x14ac:dyDescent="0.2">
      <c r="B46" s="340"/>
      <c r="C46" s="275" t="s">
        <v>58</v>
      </c>
      <c r="D46" s="259" t="s">
        <v>871</v>
      </c>
    </row>
    <row r="47" spans="2:4" ht="27" customHeight="1" thickBot="1" x14ac:dyDescent="0.25">
      <c r="B47" s="341"/>
      <c r="C47" s="276" t="s">
        <v>59</v>
      </c>
      <c r="D47" s="264" t="s">
        <v>872</v>
      </c>
    </row>
  </sheetData>
  <sheetProtection sheet="1" objects="1" scenarios="1"/>
  <mergeCells count="7">
    <mergeCell ref="F2:J2"/>
    <mergeCell ref="F11:J11"/>
    <mergeCell ref="B2:B7"/>
    <mergeCell ref="F20:G20"/>
    <mergeCell ref="B45:B47"/>
    <mergeCell ref="B29:B44"/>
    <mergeCell ref="B10:B28"/>
  </mergeCells>
  <pageMargins left="0.7" right="0.7" top="0.75" bottom="0.75" header="0.3" footer="0.3"/>
  <pageSetup orientation="portrait" r:id="rId1"/>
  <ignoredErrors>
    <ignoredError sqref="G4:G9 H4:H9 J4:J9" calculatedColumn="1"/>
  </ignoredErrors>
  <tableParts count="2">
    <tablePart r:id="rId2"/>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21100-E161-4811-8D8E-DF07EF73F8B4}">
  <sheetPr codeName="Sheet7">
    <tabColor rgb="FF0086BF"/>
  </sheetPr>
  <dimension ref="B2:H86"/>
  <sheetViews>
    <sheetView showGridLines="0" zoomScale="104" workbookViewId="0">
      <selection activeCell="B2" sqref="B2"/>
    </sheetView>
  </sheetViews>
  <sheetFormatPr defaultColWidth="9.140625" defaultRowHeight="12.75" x14ac:dyDescent="0.2"/>
  <cols>
    <col min="1" max="1" width="9.140625" style="2"/>
    <col min="2" max="2" width="35" style="2" bestFit="1" customWidth="1"/>
    <col min="3" max="3" width="56.7109375" style="11" customWidth="1"/>
    <col min="4" max="4" width="50.42578125" style="2" customWidth="1"/>
    <col min="5" max="5" width="34.5703125" style="2" customWidth="1"/>
    <col min="6" max="6" width="15.42578125" style="2" bestFit="1" customWidth="1"/>
    <col min="7" max="7" width="17.5703125" style="2" bestFit="1" customWidth="1"/>
    <col min="8" max="8" width="18.42578125" style="2" bestFit="1" customWidth="1"/>
    <col min="9" max="16384" width="9.140625" style="2"/>
  </cols>
  <sheetData>
    <row r="2" spans="2:5" ht="10.5" customHeight="1" x14ac:dyDescent="0.2">
      <c r="B2" s="21"/>
      <c r="C2" s="265"/>
      <c r="D2" s="21"/>
      <c r="E2" s="21"/>
    </row>
    <row r="4" spans="2:5" x14ac:dyDescent="0.2">
      <c r="B4" s="35" t="s">
        <v>799</v>
      </c>
      <c r="C4" s="40" t="s">
        <v>800</v>
      </c>
    </row>
    <row r="6" spans="2:5" x14ac:dyDescent="0.2">
      <c r="B6" s="6" t="s">
        <v>799</v>
      </c>
    </row>
    <row r="7" spans="2:5" x14ac:dyDescent="0.2">
      <c r="B7" s="8" t="s">
        <v>132</v>
      </c>
    </row>
    <row r="8" spans="2:5" x14ac:dyDescent="0.2">
      <c r="B8" s="8" t="s">
        <v>130</v>
      </c>
    </row>
    <row r="9" spans="2:5" x14ac:dyDescent="0.2">
      <c r="B9" s="8" t="s">
        <v>131</v>
      </c>
    </row>
    <row r="10" spans="2:5" x14ac:dyDescent="0.2">
      <c r="B10" s="8" t="s">
        <v>135</v>
      </c>
    </row>
    <row r="11" spans="2:5" x14ac:dyDescent="0.2">
      <c r="B11" s="8" t="s">
        <v>133</v>
      </c>
    </row>
    <row r="12" spans="2:5" x14ac:dyDescent="0.2">
      <c r="B12" s="8" t="s">
        <v>134</v>
      </c>
    </row>
    <row r="14" spans="2:5" ht="10.5" customHeight="1" x14ac:dyDescent="0.2">
      <c r="B14" s="21"/>
      <c r="C14" s="265"/>
      <c r="D14" s="21"/>
      <c r="E14" s="21"/>
    </row>
    <row r="16" spans="2:5" ht="25.5" x14ac:dyDescent="0.2">
      <c r="B16" s="35" t="s">
        <v>195</v>
      </c>
      <c r="C16" s="40" t="s">
        <v>194</v>
      </c>
    </row>
    <row r="18" spans="2:5" x14ac:dyDescent="0.2">
      <c r="B18" s="6" t="s">
        <v>195</v>
      </c>
      <c r="C18" s="22" t="s">
        <v>4</v>
      </c>
    </row>
    <row r="19" spans="2:5" x14ac:dyDescent="0.2">
      <c r="B19" s="6">
        <v>1</v>
      </c>
      <c r="C19" s="7" t="s">
        <v>148</v>
      </c>
    </row>
    <row r="20" spans="2:5" ht="25.5" x14ac:dyDescent="0.2">
      <c r="B20" s="6">
        <v>2</v>
      </c>
      <c r="C20" s="7" t="s">
        <v>149</v>
      </c>
    </row>
    <row r="21" spans="2:5" x14ac:dyDescent="0.2">
      <c r="B21" s="6">
        <v>3</v>
      </c>
      <c r="C21" s="7" t="s">
        <v>150</v>
      </c>
    </row>
    <row r="22" spans="2:5" x14ac:dyDescent="0.2">
      <c r="B22" s="6">
        <v>4</v>
      </c>
      <c r="C22" s="7" t="s">
        <v>197</v>
      </c>
    </row>
    <row r="23" spans="2:5" ht="25.5" x14ac:dyDescent="0.2">
      <c r="B23" s="6">
        <v>5</v>
      </c>
      <c r="C23" s="7" t="s">
        <v>198</v>
      </c>
    </row>
    <row r="24" spans="2:5" x14ac:dyDescent="0.2">
      <c r="B24" s="6"/>
      <c r="C24" s="7"/>
    </row>
    <row r="25" spans="2:5" ht="10.5" customHeight="1" x14ac:dyDescent="0.2">
      <c r="B25" s="21"/>
      <c r="C25" s="265"/>
      <c r="D25" s="21"/>
      <c r="E25" s="21"/>
    </row>
    <row r="26" spans="2:5" x14ac:dyDescent="0.2">
      <c r="B26" s="6"/>
      <c r="C26" s="7"/>
    </row>
    <row r="27" spans="2:5" ht="25.5" x14ac:dyDescent="0.2">
      <c r="B27" s="35" t="s">
        <v>801</v>
      </c>
      <c r="C27" s="40" t="s">
        <v>810</v>
      </c>
    </row>
    <row r="29" spans="2:5" x14ac:dyDescent="0.2">
      <c r="B29" s="6" t="s">
        <v>809</v>
      </c>
      <c r="C29" s="22" t="s">
        <v>803</v>
      </c>
      <c r="D29" s="6" t="s">
        <v>300</v>
      </c>
    </row>
    <row r="30" spans="2:5" x14ac:dyDescent="0.2">
      <c r="B30" s="6">
        <v>1</v>
      </c>
      <c r="C30" s="7" t="s">
        <v>301</v>
      </c>
      <c r="D30" s="7" t="s">
        <v>840</v>
      </c>
    </row>
    <row r="31" spans="2:5" ht="25.5" x14ac:dyDescent="0.2">
      <c r="B31" s="6">
        <v>2</v>
      </c>
      <c r="C31" s="7" t="s">
        <v>302</v>
      </c>
      <c r="D31" s="7" t="s">
        <v>841</v>
      </c>
    </row>
    <row r="32" spans="2:5" ht="25.5" x14ac:dyDescent="0.2">
      <c r="B32" s="6">
        <v>3</v>
      </c>
      <c r="C32" s="7" t="s">
        <v>303</v>
      </c>
      <c r="D32" s="7" t="s">
        <v>842</v>
      </c>
    </row>
    <row r="33" spans="2:8" x14ac:dyDescent="0.2">
      <c r="B33" s="6">
        <v>4</v>
      </c>
      <c r="C33" s="7" t="s">
        <v>304</v>
      </c>
      <c r="D33" s="7" t="s">
        <v>843</v>
      </c>
    </row>
    <row r="34" spans="2:8" x14ac:dyDescent="0.2">
      <c r="B34" s="6">
        <v>5</v>
      </c>
      <c r="C34" s="7" t="s">
        <v>305</v>
      </c>
      <c r="D34" s="7" t="s">
        <v>844</v>
      </c>
    </row>
    <row r="36" spans="2:8" ht="10.5" customHeight="1" x14ac:dyDescent="0.2">
      <c r="B36" s="21"/>
      <c r="C36" s="265"/>
      <c r="D36" s="21"/>
      <c r="E36" s="21"/>
    </row>
    <row r="38" spans="2:8" x14ac:dyDescent="0.2">
      <c r="B38" s="268" t="s">
        <v>8</v>
      </c>
      <c r="C38" s="269" t="s">
        <v>189</v>
      </c>
    </row>
    <row r="40" spans="2:8" x14ac:dyDescent="0.2">
      <c r="B40" s="22" t="s">
        <v>7</v>
      </c>
      <c r="C40" s="22" t="s">
        <v>8</v>
      </c>
    </row>
    <row r="41" spans="2:8" ht="38.65" customHeight="1" x14ac:dyDescent="0.2">
      <c r="B41" s="7" t="str">
        <f>IF(AcceptableRisk&gt;0, "&lt; " &amp; AcceptableRisk, "Complete the Risk Acceptance Criteria table in Enterprise Parameters")</f>
        <v>Complete the Risk Acceptance Criteria table in Enterprise Parameters</v>
      </c>
      <c r="C41" s="7" t="str">
        <f>IF(AcceptableRisk&gt;0, "All scores lower than '" &amp; AcceptableRisk &amp; "' may be automatically accepted. All other risks must be reduced.","Complete the Risk Acceptance Criteria table in Enterprise parameters.")</f>
        <v>Complete the Risk Acceptance Criteria table in Enterprise parameters.</v>
      </c>
      <c r="H41" s="273"/>
    </row>
    <row r="43" spans="2:8" ht="10.5" customHeight="1" x14ac:dyDescent="0.2">
      <c r="B43" s="21"/>
      <c r="C43" s="265"/>
      <c r="D43" s="21"/>
      <c r="E43" s="21"/>
    </row>
    <row r="45" spans="2:8" x14ac:dyDescent="0.2">
      <c r="B45" s="35" t="s">
        <v>48</v>
      </c>
      <c r="C45" s="40" t="s">
        <v>190</v>
      </c>
    </row>
    <row r="47" spans="2:8" x14ac:dyDescent="0.2">
      <c r="B47" s="141" t="s">
        <v>143</v>
      </c>
      <c r="C47" s="266">
        <v>8893</v>
      </c>
      <c r="D47" s="141" t="s">
        <v>144</v>
      </c>
      <c r="E47" s="142">
        <v>44406</v>
      </c>
    </row>
    <row r="48" spans="2:8" x14ac:dyDescent="0.2">
      <c r="B48" s="143" t="s">
        <v>50</v>
      </c>
      <c r="C48" s="267" t="s">
        <v>9</v>
      </c>
      <c r="D48" s="143" t="s">
        <v>10</v>
      </c>
      <c r="E48" s="143" t="s">
        <v>12</v>
      </c>
    </row>
    <row r="49" spans="2:5" x14ac:dyDescent="0.2">
      <c r="B49" s="144" t="s">
        <v>135</v>
      </c>
      <c r="C49" s="267">
        <f>MAX(C50:C55)</f>
        <v>4458</v>
      </c>
      <c r="D49" s="145">
        <f>tblVCDBIndex[[#This Row],[Sum of Threat Count / Industry]]/$C$47</f>
        <v>0.50129315191723822</v>
      </c>
      <c r="E49" s="146">
        <f>IF(tblVCDBIndex[[#This Row],[Percentage]]&gt;=0.5,3,IF(tblVCDBIndex[[#This Row],[Percentage]]&gt;=0.1,2,1))</f>
        <v>3</v>
      </c>
    </row>
    <row r="50" spans="2:5" x14ac:dyDescent="0.2">
      <c r="B50" s="147" t="s">
        <v>132</v>
      </c>
      <c r="C50" s="267">
        <v>1253</v>
      </c>
      <c r="D50" s="148">
        <f>tblVCDBIndex[[#This Row],[Sum of Threat Count / Industry]]/$C$47</f>
        <v>0.14089733498257057</v>
      </c>
      <c r="E50" s="143">
        <f>IF(tblVCDBIndex[[#This Row],[Percentage]]&gt;=0.5,3,IF(tblVCDBIndex[[#This Row],[Percentage]]&gt;=0.1,2,1))</f>
        <v>2</v>
      </c>
    </row>
    <row r="51" spans="2:5" x14ac:dyDescent="0.2">
      <c r="B51" s="149" t="s">
        <v>130</v>
      </c>
      <c r="C51" s="267">
        <v>4458</v>
      </c>
      <c r="D51" s="150">
        <f>tblVCDBIndex[[#This Row],[Sum of Threat Count / Industry]]/$C$47</f>
        <v>0.50129315191723822</v>
      </c>
      <c r="E51" s="151">
        <f>IF(tblVCDBIndex[[#This Row],[Percentage]]&gt;=0.5,3,IF(tblVCDBIndex[[#This Row],[Percentage]]&gt;=0.1,2,1))</f>
        <v>3</v>
      </c>
    </row>
    <row r="52" spans="2:5" x14ac:dyDescent="0.2">
      <c r="B52" s="152" t="s">
        <v>131</v>
      </c>
      <c r="C52" s="267">
        <v>798</v>
      </c>
      <c r="D52" s="148">
        <f>tblVCDBIndex[[#This Row],[Sum of Threat Count / Industry]]/$C$47</f>
        <v>8.9733498257056107E-2</v>
      </c>
      <c r="E52" s="143">
        <f>IF(tblVCDBIndex[[#This Row],[Percentage]]&gt;=0.5,3,IF(tblVCDBIndex[[#This Row],[Percentage]]&gt;=0.1,2,1))</f>
        <v>1</v>
      </c>
    </row>
    <row r="53" spans="2:5" x14ac:dyDescent="0.2">
      <c r="B53" s="152" t="s">
        <v>133</v>
      </c>
      <c r="C53" s="267">
        <v>62</v>
      </c>
      <c r="D53" s="148">
        <f>tblVCDBIndex[[#This Row],[Sum of Threat Count / Industry]]/$C$47</f>
        <v>6.9717755538063649E-3</v>
      </c>
      <c r="E53" s="143">
        <f>IF(tblVCDBIndex[[#This Row],[Percentage]]&gt;=0.5,3,IF(tblVCDBIndex[[#This Row],[Percentage]]&gt;=0.1,2,1))</f>
        <v>1</v>
      </c>
    </row>
    <row r="54" spans="2:5" x14ac:dyDescent="0.2">
      <c r="B54" s="152" t="s">
        <v>134</v>
      </c>
      <c r="C54" s="267">
        <v>4458</v>
      </c>
      <c r="D54" s="148">
        <f>tblVCDBIndex[[#This Row],[Sum of Threat Count / Industry]]/$C$47</f>
        <v>0.50129315191723822</v>
      </c>
      <c r="E54" s="143">
        <f>IF(tblVCDBIndex[[#This Row],[Percentage]]&gt;=0.5,3,IF(tblVCDBIndex[[#This Row],[Percentage]]&gt;=0.1,2,1))</f>
        <v>3</v>
      </c>
    </row>
    <row r="55" spans="2:5" x14ac:dyDescent="0.2">
      <c r="B55" s="152" t="s">
        <v>146</v>
      </c>
      <c r="C55" s="267">
        <v>863</v>
      </c>
      <c r="D55" s="148">
        <f>tblVCDBIndex[[#This Row],[Sum of Threat Count / Industry]]/$C$47</f>
        <v>9.7042617789272465E-2</v>
      </c>
      <c r="E55" s="143">
        <f>IF(tblVCDBIndex[[#This Row],[Percentage]]&gt;=0.5,3,IF(tblVCDBIndex[[#This Row],[Percentage]]&gt;=0.1,2,1))</f>
        <v>1</v>
      </c>
    </row>
    <row r="57" spans="2:5" x14ac:dyDescent="0.2">
      <c r="B57" s="21"/>
      <c r="C57" s="265"/>
      <c r="D57" s="21"/>
      <c r="E57" s="21"/>
    </row>
    <row r="59" spans="2:5" ht="25.5" x14ac:dyDescent="0.2">
      <c r="B59" s="35" t="s">
        <v>49</v>
      </c>
      <c r="C59" s="40" t="s">
        <v>903</v>
      </c>
    </row>
    <row r="61" spans="2:5" ht="10.5" customHeight="1" x14ac:dyDescent="0.2">
      <c r="B61" s="6" t="s">
        <v>145</v>
      </c>
      <c r="C61" s="22" t="s">
        <v>11</v>
      </c>
      <c r="D61" s="6" t="s">
        <v>48</v>
      </c>
      <c r="E61" s="6" t="s">
        <v>803</v>
      </c>
    </row>
    <row r="62" spans="2:5" x14ac:dyDescent="0.2">
      <c r="B62" s="6">
        <v>51</v>
      </c>
      <c r="C62" s="22">
        <v>5</v>
      </c>
      <c r="D62" s="6">
        <v>1</v>
      </c>
      <c r="E62" s="6">
        <v>1</v>
      </c>
    </row>
    <row r="63" spans="2:5" x14ac:dyDescent="0.2">
      <c r="B63" s="6">
        <v>52</v>
      </c>
      <c r="C63" s="22">
        <v>5</v>
      </c>
      <c r="D63" s="6">
        <v>2</v>
      </c>
      <c r="E63" s="6">
        <v>1</v>
      </c>
    </row>
    <row r="64" spans="2:5" x14ac:dyDescent="0.2">
      <c r="B64" s="6">
        <v>53</v>
      </c>
      <c r="C64" s="22">
        <v>5</v>
      </c>
      <c r="D64" s="6">
        <v>3</v>
      </c>
      <c r="E64" s="6">
        <v>1</v>
      </c>
    </row>
    <row r="65" spans="2:5" x14ac:dyDescent="0.2">
      <c r="B65" s="6">
        <v>54</v>
      </c>
      <c r="C65" s="22">
        <v>5</v>
      </c>
      <c r="D65" s="6">
        <v>4</v>
      </c>
      <c r="E65" s="6">
        <v>2</v>
      </c>
    </row>
    <row r="66" spans="2:5" x14ac:dyDescent="0.2">
      <c r="B66" s="6">
        <v>55</v>
      </c>
      <c r="C66" s="22">
        <v>5</v>
      </c>
      <c r="D66" s="6">
        <v>5</v>
      </c>
      <c r="E66" s="6">
        <v>2</v>
      </c>
    </row>
    <row r="67" spans="2:5" x14ac:dyDescent="0.2">
      <c r="B67" s="6">
        <v>41</v>
      </c>
      <c r="C67" s="22">
        <v>4</v>
      </c>
      <c r="D67" s="6">
        <v>1</v>
      </c>
      <c r="E67" s="6">
        <v>1</v>
      </c>
    </row>
    <row r="68" spans="2:5" x14ac:dyDescent="0.2">
      <c r="B68" s="6">
        <v>42</v>
      </c>
      <c r="C68" s="22">
        <v>4</v>
      </c>
      <c r="D68" s="6">
        <v>2</v>
      </c>
      <c r="E68" s="6">
        <v>2</v>
      </c>
    </row>
    <row r="69" spans="2:5" x14ac:dyDescent="0.2">
      <c r="B69" s="6">
        <v>43</v>
      </c>
      <c r="C69" s="22">
        <v>4</v>
      </c>
      <c r="D69" s="6">
        <v>3</v>
      </c>
      <c r="E69" s="6">
        <v>2</v>
      </c>
    </row>
    <row r="70" spans="2:5" x14ac:dyDescent="0.2">
      <c r="B70" s="6">
        <v>44</v>
      </c>
      <c r="C70" s="22">
        <v>4</v>
      </c>
      <c r="D70" s="6">
        <v>4</v>
      </c>
      <c r="E70" s="6">
        <v>3</v>
      </c>
    </row>
    <row r="71" spans="2:5" x14ac:dyDescent="0.2">
      <c r="B71" s="6">
        <v>45</v>
      </c>
      <c r="C71" s="22">
        <v>4</v>
      </c>
      <c r="D71" s="6">
        <v>5</v>
      </c>
      <c r="E71" s="6">
        <v>3</v>
      </c>
    </row>
    <row r="72" spans="2:5" x14ac:dyDescent="0.2">
      <c r="B72" s="6">
        <v>31</v>
      </c>
      <c r="C72" s="22">
        <v>3</v>
      </c>
      <c r="D72" s="6">
        <v>1</v>
      </c>
      <c r="E72" s="6">
        <v>1</v>
      </c>
    </row>
    <row r="73" spans="2:5" x14ac:dyDescent="0.2">
      <c r="B73" s="6">
        <v>32</v>
      </c>
      <c r="C73" s="22">
        <v>3</v>
      </c>
      <c r="D73" s="6">
        <v>2</v>
      </c>
      <c r="E73" s="6">
        <v>2</v>
      </c>
    </row>
    <row r="74" spans="2:5" x14ac:dyDescent="0.2">
      <c r="B74" s="6">
        <v>33</v>
      </c>
      <c r="C74" s="22">
        <v>3</v>
      </c>
      <c r="D74" s="6">
        <v>3</v>
      </c>
      <c r="E74" s="6">
        <v>3</v>
      </c>
    </row>
    <row r="75" spans="2:5" x14ac:dyDescent="0.2">
      <c r="B75" s="6">
        <v>34</v>
      </c>
      <c r="C75" s="22">
        <v>3</v>
      </c>
      <c r="D75" s="6">
        <v>4</v>
      </c>
      <c r="E75" s="6">
        <v>4</v>
      </c>
    </row>
    <row r="76" spans="2:5" x14ac:dyDescent="0.2">
      <c r="B76" s="6">
        <v>35</v>
      </c>
      <c r="C76" s="22">
        <v>3</v>
      </c>
      <c r="D76" s="6">
        <v>5</v>
      </c>
      <c r="E76" s="6">
        <v>5</v>
      </c>
    </row>
    <row r="77" spans="2:5" x14ac:dyDescent="0.2">
      <c r="B77" s="6">
        <v>21</v>
      </c>
      <c r="C77" s="22">
        <v>2</v>
      </c>
      <c r="D77" s="6">
        <v>1</v>
      </c>
      <c r="E77" s="6">
        <v>3</v>
      </c>
    </row>
    <row r="78" spans="2:5" x14ac:dyDescent="0.2">
      <c r="B78" s="6">
        <v>22</v>
      </c>
      <c r="C78" s="22">
        <v>2</v>
      </c>
      <c r="D78" s="6">
        <v>2</v>
      </c>
      <c r="E78" s="6">
        <v>3</v>
      </c>
    </row>
    <row r="79" spans="2:5" x14ac:dyDescent="0.2">
      <c r="B79" s="6">
        <v>23</v>
      </c>
      <c r="C79" s="22">
        <v>2</v>
      </c>
      <c r="D79" s="6">
        <v>3</v>
      </c>
      <c r="E79" s="6">
        <v>4</v>
      </c>
    </row>
    <row r="80" spans="2:5" x14ac:dyDescent="0.2">
      <c r="B80" s="6">
        <v>24</v>
      </c>
      <c r="C80" s="22">
        <v>2</v>
      </c>
      <c r="D80" s="6">
        <v>4</v>
      </c>
      <c r="E80" s="6">
        <v>4</v>
      </c>
    </row>
    <row r="81" spans="2:5" x14ac:dyDescent="0.2">
      <c r="B81" s="6">
        <v>25</v>
      </c>
      <c r="C81" s="22">
        <v>2</v>
      </c>
      <c r="D81" s="6">
        <v>5</v>
      </c>
      <c r="E81" s="6">
        <v>5</v>
      </c>
    </row>
    <row r="82" spans="2:5" x14ac:dyDescent="0.2">
      <c r="B82" s="6">
        <v>11</v>
      </c>
      <c r="C82" s="22">
        <v>1</v>
      </c>
      <c r="D82" s="6">
        <v>1</v>
      </c>
      <c r="E82" s="6">
        <v>4</v>
      </c>
    </row>
    <row r="83" spans="2:5" x14ac:dyDescent="0.2">
      <c r="B83" s="6">
        <v>12</v>
      </c>
      <c r="C83" s="22">
        <v>1</v>
      </c>
      <c r="D83" s="6">
        <v>2</v>
      </c>
      <c r="E83" s="6">
        <v>4</v>
      </c>
    </row>
    <row r="84" spans="2:5" x14ac:dyDescent="0.2">
      <c r="B84" s="6">
        <v>13</v>
      </c>
      <c r="C84" s="22">
        <v>1</v>
      </c>
      <c r="D84" s="6">
        <v>3</v>
      </c>
      <c r="E84" s="6">
        <v>5</v>
      </c>
    </row>
    <row r="85" spans="2:5" x14ac:dyDescent="0.2">
      <c r="B85" s="6">
        <v>14</v>
      </c>
      <c r="C85" s="22">
        <v>1</v>
      </c>
      <c r="D85" s="6">
        <v>4</v>
      </c>
      <c r="E85" s="6">
        <v>5</v>
      </c>
    </row>
    <row r="86" spans="2:5" x14ac:dyDescent="0.2">
      <c r="B86" s="6">
        <v>15</v>
      </c>
      <c r="C86" s="22">
        <v>1</v>
      </c>
      <c r="D86" s="6">
        <v>5</v>
      </c>
      <c r="E86" s="6">
        <v>5</v>
      </c>
    </row>
  </sheetData>
  <sheetProtection sheet="1" objects="1" scenarios="1"/>
  <dataValidations count="1">
    <dataValidation type="list" allowBlank="1" showInputMessage="1" showErrorMessage="1" sqref="B50" xr:uid="{E97CA396-3BF4-4441-B7BF-A8433F33ACCE}">
      <formula1>Asset_Class</formula1>
    </dataValidation>
  </dataValidations>
  <pageMargins left="0.7" right="0.7" top="0.75" bottom="0.75" header="0.3" footer="0.3"/>
  <pageSetup orientation="portrait" r:id="rId1"/>
  <tableParts count="6">
    <tablePart r:id="rId2"/>
    <tablePart r:id="rId3"/>
    <tablePart r:id="rId4"/>
    <tablePart r:id="rId5"/>
    <tablePart r:id="rId6"/>
    <tablePart r:id="rId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I D A A B Q S w M E F A A C A A g A z K K x U o 0 G h 5 C i A A A A 9 Q A A A B I A H A B D b 2 5 m a W c v U G F j a 2 F n Z S 5 4 b W w g o h g A K K A U A A A A A A A A A A A A A A A A A A A A A A A A A A A A h Y + x D o I w F E V / h X S n L e h A y K M M r p K Y E I 1 r U y o 2 w s P Q Y v k 3 B z / J X x C j q J v j v e c M 9 9 6 v N 8 j H t g k u u r e m w 4 x E l J N A o + o q g 3 V G B n c I E 5 I L 2 E h 1 k r U O J h l t O t o q I 0 f n z i l j 3 n v q F 7 T r a x Z z H r F 9 s S 7 V U b e S f G T z X w 4 N W i d R a S J g 9 x o j Y p o s a c K n S c D m D g q D X x 5 P 7 E l / S l g N j R t 6 L T S G 2 x L Y H I G 9 L 4 g H U E s D B B Q A A g A I A M y i s V 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M o r F S K I p H u A 4 A A A A R A A A A E w A c A E Z v c m 1 1 b G F z L 1 N l Y 3 R p b 2 4 x L m 0 g o h g A K K A U A A A A A A A A A A A A A A A A A A A A A A A A A A A A K 0 5 N L s n M z 1 M I h t C G 1 g B Q S w E C L Q A U A A I A C A D M o r F S j Q a H k K I A A A D 1 A A A A E g A A A A A A A A A A A A A A A A A A A A A A Q 2 9 u Z m l n L 1 B h Y 2 t h Z 2 U u e G 1 s U E s B A i 0 A F A A C A A g A z K K x U g / K 6 a u k A A A A 6 Q A A A B M A A A A A A A A A A A A A A A A A 7 g A A A F t D b 2 5 0 Z W 5 0 X 1 R 5 c G V z X S 5 4 b W x Q S w E C L Q A U A A I A C A D M o r F S K I p H u A 4 A A A A R A A A A E w A A A A A A A A A A A A A A A A D f A Q A A R m 9 y b X V s Y X M v U 2 V j d G l v b j E u b V B L B Q Y A A A A A A w A D A M I A A A A 6 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n Z 8 g c q M 9 X E i p l U O 3 7 R 9 g x Q A A A A A C A A A A A A A D Z g A A w A A A A B A A A A A H i 9 w m O f Z 6 L f 7 X L g 6 v L 5 + F A A A A A A S A A A C g A A A A E A A A A F J v l B D T z 5 P Z 8 D j w b h P o B A 9 Q A A A A I o g J A Q V 3 1 3 Z t 6 / 7 T c e N P k L M h r + J M R Q w h x s L Z y k 6 g a d g 4 N n K Q a d l T j R 5 P Q V A 9 P v C 2 W F j + 2 J 7 I I Z q O 4 L H T 7 K f 9 6 W p X m + 8 H c Q g W 8 m v 7 4 D U + j P 4 U A A A A D 4 F M V z y z W 5 R h F e 4 I Y L G W N g X z 0 f 0 = < / D a t a M a s h u p > 
</file>

<file path=customXml/itemProps1.xml><?xml version="1.0" encoding="utf-8"?>
<ds:datastoreItem xmlns:ds="http://schemas.openxmlformats.org/officeDocument/2006/customXml" ds:itemID="{76807C70-5236-41F0-9881-3A6C1B85CFB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21</vt:i4>
      </vt:variant>
    </vt:vector>
  </HeadingPairs>
  <TitlesOfParts>
    <vt:vector size="37" baseType="lpstr">
      <vt:lpstr>Cover</vt:lpstr>
      <vt:lpstr>Read_Me</vt:lpstr>
      <vt:lpstr>CIS Controls Resources</vt:lpstr>
      <vt:lpstr>1. Impact Criteria Survey </vt:lpstr>
      <vt:lpstr>2. Enterprise Parameters</vt:lpstr>
      <vt:lpstr>3a. Risk Register Controls v7.1</vt:lpstr>
      <vt:lpstr>3b. Risk Register Controls v8</vt:lpstr>
      <vt:lpstr>Legend</vt:lpstr>
      <vt:lpstr>Lookup Tables</vt:lpstr>
      <vt:lpstr>CIS CSAT Pro</vt:lpstr>
      <vt:lpstr>CIS-Hosted CSAT</vt:lpstr>
      <vt:lpstr>Impact Criteria Survey -EXAMPLE</vt:lpstr>
      <vt:lpstr>Enterprise Parameters  -EXAMPLE</vt:lpstr>
      <vt:lpstr>Risk Register Controls v8 - EX</vt:lpstr>
      <vt:lpstr>CIS-Hosted CSAT - EXAMPLE</vt:lpstr>
      <vt:lpstr>CIS CSAT Pro - EXAMPLE</vt:lpstr>
      <vt:lpstr>'CIS CSAT Pro'!_ftn1</vt:lpstr>
      <vt:lpstr>'CIS CSAT Pro'!_ftnref1</vt:lpstr>
      <vt:lpstr>'CIS CSAT Pro'!_Hlk82606169</vt:lpstr>
      <vt:lpstr>AcceptableRisk</vt:lpstr>
      <vt:lpstr>AcceptableRisk1</vt:lpstr>
      <vt:lpstr>Read_Me!Asset_Classes</vt:lpstr>
      <vt:lpstr>Asset_Classes</vt:lpstr>
      <vt:lpstr>'3a. Risk Register Controls v7.1'!Industry</vt:lpstr>
      <vt:lpstr>'3b. Risk Register Controls v8'!Industry</vt:lpstr>
      <vt:lpstr>'Enterprise Parameters  -EXAMPLE'!Industry</vt:lpstr>
      <vt:lpstr>'Impact Criteria Survey -EXAMPLE'!Industry</vt:lpstr>
      <vt:lpstr>Read_Me!Industry</vt:lpstr>
      <vt:lpstr>'Risk Register Controls v8 - EX'!Industry</vt:lpstr>
      <vt:lpstr>Industry</vt:lpstr>
      <vt:lpstr>'3a. Risk Register Controls v7.1'!Maturity_Score</vt:lpstr>
      <vt:lpstr>'3b. Risk Register Controls v8'!Maturity_Score</vt:lpstr>
      <vt:lpstr>'Enterprise Parameters  -EXAMPLE'!Maturity_Score</vt:lpstr>
      <vt:lpstr>'Impact Criteria Survey -EXAMPLE'!Maturity_Score</vt:lpstr>
      <vt:lpstr>Read_Me!Maturity_Score</vt:lpstr>
      <vt:lpstr>'Risk Register Controls v8 - EX'!Maturity_Score</vt:lpstr>
      <vt:lpstr>Maturity_Score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Cronin</dc:creator>
  <cp:lastModifiedBy>Robin Regnier</cp:lastModifiedBy>
  <dcterms:created xsi:type="dcterms:W3CDTF">2019-10-25T13:04:24Z</dcterms:created>
  <dcterms:modified xsi:type="dcterms:W3CDTF">2023-03-24T12:41:53Z</dcterms:modified>
</cp:coreProperties>
</file>