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Pap\Dropbox\GAMES\KSP\Git\RealismOverhaul\Notes\"/>
    </mc:Choice>
  </mc:AlternateContent>
  <xr:revisionPtr revIDLastSave="0" documentId="13_ncr:1_{1551AA0A-AA54-4777-9733-63C1590ABD8F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Antenna">Sheet1!$U$13</definedName>
    <definedName name="DSN">Sheet1!$X$12</definedName>
    <definedName name="Type">Sheet1!$U$14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L2" i="1"/>
  <c r="L3" i="1"/>
  <c r="L4" i="1"/>
  <c r="L5" i="1"/>
  <c r="L6" i="1"/>
  <c r="L7" i="1"/>
  <c r="L8" i="1"/>
  <c r="L9" i="1"/>
  <c r="L10" i="1"/>
  <c r="L11" i="1"/>
  <c r="L12" i="1"/>
  <c r="K2" i="1"/>
  <c r="K3" i="1"/>
  <c r="K4" i="1"/>
  <c r="K5" i="1"/>
  <c r="K6" i="1"/>
  <c r="K7" i="1"/>
  <c r="K8" i="1"/>
  <c r="K9" i="1"/>
  <c r="K10" i="1"/>
  <c r="K11" i="1"/>
  <c r="K12" i="1"/>
  <c r="L20" i="1"/>
  <c r="K20" i="1"/>
  <c r="K18" i="1" s="1"/>
  <c r="J19" i="1"/>
  <c r="J18" i="1"/>
  <c r="I16" i="1"/>
  <c r="J16" i="1" s="1"/>
  <c r="I17" i="1"/>
  <c r="J17" i="1" s="1"/>
  <c r="I18" i="1"/>
  <c r="I19" i="1"/>
  <c r="S16" i="1"/>
  <c r="P20" i="1"/>
  <c r="P21" i="1" s="1"/>
  <c r="P22" i="1" s="1"/>
  <c r="S21" i="1"/>
  <c r="S22" i="1"/>
  <c r="S23" i="1"/>
  <c r="S24" i="1"/>
  <c r="S20" i="1"/>
  <c r="K17" i="1" l="1"/>
  <c r="K16" i="1"/>
  <c r="U20" i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R15" i="1"/>
  <c r="R16" i="1" s="1"/>
  <c r="J2" i="1"/>
  <c r="S2" i="1" s="1"/>
  <c r="H2" i="1"/>
  <c r="N2" i="1" s="1"/>
  <c r="P2" i="1" l="1"/>
  <c r="Q2" i="1"/>
  <c r="I2" i="1"/>
  <c r="G4" i="1"/>
  <c r="J4" i="1" s="1"/>
  <c r="G5" i="1"/>
  <c r="J5" i="1" s="1"/>
  <c r="G6" i="1"/>
  <c r="J6" i="1" s="1"/>
  <c r="G7" i="1"/>
  <c r="J7" i="1" s="1"/>
  <c r="G8" i="1"/>
  <c r="J8" i="1" s="1"/>
  <c r="G9" i="1"/>
  <c r="J9" i="1" s="1"/>
  <c r="G10" i="1"/>
  <c r="J10" i="1" s="1"/>
  <c r="G11" i="1"/>
  <c r="J11" i="1" s="1"/>
  <c r="G12" i="1"/>
  <c r="J12" i="1" s="1"/>
  <c r="E6" i="1"/>
  <c r="H6" i="1" s="1"/>
  <c r="E7" i="1"/>
  <c r="E8" i="1"/>
  <c r="H8" i="1" s="1"/>
  <c r="E9" i="1"/>
  <c r="H9" i="1" s="1"/>
  <c r="E10" i="1"/>
  <c r="H10" i="1" s="1"/>
  <c r="E11" i="1"/>
  <c r="E12" i="1"/>
  <c r="H12" i="1" s="1"/>
  <c r="E5" i="1"/>
  <c r="G3" i="1"/>
  <c r="J3" i="1" s="1"/>
  <c r="E4" i="1"/>
  <c r="H4" i="1" s="1"/>
  <c r="E3" i="1"/>
  <c r="H3" i="1" s="1"/>
  <c r="F5" i="1" l="1"/>
  <c r="I5" i="1" s="1"/>
  <c r="F10" i="1"/>
  <c r="I10" i="1" s="1"/>
  <c r="F6" i="1"/>
  <c r="I6" i="1" s="1"/>
  <c r="R6" i="1" s="1"/>
  <c r="H5" i="1"/>
  <c r="Q5" i="1" s="1"/>
  <c r="F11" i="1"/>
  <c r="I11" i="1" s="1"/>
  <c r="R11" i="1" s="1"/>
  <c r="F7" i="1"/>
  <c r="I7" i="1" s="1"/>
  <c r="O7" i="1" s="1"/>
  <c r="F9" i="1"/>
  <c r="I9" i="1" s="1"/>
  <c r="R9" i="1" s="1"/>
  <c r="R2" i="1"/>
  <c r="O2" i="1"/>
  <c r="Q4" i="1"/>
  <c r="N4" i="1"/>
  <c r="S10" i="1"/>
  <c r="P10" i="1"/>
  <c r="S6" i="1"/>
  <c r="P6" i="1"/>
  <c r="P3" i="1"/>
  <c r="S3" i="1"/>
  <c r="N10" i="1"/>
  <c r="Q10" i="1"/>
  <c r="N6" i="1"/>
  <c r="Q6" i="1"/>
  <c r="S9" i="1"/>
  <c r="P9" i="1"/>
  <c r="S5" i="1"/>
  <c r="P5" i="1"/>
  <c r="Q9" i="1"/>
  <c r="N9" i="1"/>
  <c r="R5" i="1"/>
  <c r="O5" i="1"/>
  <c r="P12" i="1"/>
  <c r="S12" i="1"/>
  <c r="P8" i="1"/>
  <c r="S8" i="1"/>
  <c r="S4" i="1"/>
  <c r="P4" i="1"/>
  <c r="N5" i="1"/>
  <c r="N3" i="1"/>
  <c r="Q3" i="1"/>
  <c r="Q12" i="1"/>
  <c r="N12" i="1"/>
  <c r="Q8" i="1"/>
  <c r="N8" i="1"/>
  <c r="S11" i="1"/>
  <c r="P11" i="1"/>
  <c r="S7" i="1"/>
  <c r="P7" i="1"/>
  <c r="R10" i="1"/>
  <c r="O10" i="1"/>
  <c r="F3" i="1"/>
  <c r="I3" i="1" s="1"/>
  <c r="F12" i="1"/>
  <c r="I12" i="1" s="1"/>
  <c r="F8" i="1"/>
  <c r="I8" i="1" s="1"/>
  <c r="F4" i="1"/>
  <c r="I4" i="1" s="1"/>
  <c r="H11" i="1"/>
  <c r="H7" i="1"/>
  <c r="O6" i="1" l="1"/>
  <c r="R7" i="1"/>
  <c r="O11" i="1"/>
  <c r="O9" i="1"/>
  <c r="Q7" i="1"/>
  <c r="N7" i="1"/>
  <c r="R12" i="1"/>
  <c r="O12" i="1"/>
  <c r="Q11" i="1"/>
  <c r="N11" i="1"/>
  <c r="O3" i="1"/>
  <c r="R3" i="1"/>
  <c r="R4" i="1"/>
  <c r="O4" i="1"/>
  <c r="R8" i="1"/>
  <c r="O8" i="1"/>
  <c r="L16" i="1" l="1"/>
  <c r="L17" i="1"/>
  <c r="L19" i="1"/>
</calcChain>
</file>

<file path=xl/sharedStrings.xml><?xml version="1.0" encoding="utf-8"?>
<sst xmlns="http://schemas.openxmlformats.org/spreadsheetml/2006/main" count="47" uniqueCount="46">
  <si>
    <t>Mercury</t>
  </si>
  <si>
    <t>Closest</t>
  </si>
  <si>
    <t>Avg</t>
  </si>
  <si>
    <t>Furthest</t>
  </si>
  <si>
    <t>Pe</t>
  </si>
  <si>
    <t>Ap</t>
  </si>
  <si>
    <t>Vesta</t>
  </si>
  <si>
    <t>Ceres</t>
  </si>
  <si>
    <t>Mars</t>
  </si>
  <si>
    <t>Venus</t>
  </si>
  <si>
    <t>Jupiter</t>
  </si>
  <si>
    <t>Saturn</t>
  </si>
  <si>
    <t>Uranus</t>
  </si>
  <si>
    <t>Neptune</t>
  </si>
  <si>
    <t>Pluto</t>
  </si>
  <si>
    <t>KM Close</t>
  </si>
  <si>
    <t>KM Avg</t>
  </si>
  <si>
    <t>KM Far</t>
  </si>
  <si>
    <t>Gm Close</t>
  </si>
  <si>
    <t>Gm Avg</t>
  </si>
  <si>
    <t>Gm Far</t>
  </si>
  <si>
    <t>Tm Close</t>
  </si>
  <si>
    <t>Tm Avg</t>
  </si>
  <si>
    <t>Tm Far</t>
  </si>
  <si>
    <t>Moon</t>
  </si>
  <si>
    <t>Effective Range</t>
  </si>
  <si>
    <t>DSN</t>
  </si>
  <si>
    <t>Antenna</t>
  </si>
  <si>
    <t>Dish</t>
  </si>
  <si>
    <t>Avg2</t>
  </si>
  <si>
    <t>CB</t>
  </si>
  <si>
    <t>CommNet</t>
  </si>
  <si>
    <t>Range</t>
  </si>
  <si>
    <t>Level</t>
  </si>
  <si>
    <t>Actual</t>
  </si>
  <si>
    <t>Tm</t>
  </si>
  <si>
    <t>Gm</t>
  </si>
  <si>
    <t>Mm</t>
  </si>
  <si>
    <t>km</t>
  </si>
  <si>
    <t>m</t>
  </si>
  <si>
    <t>From m</t>
  </si>
  <si>
    <t>From km</t>
  </si>
  <si>
    <t>From Mm</t>
  </si>
  <si>
    <t>Mm Close</t>
  </si>
  <si>
    <t>Mm Avg</t>
  </si>
  <si>
    <t>Mm Far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</si>
</sst>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8" formatCode="#,##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43" fontId="0" fillId="0" borderId="0" xfId="1" applyFont="1"/>
    <xf numFmtId="43" fontId="0" fillId="0" borderId="0" xfId="0" applyNumberFormat="1"/>
    <xf numFmtId="11" fontId="0" fillId="0" borderId="0" xfId="1" applyNumberFormat="1" applyFont="1"/>
    <xf numFmtId="11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left"/>
    </xf>
    <xf numFmtId="0" fontId="0" fillId="0" borderId="0" xfId="0" applyAlignment="1">
      <alignment horizontal="left"/>
    </xf>
    <xf numFmtId="3" fontId="0" fillId="0" borderId="0" xfId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/>
    <xf numFmtId="168" fontId="0" fillId="0" borderId="0" xfId="0" applyNumberFormat="1" applyAlignment="1">
      <alignment horizontal="center"/>
    </xf>
    <xf numFmtId="3" fontId="0" fillId="2" borderId="0" xfId="0" applyNumberFormat="1" applyFill="1" applyAlignment="1">
      <alignment horizontal="center"/>
    </xf>
  </cellXfs>
  <cellStyles count="2">
    <cellStyle name="Comma" xfId="1" builtinId="3"/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alignment horizontal="center" vertical="bottom" textRotation="0" wrapText="0" indent="0" justifyLastLine="0" shrinkToFit="0" readingOrder="0"/>
    </dxf>
    <dxf>
      <numFmt numFmtId="4" formatCode="#,##0.00"/>
      <alignment horizontal="center" vertical="bottom" textRotation="0" wrapText="0" indent="0" justifyLastLine="0" shrinkToFit="0" readingOrder="0"/>
    </dxf>
    <dxf>
      <numFmt numFmtId="4" formatCode="#,##0.00"/>
      <alignment horizontal="center" vertical="bottom" textRotation="0" wrapText="0" indent="0" justifyLastLine="0" shrinkToFit="0" readingOrder="0"/>
    </dxf>
    <dxf>
      <numFmt numFmtId="4" formatCode="#,##0.00"/>
      <alignment horizontal="center" vertical="bottom" textRotation="0" wrapText="0" indent="0" justifyLastLine="0" shrinkToFit="0" readingOrder="0"/>
    </dxf>
    <dxf>
      <numFmt numFmtId="4" formatCode="#,##0.00"/>
      <alignment horizontal="center" vertical="bottom" textRotation="0" wrapText="0" indent="0" justifyLastLine="0" shrinkToFit="0" readingOrder="0"/>
    </dxf>
    <dxf>
      <numFmt numFmtId="4" formatCode="#,##0.00"/>
      <alignment horizontal="center" vertical="bottom" textRotation="0" wrapText="0" indent="0" justifyLastLine="0" shrinkToFit="0" readingOrder="0"/>
    </dxf>
    <dxf>
      <numFmt numFmtId="4" formatCode="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S12" totalsRowShown="0" headerRowDxfId="18">
  <autoFilter ref="A1:S12" xr:uid="{00000000-0009-0000-0100-000001000000}"/>
  <tableColumns count="19">
    <tableColumn id="1" xr3:uid="{00000000-0010-0000-0000-000001000000}" name="CB"/>
    <tableColumn id="2" xr3:uid="{00000000-0010-0000-0000-000002000000}" name="Pe" dataDxfId="17"/>
    <tableColumn id="3" xr3:uid="{00000000-0010-0000-0000-000003000000}" name="Avg" dataDxfId="16"/>
    <tableColumn id="4" xr3:uid="{00000000-0010-0000-0000-000004000000}" name="Ap" dataDxfId="15"/>
    <tableColumn id="5" xr3:uid="{00000000-0010-0000-0000-000005000000}" name="Closest" dataDxfId="14">
      <calculatedColumnFormula>B2-$U$5</calculatedColumnFormula>
    </tableColumn>
    <tableColumn id="6" xr3:uid="{00000000-0010-0000-0000-000006000000}" name="Avg2" dataDxfId="13">
      <calculatedColumnFormula>(E2+G2)/2</calculatedColumnFormula>
    </tableColumn>
    <tableColumn id="7" xr3:uid="{00000000-0010-0000-0000-000007000000}" name="Furthest" dataDxfId="12">
      <calculatedColumnFormula>$U$5+D2</calculatedColumnFormula>
    </tableColumn>
    <tableColumn id="8" xr3:uid="{00000000-0010-0000-0000-000008000000}" name="KM Close" dataDxfId="11" dataCellStyle="Comma">
      <calculatedColumnFormula>E2*$U$6</calculatedColumnFormula>
    </tableColumn>
    <tableColumn id="9" xr3:uid="{00000000-0010-0000-0000-000009000000}" name="KM Avg" dataDxfId="10" dataCellStyle="Comma">
      <calculatedColumnFormula>F2*$U$6</calculatedColumnFormula>
    </tableColumn>
    <tableColumn id="10" xr3:uid="{00000000-0010-0000-0000-00000A000000}" name="KM Far" dataDxfId="9" dataCellStyle="Comma">
      <calculatedColumnFormula>G2*$U$6</calculatedColumnFormula>
    </tableColumn>
    <tableColumn id="17" xr3:uid="{7E27FF1E-CD7F-4710-B015-8AEB3BDF9CCA}" name="Mm Close" dataDxfId="2" dataCellStyle="Comma">
      <calculatedColumnFormula>Table1[[#This Row],[KM Close]]*0.001</calculatedColumnFormula>
    </tableColumn>
    <tableColumn id="18" xr3:uid="{E55B00AA-66AD-482E-8CD1-F94BF56EA86A}" name="Mm Avg" dataDxfId="1" dataCellStyle="Comma">
      <calculatedColumnFormula>Table1[[#This Row],[KM Avg]]*0.001</calculatedColumnFormula>
    </tableColumn>
    <tableColumn id="19" xr3:uid="{2ABC9BF4-F735-466D-9A80-216836E98694}" name="Mm Far" dataDxfId="0" dataCellStyle="Comma">
      <calculatedColumnFormula>Table1[[#This Row],[KM Far]]*0.001</calculatedColumnFormula>
    </tableColumn>
    <tableColumn id="11" xr3:uid="{00000000-0010-0000-0000-00000B000000}" name="Gm Close" dataDxfId="8">
      <calculatedColumnFormula>H2/1000000</calculatedColumnFormula>
    </tableColumn>
    <tableColumn id="12" xr3:uid="{00000000-0010-0000-0000-00000C000000}" name="Gm Avg" dataDxfId="7">
      <calculatedColumnFormula>I2/1000000</calculatedColumnFormula>
    </tableColumn>
    <tableColumn id="13" xr3:uid="{00000000-0010-0000-0000-00000D000000}" name="Gm Far" dataDxfId="6">
      <calculatedColumnFormula>J2/1000000</calculatedColumnFormula>
    </tableColumn>
    <tableColumn id="14" xr3:uid="{00000000-0010-0000-0000-00000E000000}" name="Tm Close" dataDxfId="5">
      <calculatedColumnFormula>H2/1000000000</calculatedColumnFormula>
    </tableColumn>
    <tableColumn id="15" xr3:uid="{00000000-0010-0000-0000-00000F000000}" name="Tm Avg" dataDxfId="4">
      <calculatedColumnFormula>I2/1000000000</calculatedColumnFormula>
    </tableColumn>
    <tableColumn id="16" xr3:uid="{00000000-0010-0000-0000-000010000000}" name="Tm Far" dataDxfId="3">
      <calculatedColumnFormula>J2/1000000000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0"/>
  <sheetViews>
    <sheetView tabSelected="1" workbookViewId="0">
      <selection activeCell="M16" sqref="M16"/>
    </sheetView>
  </sheetViews>
  <sheetFormatPr defaultRowHeight="15" x14ac:dyDescent="0.25"/>
  <cols>
    <col min="1" max="1" width="11" customWidth="1"/>
    <col min="2" max="4" width="0" hidden="1" customWidth="1"/>
    <col min="5" max="5" width="9.5703125" hidden="1" customWidth="1"/>
    <col min="6" max="6" width="0" hidden="1" customWidth="1"/>
    <col min="7" max="7" width="10.5703125" hidden="1" customWidth="1"/>
    <col min="8" max="8" width="16.85546875" bestFit="1" customWidth="1"/>
    <col min="9" max="9" width="18.140625" bestFit="1" customWidth="1"/>
    <col min="10" max="10" width="17" bestFit="1" customWidth="1"/>
    <col min="11" max="11" width="12.7109375" bestFit="1" customWidth="1"/>
    <col min="12" max="12" width="11.140625" bestFit="1" customWidth="1"/>
    <col min="13" max="13" width="9.5703125" bestFit="1" customWidth="1"/>
    <col min="14" max="14" width="11.140625" customWidth="1"/>
    <col min="15" max="15" width="9.5703125" customWidth="1"/>
    <col min="16" max="16" width="12" bestFit="1" customWidth="1"/>
    <col min="18" max="18" width="20.5703125" bestFit="1" customWidth="1"/>
    <col min="19" max="19" width="13.7109375" customWidth="1"/>
    <col min="22" max="22" width="26.42578125" bestFit="1" customWidth="1"/>
  </cols>
  <sheetData>
    <row r="1" spans="1:25" x14ac:dyDescent="0.25">
      <c r="A1" t="s">
        <v>30</v>
      </c>
      <c r="B1" s="8" t="s">
        <v>4</v>
      </c>
      <c r="C1" s="8" t="s">
        <v>2</v>
      </c>
      <c r="D1" s="8" t="s">
        <v>5</v>
      </c>
      <c r="E1" s="8" t="s">
        <v>1</v>
      </c>
      <c r="F1" s="8" t="s">
        <v>29</v>
      </c>
      <c r="G1" s="8" t="s">
        <v>3</v>
      </c>
      <c r="H1" s="8" t="s">
        <v>15</v>
      </c>
      <c r="I1" s="8" t="s">
        <v>16</v>
      </c>
      <c r="J1" s="8" t="s">
        <v>17</v>
      </c>
      <c r="K1" s="8" t="s">
        <v>43</v>
      </c>
      <c r="L1" s="8" t="s">
        <v>44</v>
      </c>
      <c r="M1" s="8" t="s">
        <v>45</v>
      </c>
      <c r="N1" s="8" t="s">
        <v>18</v>
      </c>
      <c r="O1" s="8" t="s">
        <v>19</v>
      </c>
      <c r="P1" s="8" t="s">
        <v>20</v>
      </c>
      <c r="Q1" s="8" t="s">
        <v>21</v>
      </c>
      <c r="R1" s="8" t="s">
        <v>22</v>
      </c>
      <c r="S1" s="8" t="s">
        <v>23</v>
      </c>
      <c r="T1" s="1"/>
    </row>
    <row r="2" spans="1:25" x14ac:dyDescent="0.25">
      <c r="A2" t="s">
        <v>24</v>
      </c>
      <c r="B2" s="1">
        <v>2.47E-3</v>
      </c>
      <c r="C2" s="1">
        <v>2.5699999999999998E-3</v>
      </c>
      <c r="D2" s="1">
        <v>2.6700000000000001E-3</v>
      </c>
      <c r="E2" s="1">
        <v>2.47E-3</v>
      </c>
      <c r="F2" s="1">
        <v>2.5699999999999998E-3</v>
      </c>
      <c r="G2" s="1">
        <v>2.6700000000000001E-3</v>
      </c>
      <c r="H2" s="9">
        <f>E2*$U$6</f>
        <v>369512</v>
      </c>
      <c r="I2" s="9">
        <f>F2*$U$6</f>
        <v>384471.99999999994</v>
      </c>
      <c r="J2" s="9">
        <f>G2*$U$6</f>
        <v>399432</v>
      </c>
      <c r="K2" s="9">
        <f>Table1[[#This Row],[KM Close]]*0.001</f>
        <v>369.512</v>
      </c>
      <c r="L2" s="9">
        <f>Table1[[#This Row],[KM Avg]]*0.001</f>
        <v>384.47199999999992</v>
      </c>
      <c r="M2" s="9">
        <f>Table1[[#This Row],[KM Far]]*0.001</f>
        <v>399.43200000000002</v>
      </c>
      <c r="N2" s="10">
        <f>H2/1000000</f>
        <v>0.36951200000000001</v>
      </c>
      <c r="O2" s="10">
        <f>I2/1000000</f>
        <v>0.38447199999999992</v>
      </c>
      <c r="P2" s="10">
        <f>J2/1000000</f>
        <v>0.39943200000000001</v>
      </c>
      <c r="Q2" s="10">
        <f>H2/1000000000</f>
        <v>3.6951200000000001E-4</v>
      </c>
      <c r="R2" s="10">
        <f>I2/1000000000</f>
        <v>3.8447199999999996E-4</v>
      </c>
      <c r="S2" s="10">
        <f>J2/1000000000</f>
        <v>3.9943200000000002E-4</v>
      </c>
      <c r="T2" s="1"/>
    </row>
    <row r="3" spans="1:25" x14ac:dyDescent="0.25">
      <c r="A3" t="s">
        <v>0</v>
      </c>
      <c r="B3" s="1">
        <v>0.307</v>
      </c>
      <c r="C3" s="1">
        <v>0.38700000000000001</v>
      </c>
      <c r="D3" s="1">
        <v>0.46600000000000003</v>
      </c>
      <c r="E3" s="1">
        <f>$U$3-D3</f>
        <v>0.51400000000000001</v>
      </c>
      <c r="F3" s="1">
        <f>(E3+G3)/2</f>
        <v>0.995</v>
      </c>
      <c r="G3" s="1">
        <f>$U$5+D3</f>
        <v>1.476</v>
      </c>
      <c r="H3" s="9">
        <f>E3*$U$6</f>
        <v>76894400</v>
      </c>
      <c r="I3" s="9">
        <f>F3*$U$6</f>
        <v>148852000</v>
      </c>
      <c r="J3" s="9">
        <f>G3*$U$6</f>
        <v>220809600</v>
      </c>
      <c r="K3" s="9">
        <f>Table1[[#This Row],[KM Close]]*0.001</f>
        <v>76894.400000000009</v>
      </c>
      <c r="L3" s="9">
        <f>Table1[[#This Row],[KM Avg]]*0.001</f>
        <v>148852</v>
      </c>
      <c r="M3" s="9">
        <f>Table1[[#This Row],[KM Far]]*0.001</f>
        <v>220809.60000000001</v>
      </c>
      <c r="N3" s="10">
        <f>H3/1000000</f>
        <v>76.894400000000005</v>
      </c>
      <c r="O3" s="10">
        <f>I3/1000000</f>
        <v>148.852</v>
      </c>
      <c r="P3" s="10">
        <f>J3/1000000</f>
        <v>220.80959999999999</v>
      </c>
      <c r="Q3" s="10">
        <f>H3/1000000000</f>
        <v>7.6894400000000002E-2</v>
      </c>
      <c r="R3" s="10">
        <f>I3/1000000000</f>
        <v>0.14885200000000001</v>
      </c>
      <c r="S3" s="10">
        <f>J3/1000000000</f>
        <v>0.22080959999999999</v>
      </c>
      <c r="T3" s="4"/>
      <c r="U3">
        <v>0.98</v>
      </c>
    </row>
    <row r="4" spans="1:25" x14ac:dyDescent="0.25">
      <c r="A4" t="s">
        <v>9</v>
      </c>
      <c r="B4" s="1">
        <v>0.71799999999999997</v>
      </c>
      <c r="C4" s="1">
        <v>0.72199999999999998</v>
      </c>
      <c r="D4" s="1">
        <v>0.72799999999999998</v>
      </c>
      <c r="E4" s="1">
        <f>$U$3-D4</f>
        <v>0.252</v>
      </c>
      <c r="F4" s="1">
        <f t="shared" ref="F4:F12" si="0">(E4+G4)/2</f>
        <v>0.995</v>
      </c>
      <c r="G4" s="1">
        <f>$U$5+D4</f>
        <v>1.738</v>
      </c>
      <c r="H4" s="9">
        <f>E4*$U$6</f>
        <v>37699200</v>
      </c>
      <c r="I4" s="9">
        <f>F4*$U$6</f>
        <v>148852000</v>
      </c>
      <c r="J4" s="9">
        <f>G4*$U$6</f>
        <v>260004800</v>
      </c>
      <c r="K4" s="9">
        <f>Table1[[#This Row],[KM Close]]*0.001</f>
        <v>37699.200000000004</v>
      </c>
      <c r="L4" s="9">
        <f>Table1[[#This Row],[KM Avg]]*0.001</f>
        <v>148852</v>
      </c>
      <c r="M4" s="9">
        <f>Table1[[#This Row],[KM Far]]*0.001</f>
        <v>260004.80000000002</v>
      </c>
      <c r="N4" s="10">
        <f>H4/1000000</f>
        <v>37.699199999999998</v>
      </c>
      <c r="O4" s="10">
        <f>I4/1000000</f>
        <v>148.852</v>
      </c>
      <c r="P4" s="10">
        <f>J4/1000000</f>
        <v>260.00479999999999</v>
      </c>
      <c r="Q4" s="10">
        <f>H4/1000000000</f>
        <v>3.7699200000000002E-2</v>
      </c>
      <c r="R4" s="10">
        <f>I4/1000000000</f>
        <v>0.14885200000000001</v>
      </c>
      <c r="S4" s="10">
        <f>J4/1000000000</f>
        <v>0.26000479999999998</v>
      </c>
      <c r="T4" s="4"/>
      <c r="U4">
        <v>1</v>
      </c>
    </row>
    <row r="5" spans="1:25" x14ac:dyDescent="0.25">
      <c r="A5" t="s">
        <v>8</v>
      </c>
      <c r="B5" s="1">
        <v>1.38</v>
      </c>
      <c r="C5" s="1">
        <v>1.52</v>
      </c>
      <c r="D5" s="1">
        <v>1.66</v>
      </c>
      <c r="E5" s="1">
        <f>B5-$U$5</f>
        <v>0.36999999999999988</v>
      </c>
      <c r="F5" s="1">
        <f t="shared" si="0"/>
        <v>1.52</v>
      </c>
      <c r="G5" s="1">
        <f>$U$5+D5</f>
        <v>2.67</v>
      </c>
      <c r="H5" s="9">
        <f>E5*$U$6</f>
        <v>55351999.999999985</v>
      </c>
      <c r="I5" s="9">
        <f>F5*$U$6</f>
        <v>227392000</v>
      </c>
      <c r="J5" s="9">
        <f>G5*$U$6</f>
        <v>399432000</v>
      </c>
      <c r="K5" s="9">
        <f>Table1[[#This Row],[KM Close]]*0.001</f>
        <v>55351.999999999985</v>
      </c>
      <c r="L5" s="9">
        <f>Table1[[#This Row],[KM Avg]]*0.001</f>
        <v>227392</v>
      </c>
      <c r="M5" s="9">
        <f>Table1[[#This Row],[KM Far]]*0.001</f>
        <v>399432</v>
      </c>
      <c r="N5" s="10">
        <f>H5/1000000</f>
        <v>55.351999999999983</v>
      </c>
      <c r="O5" s="10">
        <f>I5/1000000</f>
        <v>227.392</v>
      </c>
      <c r="P5" s="10">
        <f>J5/1000000</f>
        <v>399.43200000000002</v>
      </c>
      <c r="Q5" s="10">
        <f>H5/1000000000</f>
        <v>5.5351999999999985E-2</v>
      </c>
      <c r="R5" s="10">
        <f>I5/1000000000</f>
        <v>0.22739200000000001</v>
      </c>
      <c r="S5" s="10">
        <f>J5/1000000000</f>
        <v>0.39943200000000001</v>
      </c>
      <c r="T5" s="4"/>
      <c r="U5">
        <v>1.01</v>
      </c>
    </row>
    <row r="6" spans="1:25" x14ac:dyDescent="0.25">
      <c r="A6" t="s">
        <v>6</v>
      </c>
      <c r="B6" s="1">
        <v>2.153</v>
      </c>
      <c r="C6" s="1">
        <v>2.3610000000000002</v>
      </c>
      <c r="D6" s="1">
        <v>2.5710000000000002</v>
      </c>
      <c r="E6" s="1">
        <f>B6-$U$5</f>
        <v>1.143</v>
      </c>
      <c r="F6" s="1">
        <f t="shared" si="0"/>
        <v>2.3620000000000001</v>
      </c>
      <c r="G6" s="1">
        <f>$U$5+D6</f>
        <v>3.5810000000000004</v>
      </c>
      <c r="H6" s="9">
        <f>E6*$U$6</f>
        <v>170992800</v>
      </c>
      <c r="I6" s="9">
        <f>F6*$U$6</f>
        <v>353355200</v>
      </c>
      <c r="J6" s="9">
        <f>G6*$U$6</f>
        <v>535717600.00000006</v>
      </c>
      <c r="K6" s="9">
        <f>Table1[[#This Row],[KM Close]]*0.001</f>
        <v>170992.80000000002</v>
      </c>
      <c r="L6" s="9">
        <f>Table1[[#This Row],[KM Avg]]*0.001</f>
        <v>353355.2</v>
      </c>
      <c r="M6" s="9">
        <f>Table1[[#This Row],[KM Far]]*0.001</f>
        <v>535717.60000000009</v>
      </c>
      <c r="N6" s="10">
        <f>H6/1000000</f>
        <v>170.99279999999999</v>
      </c>
      <c r="O6" s="10">
        <f>I6/1000000</f>
        <v>353.35520000000002</v>
      </c>
      <c r="P6" s="10">
        <f>J6/1000000</f>
        <v>535.71760000000006</v>
      </c>
      <c r="Q6" s="10">
        <f>H6/1000000000</f>
        <v>0.1709928</v>
      </c>
      <c r="R6" s="10">
        <f>I6/1000000000</f>
        <v>0.35335519999999998</v>
      </c>
      <c r="S6" s="10">
        <f>J6/1000000000</f>
        <v>0.53571760000000002</v>
      </c>
      <c r="T6" s="4"/>
      <c r="U6" s="2">
        <v>149600000</v>
      </c>
      <c r="V6" s="2"/>
    </row>
    <row r="7" spans="1:25" x14ac:dyDescent="0.25">
      <c r="A7" t="s">
        <v>7</v>
      </c>
      <c r="B7" s="1">
        <v>2.5579999999999998</v>
      </c>
      <c r="C7" s="1">
        <v>2.7690000000000001</v>
      </c>
      <c r="D7" s="1">
        <v>2.9769999999999999</v>
      </c>
      <c r="E7" s="1">
        <f>B7-$U$5</f>
        <v>1.5479999999999998</v>
      </c>
      <c r="F7" s="1">
        <f t="shared" si="0"/>
        <v>2.7675000000000001</v>
      </c>
      <c r="G7" s="1">
        <f>$U$5+D7</f>
        <v>3.9870000000000001</v>
      </c>
      <c r="H7" s="9">
        <f>E7*$U$6</f>
        <v>231580799.99999997</v>
      </c>
      <c r="I7" s="9">
        <f>F7*$U$6</f>
        <v>414018000</v>
      </c>
      <c r="J7" s="9">
        <f>G7*$U$6</f>
        <v>596455200</v>
      </c>
      <c r="K7" s="9">
        <f>Table1[[#This Row],[KM Close]]*0.001</f>
        <v>231580.79999999999</v>
      </c>
      <c r="L7" s="9">
        <f>Table1[[#This Row],[KM Avg]]*0.001</f>
        <v>414018</v>
      </c>
      <c r="M7" s="9">
        <f>Table1[[#This Row],[KM Far]]*0.001</f>
        <v>596455.20000000007</v>
      </c>
      <c r="N7" s="10">
        <f>H7/1000000</f>
        <v>231.58079999999998</v>
      </c>
      <c r="O7" s="10">
        <f>I7/1000000</f>
        <v>414.01799999999997</v>
      </c>
      <c r="P7" s="10">
        <f>J7/1000000</f>
        <v>596.45519999999999</v>
      </c>
      <c r="Q7" s="10">
        <f>H7/1000000000</f>
        <v>0.23158079999999998</v>
      </c>
      <c r="R7" s="10">
        <f>I7/1000000000</f>
        <v>0.414018</v>
      </c>
      <c r="S7" s="10">
        <f>J7/1000000000</f>
        <v>0.59645519999999996</v>
      </c>
      <c r="T7" s="4"/>
    </row>
    <row r="8" spans="1:25" x14ac:dyDescent="0.25">
      <c r="A8" t="s">
        <v>10</v>
      </c>
      <c r="B8" s="1">
        <v>4.95</v>
      </c>
      <c r="C8" s="1">
        <v>5.2</v>
      </c>
      <c r="D8" s="1">
        <v>5.46</v>
      </c>
      <c r="E8" s="1">
        <f>B8-$U$5</f>
        <v>3.9400000000000004</v>
      </c>
      <c r="F8" s="1">
        <f t="shared" si="0"/>
        <v>5.2050000000000001</v>
      </c>
      <c r="G8" s="1">
        <f>$U$5+D8</f>
        <v>6.47</v>
      </c>
      <c r="H8" s="9">
        <f>E8*$U$6</f>
        <v>589424000</v>
      </c>
      <c r="I8" s="9">
        <f>F8*$U$6</f>
        <v>778668000</v>
      </c>
      <c r="J8" s="9">
        <f>G8*$U$6</f>
        <v>967912000</v>
      </c>
      <c r="K8" s="9">
        <f>Table1[[#This Row],[KM Close]]*0.001</f>
        <v>589424</v>
      </c>
      <c r="L8" s="9">
        <f>Table1[[#This Row],[KM Avg]]*0.001</f>
        <v>778668</v>
      </c>
      <c r="M8" s="9">
        <f>Table1[[#This Row],[KM Far]]*0.001</f>
        <v>967912</v>
      </c>
      <c r="N8" s="10">
        <f>H8/1000000</f>
        <v>589.42399999999998</v>
      </c>
      <c r="O8" s="10">
        <f>I8/1000000</f>
        <v>778.66800000000001</v>
      </c>
      <c r="P8" s="10">
        <f>J8/1000000</f>
        <v>967.91200000000003</v>
      </c>
      <c r="Q8" s="10">
        <f>H8/1000000000</f>
        <v>0.58942399999999995</v>
      </c>
      <c r="R8" s="10">
        <f>I8/1000000000</f>
        <v>0.77866800000000003</v>
      </c>
      <c r="S8" s="10">
        <f>J8/1000000000</f>
        <v>0.96791199999999999</v>
      </c>
      <c r="T8" s="4"/>
    </row>
    <row r="9" spans="1:25" x14ac:dyDescent="0.25">
      <c r="A9" t="s">
        <v>11</v>
      </c>
      <c r="B9" s="1">
        <v>9.0500000000000007</v>
      </c>
      <c r="C9" s="1">
        <v>9.58</v>
      </c>
      <c r="D9" s="1">
        <v>10.119999999999999</v>
      </c>
      <c r="E9" s="1">
        <f>B9-$U$5</f>
        <v>8.0400000000000009</v>
      </c>
      <c r="F9" s="1">
        <f t="shared" si="0"/>
        <v>9.5850000000000009</v>
      </c>
      <c r="G9" s="1">
        <f>$U$5+D9</f>
        <v>11.129999999999999</v>
      </c>
      <c r="H9" s="9">
        <f>E9*$U$6</f>
        <v>1202784000.0000002</v>
      </c>
      <c r="I9" s="9">
        <f>F9*$U$6</f>
        <v>1433916000.0000002</v>
      </c>
      <c r="J9" s="9">
        <f>G9*$U$6</f>
        <v>1665047999.9999998</v>
      </c>
      <c r="K9" s="9">
        <f>Table1[[#This Row],[KM Close]]*0.001</f>
        <v>1202784.0000000002</v>
      </c>
      <c r="L9" s="9">
        <f>Table1[[#This Row],[KM Avg]]*0.001</f>
        <v>1433916.0000000002</v>
      </c>
      <c r="M9" s="9">
        <f>Table1[[#This Row],[KM Far]]*0.001</f>
        <v>1665047.9999999998</v>
      </c>
      <c r="N9" s="10">
        <f>H9/1000000</f>
        <v>1202.7840000000003</v>
      </c>
      <c r="O9" s="10">
        <f>I9/1000000</f>
        <v>1433.9160000000002</v>
      </c>
      <c r="P9" s="10">
        <f>J9/1000000</f>
        <v>1665.0479999999998</v>
      </c>
      <c r="Q9" s="10">
        <f>H9/1000000000</f>
        <v>1.2027840000000003</v>
      </c>
      <c r="R9" s="10">
        <f>I9/1000000000</f>
        <v>1.4339160000000002</v>
      </c>
      <c r="S9" s="10">
        <f>J9/1000000000</f>
        <v>1.6650479999999999</v>
      </c>
      <c r="T9" s="4"/>
      <c r="U9" s="4"/>
      <c r="V9" s="4"/>
    </row>
    <row r="10" spans="1:25" x14ac:dyDescent="0.25">
      <c r="A10" t="s">
        <v>12</v>
      </c>
      <c r="B10" s="1">
        <v>18.399999999999999</v>
      </c>
      <c r="C10" s="1">
        <v>19.2</v>
      </c>
      <c r="D10" s="1">
        <v>20.100000000000001</v>
      </c>
      <c r="E10" s="1">
        <f>B10-$U$5</f>
        <v>17.389999999999997</v>
      </c>
      <c r="F10" s="1">
        <f t="shared" si="0"/>
        <v>19.25</v>
      </c>
      <c r="G10" s="1">
        <f>$U$5+D10</f>
        <v>21.110000000000003</v>
      </c>
      <c r="H10" s="9">
        <f>E10*$U$6</f>
        <v>2601543999.9999995</v>
      </c>
      <c r="I10" s="9">
        <f>F10*$U$6</f>
        <v>2879800000</v>
      </c>
      <c r="J10" s="9">
        <f>G10*$U$6</f>
        <v>3158056000.0000005</v>
      </c>
      <c r="K10" s="9">
        <f>Table1[[#This Row],[KM Close]]*0.001</f>
        <v>2601543.9999999995</v>
      </c>
      <c r="L10" s="9">
        <f>Table1[[#This Row],[KM Avg]]*0.001</f>
        <v>2879800</v>
      </c>
      <c r="M10" s="9">
        <f>Table1[[#This Row],[KM Far]]*0.001</f>
        <v>3158056.0000000005</v>
      </c>
      <c r="N10" s="10">
        <f>H10/1000000</f>
        <v>2601.5439999999994</v>
      </c>
      <c r="O10" s="10">
        <f>I10/1000000</f>
        <v>2879.8</v>
      </c>
      <c r="P10" s="10">
        <f>J10/1000000</f>
        <v>3158.0560000000005</v>
      </c>
      <c r="Q10" s="10">
        <f>H10/1000000000</f>
        <v>2.6015439999999996</v>
      </c>
      <c r="R10" s="10">
        <f>I10/1000000000</f>
        <v>2.8797999999999999</v>
      </c>
      <c r="S10" s="10">
        <f>J10/1000000000</f>
        <v>3.1580560000000006</v>
      </c>
      <c r="T10" s="4"/>
    </row>
    <row r="11" spans="1:25" x14ac:dyDescent="0.25">
      <c r="A11" t="s">
        <v>13</v>
      </c>
      <c r="B11" s="1">
        <v>29.8</v>
      </c>
      <c r="C11" s="1">
        <v>30.1</v>
      </c>
      <c r="D11" s="1">
        <v>30.4</v>
      </c>
      <c r="E11" s="1">
        <f>B11-$U$5</f>
        <v>28.79</v>
      </c>
      <c r="F11" s="1">
        <f t="shared" si="0"/>
        <v>30.1</v>
      </c>
      <c r="G11" s="1">
        <f>$U$5+D11</f>
        <v>31.41</v>
      </c>
      <c r="H11" s="9">
        <f>E11*$U$6</f>
        <v>4306984000</v>
      </c>
      <c r="I11" s="9">
        <f>F11*$U$6</f>
        <v>4502960000</v>
      </c>
      <c r="J11" s="9">
        <f>G11*$U$6</f>
        <v>4698936000</v>
      </c>
      <c r="K11" s="9">
        <f>Table1[[#This Row],[KM Close]]*0.001</f>
        <v>4306984</v>
      </c>
      <c r="L11" s="9">
        <f>Table1[[#This Row],[KM Avg]]*0.001</f>
        <v>4502960</v>
      </c>
      <c r="M11" s="9">
        <f>Table1[[#This Row],[KM Far]]*0.001</f>
        <v>4698936</v>
      </c>
      <c r="N11" s="10">
        <f>H11/1000000</f>
        <v>4306.9840000000004</v>
      </c>
      <c r="O11" s="10">
        <f>I11/1000000</f>
        <v>4502.96</v>
      </c>
      <c r="P11" s="10">
        <f>J11/1000000</f>
        <v>4698.9359999999997</v>
      </c>
      <c r="Q11" s="10">
        <f>H11/1000000000</f>
        <v>4.3069839999999999</v>
      </c>
      <c r="R11" s="10">
        <f>I11/1000000000</f>
        <v>4.5029599999999999</v>
      </c>
      <c r="S11" s="10">
        <f>J11/1000000000</f>
        <v>4.6989359999999998</v>
      </c>
      <c r="T11" s="4"/>
    </row>
    <row r="12" spans="1:25" x14ac:dyDescent="0.25">
      <c r="A12" t="s">
        <v>14</v>
      </c>
      <c r="B12" s="1">
        <v>29.7</v>
      </c>
      <c r="C12" s="1">
        <v>39.5</v>
      </c>
      <c r="D12" s="1">
        <v>49.3</v>
      </c>
      <c r="E12" s="1">
        <f>B12-$U$5</f>
        <v>28.689999999999998</v>
      </c>
      <c r="F12" s="1">
        <f t="shared" si="0"/>
        <v>39.5</v>
      </c>
      <c r="G12" s="1">
        <f>$U$5+D12</f>
        <v>50.309999999999995</v>
      </c>
      <c r="H12" s="9">
        <f>E12*$U$6</f>
        <v>4292023999.9999995</v>
      </c>
      <c r="I12" s="9">
        <f>F12*$U$6</f>
        <v>5909200000</v>
      </c>
      <c r="J12" s="9">
        <f>G12*$U$6</f>
        <v>7526375999.999999</v>
      </c>
      <c r="K12" s="9">
        <f>Table1[[#This Row],[KM Close]]*0.001</f>
        <v>4292024</v>
      </c>
      <c r="L12" s="9">
        <f>Table1[[#This Row],[KM Avg]]*0.001</f>
        <v>5909200</v>
      </c>
      <c r="M12" s="9">
        <f>Table1[[#This Row],[KM Far]]*0.001</f>
        <v>7526375.9999999991</v>
      </c>
      <c r="N12" s="10">
        <f>H12/1000000</f>
        <v>4292.0239999999994</v>
      </c>
      <c r="O12" s="10">
        <f>I12/1000000</f>
        <v>5909.2</v>
      </c>
      <c r="P12" s="10">
        <f>J12/1000000</f>
        <v>7526.3759999999993</v>
      </c>
      <c r="Q12" s="10">
        <f>H12/1000000000</f>
        <v>4.2920239999999996</v>
      </c>
      <c r="R12" s="10">
        <f>I12/1000000000</f>
        <v>5.9092000000000002</v>
      </c>
      <c r="S12" s="10">
        <f>J12/1000000000</f>
        <v>7.5263759999999991</v>
      </c>
      <c r="T12" s="4"/>
      <c r="U12" s="5"/>
      <c r="V12" s="5"/>
      <c r="X12" s="2">
        <v>114000000000000</v>
      </c>
      <c r="Y12" t="s">
        <v>26</v>
      </c>
    </row>
    <row r="13" spans="1:25" x14ac:dyDescent="0.25">
      <c r="R13" s="2"/>
      <c r="S13" s="2"/>
      <c r="U13" s="2">
        <v>25000000000</v>
      </c>
      <c r="V13" t="s">
        <v>27</v>
      </c>
    </row>
    <row r="14" spans="1:25" x14ac:dyDescent="0.25">
      <c r="R14" s="2" t="s">
        <v>25</v>
      </c>
      <c r="S14" s="2"/>
      <c r="U14" s="1" t="s">
        <v>28</v>
      </c>
    </row>
    <row r="15" spans="1:25" x14ac:dyDescent="0.25">
      <c r="H15" s="3"/>
      <c r="J15" s="1" t="s">
        <v>40</v>
      </c>
      <c r="K15" s="1" t="s">
        <v>41</v>
      </c>
      <c r="L15" s="1" t="s">
        <v>42</v>
      </c>
      <c r="R15" s="6">
        <f>MIN(MIN(DSN,Antenna)+SQRT(DSN*Antenna),IF(Type="Omni",Antenna*100,Antenna*1000))</f>
        <v>1713194301613.4133</v>
      </c>
      <c r="S15" s="6"/>
    </row>
    <row r="16" spans="1:25" x14ac:dyDescent="0.25">
      <c r="H16" s="3" t="s">
        <v>35</v>
      </c>
      <c r="I16" s="12">
        <f>I20*1000000000000</f>
        <v>1000000000000</v>
      </c>
      <c r="J16" s="13">
        <f>$J$20/$I16</f>
        <v>0</v>
      </c>
      <c r="K16" s="13">
        <f>K$20/$I16</f>
        <v>3.5768E-5</v>
      </c>
      <c r="L16" s="13">
        <f>L$20/$I16</f>
        <v>4.0311299999999997E-4</v>
      </c>
      <c r="R16" s="6" t="str">
        <f>IF(R15&gt;1000000000000000,R15/1000000000000000&amp;" Pm",IF(R15&gt;1000000000000,R15/1000000000000&amp;" Tm",IF(R15&gt;1000000000,R15/1000000000&amp;" Gm",R15/1000000&amp;" Mm")))</f>
        <v>1.71319430161341 Tm</v>
      </c>
      <c r="S16" s="6" t="str">
        <f>IF(S15&gt;1000000000000000,S15/1000000000000000&amp;" Pm",IF(S15&gt;1000000000000,S15/1000000000000&amp;" Tm",IF(S15&gt;1000000000,S15/1000000000&amp;" Gm",S15/1000000&amp;" Mm")))</f>
        <v>0 Mm</v>
      </c>
      <c r="U16" s="2"/>
    </row>
    <row r="17" spans="8:22" x14ac:dyDescent="0.25">
      <c r="H17" s="3" t="s">
        <v>36</v>
      </c>
      <c r="I17" s="12">
        <f>I20*1000000000</f>
        <v>1000000000</v>
      </c>
      <c r="J17" s="13">
        <f>$J$20/$I17</f>
        <v>0</v>
      </c>
      <c r="K17" s="13">
        <f>K$20/$I17</f>
        <v>3.5768000000000001E-2</v>
      </c>
      <c r="L17" s="13">
        <f>L$20/$I17</f>
        <v>0.403113</v>
      </c>
      <c r="R17" s="2"/>
      <c r="S17" s="2"/>
    </row>
    <row r="18" spans="8:22" x14ac:dyDescent="0.25">
      <c r="H18" s="3" t="s">
        <v>37</v>
      </c>
      <c r="I18" s="12">
        <f>I20*1000000</f>
        <v>1000000</v>
      </c>
      <c r="J18" s="10">
        <f>$J$20/$I18</f>
        <v>0</v>
      </c>
      <c r="K18" s="13">
        <f>K$20/$I18</f>
        <v>35.768000000000001</v>
      </c>
      <c r="L18" s="14">
        <v>403.113</v>
      </c>
      <c r="O18" t="s">
        <v>33</v>
      </c>
      <c r="P18" s="1">
        <v>5</v>
      </c>
      <c r="U18" s="2">
        <v>100000</v>
      </c>
      <c r="V18" s="7">
        <v>100000</v>
      </c>
    </row>
    <row r="19" spans="8:22" x14ac:dyDescent="0.25">
      <c r="H19" s="3" t="s">
        <v>38</v>
      </c>
      <c r="I19" s="12">
        <f>I20*1000</f>
        <v>1000</v>
      </c>
      <c r="J19" s="11">
        <f>$J$20/$I19</f>
        <v>0</v>
      </c>
      <c r="K19" s="14">
        <v>35768</v>
      </c>
      <c r="L19" s="1">
        <f>L20/1000</f>
        <v>403113</v>
      </c>
      <c r="O19" t="s">
        <v>32</v>
      </c>
      <c r="P19" s="1">
        <v>65000</v>
      </c>
      <c r="R19" t="s">
        <v>31</v>
      </c>
      <c r="U19" s="2">
        <v>1000000</v>
      </c>
      <c r="V19" s="7">
        <v>1000000</v>
      </c>
    </row>
    <row r="20" spans="8:22" x14ac:dyDescent="0.25">
      <c r="H20" s="3" t="s">
        <v>39</v>
      </c>
      <c r="I20" s="12">
        <v>1</v>
      </c>
      <c r="J20" s="14"/>
      <c r="K20" s="11">
        <f>K19*1000</f>
        <v>35768000</v>
      </c>
      <c r="L20" s="11">
        <f>L18*1000000</f>
        <v>403113000</v>
      </c>
      <c r="O20" t="s">
        <v>31</v>
      </c>
      <c r="P20" s="6">
        <f>VLOOKUP(P18,Q20:R24,2,0)</f>
        <v>2500000000000</v>
      </c>
      <c r="Q20">
        <v>1</v>
      </c>
      <c r="R20" s="11">
        <v>5000000000</v>
      </c>
      <c r="S20" s="6">
        <f>R20</f>
        <v>5000000000</v>
      </c>
      <c r="U20" s="2">
        <f>U19*10</f>
        <v>10000000</v>
      </c>
      <c r="V20" s="7">
        <v>10000000</v>
      </c>
    </row>
    <row r="21" spans="8:22" x14ac:dyDescent="0.25">
      <c r="O21" t="s">
        <v>34</v>
      </c>
      <c r="P21" s="1">
        <f>SQRT(P19*P20)</f>
        <v>403112887.41492748</v>
      </c>
      <c r="Q21">
        <v>2</v>
      </c>
      <c r="R21" s="11">
        <v>20000000000</v>
      </c>
      <c r="S21" s="6">
        <f t="shared" ref="S21:S24" si="1">R21</f>
        <v>20000000000</v>
      </c>
      <c r="U21" s="2">
        <f t="shared" ref="U21:U30" si="2">U20*10</f>
        <v>100000000</v>
      </c>
      <c r="V21" s="7">
        <v>100000000</v>
      </c>
    </row>
    <row r="22" spans="8:22" x14ac:dyDescent="0.25">
      <c r="P22" s="6" t="str">
        <f>IF(P21&gt;1000000000000000,ROUND(P21/1000000000000000,3)&amp;" Pm",IF(P21&gt;1000000000000,ROUND(P21/1000000000000,3)&amp;" Tm",IF(P21&gt;1000000000,ROUND(P21/1000000000,3)&amp;" Gm",ROUND(P21/1000000,3)&amp;" Mm")))</f>
        <v>403.113 Mm</v>
      </c>
      <c r="Q22">
        <v>3</v>
      </c>
      <c r="R22" s="11">
        <v>500000000000</v>
      </c>
      <c r="S22" s="6">
        <f t="shared" si="1"/>
        <v>500000000000</v>
      </c>
      <c r="U22" s="2">
        <f t="shared" si="2"/>
        <v>1000000000</v>
      </c>
      <c r="V22" s="7">
        <v>1000000000</v>
      </c>
    </row>
    <row r="23" spans="8:22" x14ac:dyDescent="0.25">
      <c r="Q23">
        <v>4</v>
      </c>
      <c r="R23" s="11">
        <v>1000000000000</v>
      </c>
      <c r="S23" s="6">
        <f t="shared" si="1"/>
        <v>1000000000000</v>
      </c>
      <c r="U23" s="2">
        <f t="shared" si="2"/>
        <v>10000000000</v>
      </c>
      <c r="V23" s="7">
        <v>10000000000</v>
      </c>
    </row>
    <row r="24" spans="8:22" x14ac:dyDescent="0.25">
      <c r="Q24">
        <v>5</v>
      </c>
      <c r="R24" s="11">
        <v>2500000000000</v>
      </c>
      <c r="S24" s="6">
        <f t="shared" si="1"/>
        <v>2500000000000</v>
      </c>
      <c r="U24" s="2">
        <f t="shared" si="2"/>
        <v>100000000000</v>
      </c>
      <c r="V24" s="7">
        <v>100000000000</v>
      </c>
    </row>
    <row r="25" spans="8:22" x14ac:dyDescent="0.25">
      <c r="U25" s="2">
        <f t="shared" si="2"/>
        <v>1000000000000</v>
      </c>
      <c r="V25" s="7">
        <v>1000000000000</v>
      </c>
    </row>
    <row r="26" spans="8:22" x14ac:dyDescent="0.25">
      <c r="U26" s="2">
        <f t="shared" si="2"/>
        <v>10000000000000</v>
      </c>
      <c r="V26" s="7">
        <v>10000000000000</v>
      </c>
    </row>
    <row r="27" spans="8:22" x14ac:dyDescent="0.25">
      <c r="U27" s="2">
        <f t="shared" si="2"/>
        <v>100000000000000</v>
      </c>
      <c r="V27" s="7">
        <v>100000000000000</v>
      </c>
    </row>
    <row r="28" spans="8:22" x14ac:dyDescent="0.25">
      <c r="U28" s="2">
        <f t="shared" si="2"/>
        <v>1000000000000000</v>
      </c>
      <c r="V28" s="7">
        <v>1000000000000000</v>
      </c>
    </row>
    <row r="29" spans="8:22" x14ac:dyDescent="0.25">
      <c r="U29" s="2">
        <f t="shared" si="2"/>
        <v>1E+16</v>
      </c>
      <c r="V29" s="7">
        <v>1E+16</v>
      </c>
    </row>
    <row r="30" spans="8:22" x14ac:dyDescent="0.25">
      <c r="U30" s="2">
        <f t="shared" si="2"/>
        <v>1E+17</v>
      </c>
      <c r="V30" s="7">
        <v>1E+17</v>
      </c>
    </row>
  </sheetData>
  <phoneticPr fontId="2" type="noConversion"/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Antenna</vt:lpstr>
      <vt:lpstr>DSN</vt:lpstr>
      <vt:lpstr>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Paplaczyk</dc:creator>
  <cp:lastModifiedBy>Pap</cp:lastModifiedBy>
  <dcterms:created xsi:type="dcterms:W3CDTF">2019-04-30T22:14:26Z</dcterms:created>
  <dcterms:modified xsi:type="dcterms:W3CDTF">2019-06-11T15:44:12Z</dcterms:modified>
</cp:coreProperties>
</file>