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ja\OneDrive - BIOSECURITY IBERICA\Escritorio\E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9" i="1" l="1"/>
  <c r="L329" i="1"/>
  <c r="L331" i="1"/>
  <c r="L302" i="1"/>
  <c r="L300" i="1" l="1"/>
  <c r="L298" i="1"/>
  <c r="L296" i="1"/>
  <c r="L293" i="1"/>
  <c r="L292" i="1"/>
  <c r="M291" i="1"/>
  <c r="L291" i="1"/>
  <c r="L287" i="1"/>
  <c r="L286" i="1"/>
  <c r="M284" i="1"/>
  <c r="L284" i="1"/>
  <c r="L282" i="1"/>
  <c r="L280" i="1"/>
  <c r="M278" i="1"/>
  <c r="L278" i="1"/>
  <c r="L277" i="1"/>
  <c r="M276" i="1"/>
  <c r="L275" i="1"/>
  <c r="M273" i="1"/>
  <c r="L273" i="1"/>
  <c r="L272" i="1"/>
  <c r="L270" i="1"/>
  <c r="L269" i="1"/>
  <c r="L267" i="1"/>
  <c r="L266" i="1"/>
  <c r="L265" i="1"/>
  <c r="L264" i="1"/>
  <c r="M263" i="1"/>
  <c r="L263" i="1"/>
  <c r="M261" i="1"/>
  <c r="L261" i="1"/>
  <c r="L260" i="1"/>
  <c r="L259" i="1"/>
  <c r="L258" i="1"/>
  <c r="L257" i="1"/>
  <c r="M253" i="1"/>
  <c r="L253" i="1"/>
  <c r="L250" i="1"/>
  <c r="L246" i="1"/>
  <c r="L245" i="1"/>
  <c r="L244" i="1"/>
  <c r="L242" i="1"/>
  <c r="L241" i="1"/>
  <c r="L240" i="1"/>
  <c r="L235" i="1"/>
  <c r="L234" i="1"/>
  <c r="M233" i="1"/>
  <c r="L233" i="1"/>
  <c r="L232" i="1"/>
  <c r="L231" i="1"/>
  <c r="L230" i="1"/>
  <c r="L229" i="1"/>
  <c r="L224" i="1"/>
  <c r="L221" i="1"/>
  <c r="L218" i="1"/>
  <c r="L216" i="1"/>
  <c r="L215" i="1"/>
  <c r="M214" i="1"/>
  <c r="L214" i="1"/>
  <c r="L213" i="1"/>
  <c r="L208" i="1"/>
  <c r="L207" i="1"/>
  <c r="L205" i="1"/>
  <c r="L204" i="1"/>
  <c r="L200" i="1"/>
  <c r="L199" i="1"/>
  <c r="L193" i="1"/>
  <c r="L186" i="1"/>
  <c r="M185" i="1"/>
  <c r="L185" i="1"/>
  <c r="L183" i="1"/>
  <c r="L181" i="1"/>
  <c r="L180" i="1"/>
  <c r="L178" i="1"/>
  <c r="L175" i="1"/>
  <c r="L174" i="1"/>
  <c r="L173" i="1"/>
  <c r="L172" i="1"/>
  <c r="L171" i="1"/>
  <c r="L169" i="1"/>
  <c r="L168" i="1"/>
  <c r="M162" i="1"/>
  <c r="L162" i="1"/>
  <c r="L161" i="1"/>
  <c r="L160" i="1"/>
  <c r="L156" i="1"/>
  <c r="L155" i="1"/>
  <c r="L154" i="1"/>
  <c r="L152" i="1"/>
  <c r="L151" i="1"/>
  <c r="L150" i="1"/>
  <c r="L149" i="1"/>
  <c r="L148" i="1"/>
  <c r="M142" i="1"/>
  <c r="L142" i="1"/>
  <c r="M141" i="1"/>
  <c r="L141" i="1"/>
  <c r="M140" i="1"/>
  <c r="L140" i="1"/>
  <c r="L138" i="1"/>
  <c r="M137" i="1"/>
  <c r="L137" i="1"/>
  <c r="L136" i="1"/>
  <c r="L135" i="1"/>
  <c r="L132" i="1"/>
  <c r="M131" i="1"/>
  <c r="L131" i="1"/>
  <c r="L130" i="1"/>
  <c r="M129" i="1"/>
  <c r="L129" i="1"/>
  <c r="L128" i="1"/>
  <c r="M126" i="1"/>
  <c r="L126" i="1"/>
  <c r="L125" i="1"/>
  <c r="L124" i="1"/>
  <c r="M123" i="1"/>
  <c r="L123" i="1"/>
  <c r="L122" i="1"/>
  <c r="L121" i="1"/>
  <c r="M118" i="1"/>
  <c r="L118" i="1"/>
  <c r="L117" i="1"/>
  <c r="L115" i="1"/>
  <c r="L114" i="1"/>
  <c r="L113" i="1"/>
  <c r="L112" i="1"/>
  <c r="L111" i="1"/>
  <c r="L109" i="1"/>
  <c r="L106" i="1" l="1"/>
  <c r="L105" i="1"/>
  <c r="L103" i="1"/>
  <c r="L102" i="1"/>
  <c r="L101" i="1"/>
  <c r="L100" i="1"/>
  <c r="L99" i="1"/>
  <c r="L98" i="1"/>
  <c r="M97" i="1"/>
  <c r="L97" i="1"/>
  <c r="L96" i="1"/>
  <c r="L95" i="1"/>
  <c r="M92" i="1"/>
  <c r="L92" i="1"/>
  <c r="L91" i="1"/>
  <c r="L90" i="1"/>
  <c r="L89" i="1"/>
  <c r="L88" i="1"/>
  <c r="L87" i="1"/>
  <c r="M86" i="1"/>
  <c r="L86" i="1"/>
  <c r="L85" i="1"/>
  <c r="L83" i="1"/>
  <c r="M82" i="1"/>
  <c r="L82" i="1"/>
  <c r="L81" i="1"/>
  <c r="L80" i="1"/>
  <c r="L78" i="1"/>
  <c r="L76" i="1"/>
  <c r="L75" i="1"/>
  <c r="L73" i="1"/>
  <c r="L72" i="1"/>
  <c r="L71" i="1"/>
  <c r="M70" i="1"/>
  <c r="L70" i="1"/>
  <c r="L68" i="1"/>
  <c r="M66" i="1"/>
  <c r="L66" i="1"/>
  <c r="L65" i="1"/>
  <c r="M62" i="1"/>
  <c r="L62" i="1"/>
  <c r="L61" i="1"/>
  <c r="L60" i="1"/>
  <c r="L59" i="1"/>
  <c r="M58" i="1"/>
  <c r="L58" i="1"/>
  <c r="L57" i="1"/>
  <c r="M56" i="1"/>
  <c r="L56" i="1"/>
  <c r="L55" i="1"/>
  <c r="L54" i="1"/>
  <c r="L53" i="1"/>
  <c r="L52" i="1"/>
  <c r="L51" i="1"/>
  <c r="L50" i="1"/>
  <c r="L49" i="1"/>
  <c r="L47" i="1"/>
  <c r="L46" i="1"/>
  <c r="M46" i="1"/>
  <c r="L45" i="1"/>
  <c r="L41" i="1"/>
  <c r="L40" i="1"/>
  <c r="L39" i="1"/>
  <c r="L38" i="1"/>
  <c r="L37" i="1"/>
  <c r="M36" i="1"/>
  <c r="L36" i="1"/>
  <c r="L35" i="1"/>
  <c r="L34" i="1"/>
  <c r="M33" i="1"/>
  <c r="L33" i="1"/>
  <c r="L32" i="1"/>
  <c r="L31" i="1"/>
  <c r="L30" i="1"/>
  <c r="L29" i="1"/>
  <c r="L28" i="1"/>
  <c r="L27" i="1"/>
  <c r="L26" i="1"/>
  <c r="M26" i="1"/>
  <c r="M25" i="1"/>
  <c r="L25" i="1"/>
  <c r="L24" i="1"/>
  <c r="L23" i="1"/>
  <c r="L22" i="1"/>
  <c r="L21" i="1"/>
  <c r="M20" i="1"/>
  <c r="L20" i="1"/>
  <c r="L19" i="1"/>
  <c r="L18" i="1"/>
  <c r="M17" i="1"/>
  <c r="L17" i="1"/>
  <c r="L16" i="1"/>
  <c r="M16" i="1"/>
  <c r="L15" i="1"/>
  <c r="I9" i="1"/>
  <c r="I8" i="1"/>
  <c r="M10" i="1"/>
  <c r="M13" i="1"/>
  <c r="L13" i="1"/>
  <c r="M11" i="1"/>
  <c r="L11" i="1"/>
  <c r="L6" i="1"/>
  <c r="I405" i="1" l="1"/>
  <c r="I400" i="1"/>
  <c r="I399" i="1"/>
  <c r="I398" i="1"/>
  <c r="I395" i="1"/>
  <c r="I394" i="1"/>
  <c r="I389" i="1"/>
  <c r="I388" i="1"/>
  <c r="I385" i="1"/>
  <c r="I376" i="1"/>
  <c r="I375" i="1"/>
  <c r="I368" i="1"/>
  <c r="I367" i="1"/>
  <c r="I364" i="1"/>
  <c r="I358" i="1"/>
  <c r="I355" i="1"/>
  <c r="I354" i="1"/>
  <c r="I353" i="1"/>
  <c r="I351" i="1"/>
  <c r="I346" i="1"/>
  <c r="I344" i="1"/>
  <c r="I342" i="1"/>
  <c r="I341" i="1"/>
  <c r="I339" i="1"/>
  <c r="I337" i="1"/>
  <c r="I336" i="1"/>
  <c r="I335" i="1"/>
  <c r="I334" i="1"/>
  <c r="I332" i="1"/>
  <c r="I330" i="1"/>
  <c r="I327" i="1"/>
  <c r="I323" i="1"/>
  <c r="I322" i="1"/>
  <c r="I319" i="1"/>
  <c r="I318" i="1"/>
  <c r="I317" i="1"/>
  <c r="I315" i="1"/>
  <c r="I314" i="1"/>
  <c r="I313" i="1"/>
  <c r="I308" i="1"/>
  <c r="I307" i="1"/>
  <c r="I305" i="1"/>
  <c r="I304" i="1"/>
  <c r="I301" i="1"/>
  <c r="I300" i="1"/>
  <c r="I296" i="1"/>
  <c r="I295" i="1"/>
  <c r="I293" i="1"/>
  <c r="I292" i="1"/>
  <c r="I285" i="1"/>
  <c r="I284" i="1"/>
  <c r="I283" i="1"/>
  <c r="I282" i="1"/>
  <c r="I281" i="1"/>
  <c r="I280" i="1"/>
  <c r="I279" i="1"/>
  <c r="I278" i="1"/>
  <c r="I277" i="1"/>
  <c r="I276" i="1"/>
  <c r="I275" i="1"/>
  <c r="I273" i="1"/>
  <c r="I272" i="1"/>
  <c r="I271" i="1"/>
  <c r="I270" i="1"/>
  <c r="I269" i="1"/>
  <c r="I268" i="1"/>
  <c r="I267" i="1"/>
  <c r="I266" i="1"/>
  <c r="I265" i="1"/>
  <c r="I261" i="1"/>
  <c r="I260" i="1"/>
  <c r="I259" i="1"/>
  <c r="I258" i="1"/>
  <c r="I257" i="1"/>
  <c r="I256" i="1"/>
  <c r="I255" i="1"/>
  <c r="I253" i="1"/>
  <c r="I252" i="1"/>
  <c r="I251" i="1"/>
  <c r="I250" i="1"/>
  <c r="I249" i="1"/>
  <c r="I246" i="1"/>
  <c r="I245" i="1"/>
  <c r="I244" i="1"/>
  <c r="I243" i="1"/>
  <c r="I240" i="1"/>
  <c r="I239" i="1"/>
  <c r="I236" i="1"/>
  <c r="I235" i="1"/>
  <c r="I233" i="1"/>
  <c r="I232" i="1"/>
  <c r="I231" i="1"/>
  <c r="I230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8" i="1"/>
  <c r="I157" i="1"/>
  <c r="I156" i="1"/>
  <c r="I155" i="1"/>
  <c r="I152" i="1"/>
  <c r="I151" i="1"/>
  <c r="I150" i="1"/>
  <c r="I149" i="1"/>
  <c r="I148" i="1"/>
  <c r="I147" i="1"/>
  <c r="I145" i="1"/>
  <c r="I144" i="1"/>
  <c r="I143" i="1"/>
  <c r="I141" i="1"/>
  <c r="I140" i="1"/>
  <c r="I139" i="1"/>
  <c r="I138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5" i="1"/>
  <c r="I54" i="1"/>
  <c r="I53" i="1"/>
  <c r="I52" i="1"/>
  <c r="I51" i="1"/>
  <c r="I49" i="1"/>
  <c r="I48" i="1"/>
  <c r="I47" i="1"/>
  <c r="I46" i="1"/>
  <c r="I45" i="1"/>
  <c r="I44" i="1"/>
  <c r="I43" i="1"/>
  <c r="I42" i="1"/>
  <c r="I41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8" i="1"/>
  <c r="I17" i="1"/>
  <c r="I16" i="1"/>
  <c r="I15" i="1"/>
  <c r="I13" i="1"/>
  <c r="I12" i="1"/>
  <c r="I11" i="1"/>
  <c r="I6" i="1"/>
</calcChain>
</file>

<file path=xl/sharedStrings.xml><?xml version="1.0" encoding="utf-8"?>
<sst xmlns="http://schemas.openxmlformats.org/spreadsheetml/2006/main" count="2505" uniqueCount="430">
  <si>
    <t>Id</t>
  </si>
  <si>
    <t>Raza</t>
  </si>
  <si>
    <t>Sexo</t>
  </si>
  <si>
    <t>Edad</t>
  </si>
  <si>
    <t>Gasto_rehabilitacion</t>
  </si>
  <si>
    <t>Gasto_tienda</t>
  </si>
  <si>
    <t>Mestizo</t>
  </si>
  <si>
    <t>Macho</t>
  </si>
  <si>
    <t>Mujer</t>
  </si>
  <si>
    <t>Chihuahua</t>
  </si>
  <si>
    <t>Hombre</t>
  </si>
  <si>
    <t>Hembra</t>
  </si>
  <si>
    <t>Podenco</t>
  </si>
  <si>
    <t>Es cierta la hipotesis de que el perro mestizo sufre de menos problemas geneticos?</t>
  </si>
  <si>
    <t>Asociacion</t>
  </si>
  <si>
    <t>Border Collie</t>
  </si>
  <si>
    <t>Común Europeo</t>
  </si>
  <si>
    <t>Especie</t>
  </si>
  <si>
    <t>Canina</t>
  </si>
  <si>
    <t>Felina</t>
  </si>
  <si>
    <t>Poodle</t>
  </si>
  <si>
    <t>Pastor Catalán</t>
  </si>
  <si>
    <t>West Highland Terrier</t>
  </si>
  <si>
    <t>Teckel</t>
  </si>
  <si>
    <t>Nombre</t>
  </si>
  <si>
    <t>Bombo</t>
  </si>
  <si>
    <t>Valpo</t>
  </si>
  <si>
    <t>Jana</t>
  </si>
  <si>
    <t>Neska</t>
  </si>
  <si>
    <t>Ella</t>
  </si>
  <si>
    <t>Charlie</t>
  </si>
  <si>
    <t>Adya</t>
  </si>
  <si>
    <t>Cahuita</t>
  </si>
  <si>
    <t>Lia</t>
  </si>
  <si>
    <t>Noa</t>
  </si>
  <si>
    <t>Ulises</t>
  </si>
  <si>
    <t>Coco</t>
  </si>
  <si>
    <t>Sonic</t>
  </si>
  <si>
    <t>Rumy</t>
  </si>
  <si>
    <t>Miley</t>
  </si>
  <si>
    <t>Leo</t>
  </si>
  <si>
    <t>Luna</t>
  </si>
  <si>
    <t>Joya</t>
  </si>
  <si>
    <t>Baloo</t>
  </si>
  <si>
    <t>Emma</t>
  </si>
  <si>
    <t>Cuco</t>
  </si>
  <si>
    <t>Wateke</t>
  </si>
  <si>
    <t>Blacky</t>
  </si>
  <si>
    <t>Schnauzer</t>
  </si>
  <si>
    <t>Ody</t>
  </si>
  <si>
    <t>Chulo</t>
  </si>
  <si>
    <t>Boxer</t>
  </si>
  <si>
    <t>Bruce</t>
  </si>
  <si>
    <t>Pastor Alemán</t>
  </si>
  <si>
    <t>Braco Alemán</t>
  </si>
  <si>
    <t>Isil</t>
  </si>
  <si>
    <t>Joker</t>
  </si>
  <si>
    <t>Boston Terrier</t>
  </si>
  <si>
    <t>Siri</t>
  </si>
  <si>
    <t>Joey</t>
  </si>
  <si>
    <t>Jack Russell</t>
  </si>
  <si>
    <t>Bella</t>
  </si>
  <si>
    <t>Bulldog Francés</t>
  </si>
  <si>
    <t>Sais</t>
  </si>
  <si>
    <t>Persa</t>
  </si>
  <si>
    <t>Paul</t>
  </si>
  <si>
    <t>Timmy</t>
  </si>
  <si>
    <t>Mastín Español</t>
  </si>
  <si>
    <t>Grecia</t>
  </si>
  <si>
    <t>Kira</t>
  </si>
  <si>
    <t>Dálmata</t>
  </si>
  <si>
    <t>Skal</t>
  </si>
  <si>
    <t>Daina</t>
  </si>
  <si>
    <t>Golden Retriever</t>
  </si>
  <si>
    <t>Rocco</t>
  </si>
  <si>
    <t>Momo</t>
  </si>
  <si>
    <t>Gunnar</t>
  </si>
  <si>
    <t>Pastor Belga</t>
  </si>
  <si>
    <t>Diablo</t>
  </si>
  <si>
    <t>Moon</t>
  </si>
  <si>
    <t>Cody</t>
  </si>
  <si>
    <t>Pastor ganadero australiano</t>
  </si>
  <si>
    <t>Odie</t>
  </si>
  <si>
    <t>Shirka</t>
  </si>
  <si>
    <t>Evo</t>
  </si>
  <si>
    <t>Luke</t>
  </si>
  <si>
    <t>Alaska</t>
  </si>
  <si>
    <t>Pipa</t>
  </si>
  <si>
    <t>Buddy</t>
  </si>
  <si>
    <t>Maya</t>
  </si>
  <si>
    <t>Lenon</t>
  </si>
  <si>
    <t>Roma</t>
  </si>
  <si>
    <t>Sena</t>
  </si>
  <si>
    <t>Labrador Retriever</t>
  </si>
  <si>
    <t>Gata</t>
  </si>
  <si>
    <t>American Staffordshire Terrier</t>
  </si>
  <si>
    <t>Cora</t>
  </si>
  <si>
    <t>Faustino</t>
  </si>
  <si>
    <t>Setter Gordon</t>
  </si>
  <si>
    <t>Max</t>
  </si>
  <si>
    <t>Dina</t>
  </si>
  <si>
    <t>Piper</t>
  </si>
  <si>
    <t>Kobu</t>
  </si>
  <si>
    <t>Bombón</t>
  </si>
  <si>
    <t>Chow Chow</t>
  </si>
  <si>
    <t>Duna</t>
  </si>
  <si>
    <t>Henna</t>
  </si>
  <si>
    <t>Senda</t>
  </si>
  <si>
    <t>Dora</t>
  </si>
  <si>
    <t>Pastor Ovejero Australiano</t>
  </si>
  <si>
    <t>Norman</t>
  </si>
  <si>
    <t>Mario</t>
  </si>
  <si>
    <t>Norte</t>
  </si>
  <si>
    <t>Bimba</t>
  </si>
  <si>
    <t>Pomerania</t>
  </si>
  <si>
    <t>Brando</t>
  </si>
  <si>
    <t>Alaskan Malamute</t>
  </si>
  <si>
    <t>Pastor Australiano</t>
  </si>
  <si>
    <t>Jack</t>
  </si>
  <si>
    <t>Elsa</t>
  </si>
  <si>
    <t>Tysson</t>
  </si>
  <si>
    <t>Movie</t>
  </si>
  <si>
    <t>Trufa</t>
  </si>
  <si>
    <t>Kika</t>
  </si>
  <si>
    <t>Aika</t>
  </si>
  <si>
    <t>Rottweiler</t>
  </si>
  <si>
    <t>Neil</t>
  </si>
  <si>
    <t>Caniche</t>
  </si>
  <si>
    <t>Lucky</t>
  </si>
  <si>
    <t>Nora</t>
  </si>
  <si>
    <t>Sheena</t>
  </si>
  <si>
    <t>Talis</t>
  </si>
  <si>
    <t>Veva</t>
  </si>
  <si>
    <t>Bichón</t>
  </si>
  <si>
    <t>Margot</t>
  </si>
  <si>
    <t>Ako</t>
  </si>
  <si>
    <t>Nero</t>
  </si>
  <si>
    <t>Lira</t>
  </si>
  <si>
    <t>Roco</t>
  </si>
  <si>
    <t>Kiwi</t>
  </si>
  <si>
    <t>Azul Ruso</t>
  </si>
  <si>
    <t>Pepe</t>
  </si>
  <si>
    <t>Sai</t>
  </si>
  <si>
    <t>Ochi</t>
  </si>
  <si>
    <t>Samba</t>
  </si>
  <si>
    <t>Garbí</t>
  </si>
  <si>
    <t>Nala</t>
  </si>
  <si>
    <t>Zarra</t>
  </si>
  <si>
    <t>Sira</t>
  </si>
  <si>
    <t>Simón</t>
  </si>
  <si>
    <t>Olivia</t>
  </si>
  <si>
    <t>Maik</t>
  </si>
  <si>
    <t>Mogwai</t>
  </si>
  <si>
    <t>Dana</t>
  </si>
  <si>
    <t>Floki</t>
  </si>
  <si>
    <t>Galgo</t>
  </si>
  <si>
    <t>Banifacy</t>
  </si>
  <si>
    <t>Neu</t>
  </si>
  <si>
    <t>Zoe</t>
  </si>
  <si>
    <t>Ratonero</t>
  </si>
  <si>
    <t>Kairi</t>
  </si>
  <si>
    <t>Ralph</t>
  </si>
  <si>
    <t>Titán</t>
  </si>
  <si>
    <t>Terranova</t>
  </si>
  <si>
    <t>Cloe</t>
  </si>
  <si>
    <t>Mona</t>
  </si>
  <si>
    <t>Bender</t>
  </si>
  <si>
    <t>Axel Rose</t>
  </si>
  <si>
    <t>Frida</t>
  </si>
  <si>
    <t>Choco</t>
  </si>
  <si>
    <t>Coco Channel</t>
  </si>
  <si>
    <t>Tyrion</t>
  </si>
  <si>
    <t>Yorkshire Terrier</t>
  </si>
  <si>
    <t>Heda</t>
  </si>
  <si>
    <t>Rocky</t>
  </si>
  <si>
    <t>Otto</t>
  </si>
  <si>
    <t>Molly</t>
  </si>
  <si>
    <t>Carlino</t>
  </si>
  <si>
    <t>Trasto</t>
  </si>
  <si>
    <t>Murph</t>
  </si>
  <si>
    <t>Eva</t>
  </si>
  <si>
    <t>Shiva</t>
  </si>
  <si>
    <t>Athos</t>
  </si>
  <si>
    <t>Cendra</t>
  </si>
  <si>
    <t>Natsu</t>
  </si>
  <si>
    <t>Mars</t>
  </si>
  <si>
    <t>Doberman</t>
  </si>
  <si>
    <t>Bola</t>
  </si>
  <si>
    <t>Drako</t>
  </si>
  <si>
    <t>Schott</t>
  </si>
  <si>
    <t>Morgana</t>
  </si>
  <si>
    <t>Perro de agua</t>
  </si>
  <si>
    <t>Bax</t>
  </si>
  <si>
    <t>Apolo</t>
  </si>
  <si>
    <t>Chupa Chups</t>
  </si>
  <si>
    <t>Shiba</t>
  </si>
  <si>
    <t xml:space="preserve">Nott </t>
  </si>
  <si>
    <t>Kush</t>
  </si>
  <si>
    <t>Sugus</t>
  </si>
  <si>
    <t>Minush</t>
  </si>
  <si>
    <t>Berta</t>
  </si>
  <si>
    <t>Neus</t>
  </si>
  <si>
    <t>Malibú</t>
  </si>
  <si>
    <t>Saul</t>
  </si>
  <si>
    <t>Mateo</t>
  </si>
  <si>
    <t>Shihtzu</t>
  </si>
  <si>
    <t>Loli</t>
  </si>
  <si>
    <t>Darko</t>
  </si>
  <si>
    <t>Spaniel Breton</t>
  </si>
  <si>
    <t>Gordo</t>
  </si>
  <si>
    <t>Pit Bull Terrier</t>
  </si>
  <si>
    <t>Siena</t>
  </si>
  <si>
    <t>Pulpo</t>
  </si>
  <si>
    <t>Akita Americano</t>
  </si>
  <si>
    <t>Mentxu</t>
  </si>
  <si>
    <t>Vega</t>
  </si>
  <si>
    <t>Braco de Weimar</t>
  </si>
  <si>
    <t>Queen</t>
  </si>
  <si>
    <t>India</t>
  </si>
  <si>
    <t>Gypsy</t>
  </si>
  <si>
    <t>Lola</t>
  </si>
  <si>
    <t>Thor</t>
  </si>
  <si>
    <t>Mia</t>
  </si>
  <si>
    <t>Dotor</t>
  </si>
  <si>
    <t>Yago</t>
  </si>
  <si>
    <t>Mono</t>
  </si>
  <si>
    <t>Vida</t>
  </si>
  <si>
    <t>Kalimocha</t>
  </si>
  <si>
    <t>Cocker Spaniel</t>
  </si>
  <si>
    <t>Newton</t>
  </si>
  <si>
    <t>Lucas</t>
  </si>
  <si>
    <t>Pinscher</t>
  </si>
  <si>
    <t>Caña</t>
  </si>
  <si>
    <t>Bobby</t>
  </si>
  <si>
    <t>Cooper</t>
  </si>
  <si>
    <t>Drake</t>
  </si>
  <si>
    <t>Hugo</t>
  </si>
  <si>
    <t>Beagle</t>
  </si>
  <si>
    <t>Ecko</t>
  </si>
  <si>
    <t>Maño</t>
  </si>
  <si>
    <t>Draco</t>
  </si>
  <si>
    <t>Boira</t>
  </si>
  <si>
    <t>Bruma</t>
  </si>
  <si>
    <t>Django</t>
  </si>
  <si>
    <t>Toby</t>
  </si>
  <si>
    <t>Goa</t>
  </si>
  <si>
    <t>Black</t>
  </si>
  <si>
    <t>Papush</t>
  </si>
  <si>
    <t>Charas</t>
  </si>
  <si>
    <t>Lolo</t>
  </si>
  <si>
    <t>Rob</t>
  </si>
  <si>
    <t>Antia Coliflor</t>
  </si>
  <si>
    <t>Kuma</t>
  </si>
  <si>
    <t>Capitan</t>
  </si>
  <si>
    <t>Dexter</t>
  </si>
  <si>
    <t>Nicki</t>
  </si>
  <si>
    <t>Bruno</t>
  </si>
  <si>
    <t>Peky</t>
  </si>
  <si>
    <t>Liko</t>
  </si>
  <si>
    <t>Setter Irlandés</t>
  </si>
  <si>
    <t>Janis</t>
  </si>
  <si>
    <t>City</t>
  </si>
  <si>
    <t>Cupra</t>
  </si>
  <si>
    <t>Eros</t>
  </si>
  <si>
    <t>Vilma</t>
  </si>
  <si>
    <t>Blu</t>
  </si>
  <si>
    <t>Byron</t>
  </si>
  <si>
    <t>Setter Inglés</t>
  </si>
  <si>
    <t>Odin</t>
  </si>
  <si>
    <t>Shetland Sheepdog</t>
  </si>
  <si>
    <t>Pepi</t>
  </si>
  <si>
    <t>Summer</t>
  </si>
  <si>
    <t>Doce</t>
  </si>
  <si>
    <t>Cavalier King Charles</t>
  </si>
  <si>
    <t>Nikka</t>
  </si>
  <si>
    <t>Julieta</t>
  </si>
  <si>
    <t>Doy</t>
  </si>
  <si>
    <t>Kairos</t>
  </si>
  <si>
    <t>Jager</t>
  </si>
  <si>
    <t>Lucy</t>
  </si>
  <si>
    <t>Nila</t>
  </si>
  <si>
    <t>Ron</t>
  </si>
  <si>
    <t>Best</t>
  </si>
  <si>
    <t>Puppy</t>
  </si>
  <si>
    <t>Cali</t>
  </si>
  <si>
    <t>American Bully</t>
  </si>
  <si>
    <t>Aria</t>
  </si>
  <si>
    <t>Arya</t>
  </si>
  <si>
    <t>Aker</t>
  </si>
  <si>
    <t>Boyero de Berna</t>
  </si>
  <si>
    <t>Dólar</t>
  </si>
  <si>
    <t>Junior</t>
  </si>
  <si>
    <t>Puzzle</t>
  </si>
  <si>
    <t>Maggie</t>
  </si>
  <si>
    <t>Tizon</t>
  </si>
  <si>
    <t>Teabag</t>
  </si>
  <si>
    <t>Nicolas</t>
  </si>
  <si>
    <t>Pekinés</t>
  </si>
  <si>
    <t>Carlo</t>
  </si>
  <si>
    <t>Ache</t>
  </si>
  <si>
    <t>Canela</t>
  </si>
  <si>
    <t>Blues</t>
  </si>
  <si>
    <t>Pipo</t>
  </si>
  <si>
    <t>Bong</t>
  </si>
  <si>
    <t xml:space="preserve">Pompa </t>
  </si>
  <si>
    <t>Travel</t>
  </si>
  <si>
    <t>Stark</t>
  </si>
  <si>
    <t>Tarzan</t>
  </si>
  <si>
    <t>Fusa</t>
  </si>
  <si>
    <t>Bongo</t>
  </si>
  <si>
    <t>Balto</t>
  </si>
  <si>
    <t>Dom</t>
  </si>
  <si>
    <t>Lúa</t>
  </si>
  <si>
    <t>Greta</t>
  </si>
  <si>
    <t>Cuba</t>
  </si>
  <si>
    <t>Drago</t>
  </si>
  <si>
    <t>Berto</t>
  </si>
  <si>
    <t>Tica</t>
  </si>
  <si>
    <t>Chelsea</t>
  </si>
  <si>
    <t>Dumbo</t>
  </si>
  <si>
    <t>Lennon</t>
  </si>
  <si>
    <t>Boby</t>
  </si>
  <si>
    <t>Pistacho</t>
  </si>
  <si>
    <t>Musa</t>
  </si>
  <si>
    <t>Tana</t>
  </si>
  <si>
    <t>Bowie</t>
  </si>
  <si>
    <t>Tobias</t>
  </si>
  <si>
    <t>Pele</t>
  </si>
  <si>
    <t>Marco Polo</t>
  </si>
  <si>
    <t>Rio</t>
  </si>
  <si>
    <t>Wurst</t>
  </si>
  <si>
    <t>Kanu</t>
  </si>
  <si>
    <t>Chispas</t>
  </si>
  <si>
    <t>Redi</t>
  </si>
  <si>
    <t>Aquiles</t>
  </si>
  <si>
    <t>Kurama</t>
  </si>
  <si>
    <t>Ñita</t>
  </si>
  <si>
    <t>Vera</t>
  </si>
  <si>
    <t>Gala</t>
  </si>
  <si>
    <t>Yoda</t>
  </si>
  <si>
    <t>Logan</t>
  </si>
  <si>
    <t>Lea</t>
  </si>
  <si>
    <t>Niki</t>
  </si>
  <si>
    <t>Ares</t>
  </si>
  <si>
    <t>Hanna</t>
  </si>
  <si>
    <t>Zeke</t>
  </si>
  <si>
    <t>Wick</t>
  </si>
  <si>
    <t>Dumle</t>
  </si>
  <si>
    <t>Coquito</t>
  </si>
  <si>
    <t>Akira</t>
  </si>
  <si>
    <t>Meraki</t>
  </si>
  <si>
    <t>Nymeria</t>
  </si>
  <si>
    <t>Fideo</t>
  </si>
  <si>
    <t>Lebrel Italiano</t>
  </si>
  <si>
    <t>Cies</t>
  </si>
  <si>
    <t>Bimbo</t>
  </si>
  <si>
    <t>Little</t>
  </si>
  <si>
    <t>Chula</t>
  </si>
  <si>
    <t>Daisy</t>
  </si>
  <si>
    <t>Doggy</t>
  </si>
  <si>
    <t>Rosi</t>
  </si>
  <si>
    <t>Jonas</t>
  </si>
  <si>
    <t xml:space="preserve">Morgan </t>
  </si>
  <si>
    <t>Bilbo</t>
  </si>
  <si>
    <t>Homer</t>
  </si>
  <si>
    <t>Clark</t>
  </si>
  <si>
    <t>Loa</t>
  </si>
  <si>
    <t>Foxy</t>
  </si>
  <si>
    <t>Atenea</t>
  </si>
  <si>
    <t>Yuza</t>
  </si>
  <si>
    <t>Fresa</t>
  </si>
  <si>
    <t>Golfo</t>
  </si>
  <si>
    <t>Megan</t>
  </si>
  <si>
    <t>Nabi</t>
  </si>
  <si>
    <t>Roque</t>
  </si>
  <si>
    <t>Paco</t>
  </si>
  <si>
    <t>Flor</t>
  </si>
  <si>
    <t>Tuco</t>
  </si>
  <si>
    <t>Arwen</t>
  </si>
  <si>
    <t>Nela</t>
  </si>
  <si>
    <t>Mami</t>
  </si>
  <si>
    <t>Chuli</t>
  </si>
  <si>
    <t>Oliver</t>
  </si>
  <si>
    <t>Saoirse</t>
  </si>
  <si>
    <t>Geremias</t>
  </si>
  <si>
    <t>Bonny</t>
  </si>
  <si>
    <t>Kovu</t>
  </si>
  <si>
    <t>Mel</t>
  </si>
  <si>
    <t>Leone</t>
  </si>
  <si>
    <t>Scott</t>
  </si>
  <si>
    <t>Odi</t>
  </si>
  <si>
    <t>Yaki</t>
  </si>
  <si>
    <t>Suki</t>
  </si>
  <si>
    <t>Hachiko</t>
  </si>
  <si>
    <t>León</t>
  </si>
  <si>
    <t>Raiko</t>
  </si>
  <si>
    <t>Luffy</t>
  </si>
  <si>
    <t>Tenis</t>
  </si>
  <si>
    <t>Sally</t>
  </si>
  <si>
    <t>Rufus</t>
  </si>
  <si>
    <t>Nola</t>
  </si>
  <si>
    <t>Hurco</t>
  </si>
  <si>
    <t>Tutor</t>
  </si>
  <si>
    <t>baloo</t>
  </si>
  <si>
    <t>Dieta</t>
  </si>
  <si>
    <t>Sobrepeso</t>
  </si>
  <si>
    <t>Jalito</t>
  </si>
  <si>
    <t>Tote</t>
  </si>
  <si>
    <t>Diagnostico 1</t>
  </si>
  <si>
    <t>Diagnóstico 2</t>
  </si>
  <si>
    <t>Artrosis</t>
  </si>
  <si>
    <t>Lesion</t>
  </si>
  <si>
    <t>Hernia Discal</t>
  </si>
  <si>
    <t>Ligamento Cruzado</t>
  </si>
  <si>
    <t>Luxación Rotula</t>
  </si>
  <si>
    <t>Mielopatia degenerativa</t>
  </si>
  <si>
    <t>Displasia Cadera</t>
  </si>
  <si>
    <t>Displasia Codo</t>
  </si>
  <si>
    <t>Luxacion de Rotula</t>
  </si>
  <si>
    <t>Mielopatia Degenerativa</t>
  </si>
  <si>
    <t>Displasia Ccadera</t>
  </si>
  <si>
    <t>Necrosis Avascular Cabezafemoral</t>
  </si>
  <si>
    <t>Jordan</t>
  </si>
  <si>
    <t>Acondicionamiento Deportivo</t>
  </si>
  <si>
    <t>Waldi</t>
  </si>
  <si>
    <t>Rock</t>
  </si>
  <si>
    <t xml:space="preserve">Mielopatia </t>
  </si>
  <si>
    <t>Mielopatia</t>
  </si>
  <si>
    <t>Bulldog Inglés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</si>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</sst>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422"/>
  <sheetViews>
    <sheetView tabSelected="1" topLeftCell="C1" zoomScaleNormal="100" workbookViewId="0">
      <selection activeCell="J18" sqref="J18"/>
    </sheetView>
  </sheetViews>
  <sheetFormatPr baseColWidth="10" defaultRowHeight="15" x14ac:dyDescent="0.25"/>
  <cols>
    <col min="6" max="6" width="13" bestFit="1" customWidth="1"/>
    <col min="7" max="7" width="28.28515625" bestFit="1" customWidth="1"/>
    <col min="10" max="10" width="31.7109375" bestFit="1" customWidth="1"/>
    <col min="11" max="11" width="13.28515625" customWidth="1"/>
    <col min="12" max="12" width="19.42578125" bestFit="1" customWidth="1"/>
    <col min="13" max="14" width="13.42578125" customWidth="1"/>
    <col min="15" max="15" width="12.140625" bestFit="1" customWidth="1"/>
  </cols>
  <sheetData>
    <row r="2" spans="4:17" x14ac:dyDescent="0.25">
      <c r="D2" t="s">
        <v>13</v>
      </c>
    </row>
    <row r="4" spans="4:17" x14ac:dyDescent="0.25">
      <c r="D4" t="s">
        <v>0</v>
      </c>
      <c r="E4" t="s">
        <v>17</v>
      </c>
      <c r="F4" t="s">
        <v>24</v>
      </c>
      <c r="G4" t="s">
        <v>1</v>
      </c>
      <c r="H4" t="s">
        <v>2</v>
      </c>
      <c r="I4" t="s">
        <v>3</v>
      </c>
      <c r="J4" t="s">
        <v>408</v>
      </c>
      <c r="K4" t="s">
        <v>409</v>
      </c>
      <c r="L4" t="s">
        <v>4</v>
      </c>
      <c r="M4" t="s">
        <v>5</v>
      </c>
      <c r="N4" t="s">
        <v>404</v>
      </c>
      <c r="O4" t="s">
        <v>402</v>
      </c>
    </row>
    <row r="5" spans="4:17" x14ac:dyDescent="0.25">
      <c r="D5">
        <v>1</v>
      </c>
      <c r="E5" t="s">
        <v>18</v>
      </c>
      <c r="F5" t="s">
        <v>46</v>
      </c>
      <c r="G5" t="s">
        <v>6</v>
      </c>
      <c r="H5" t="s">
        <v>7</v>
      </c>
      <c r="I5">
        <v>7</v>
      </c>
      <c r="L5">
        <v>0</v>
      </c>
      <c r="M5">
        <v>0</v>
      </c>
      <c r="N5">
        <v>0</v>
      </c>
      <c r="O5" t="s">
        <v>8</v>
      </c>
    </row>
    <row r="6" spans="4:17" x14ac:dyDescent="0.25">
      <c r="D6">
        <v>2</v>
      </c>
      <c r="E6" t="s">
        <v>18</v>
      </c>
      <c r="F6" t="s">
        <v>45</v>
      </c>
      <c r="G6" t="s">
        <v>9</v>
      </c>
      <c r="H6" t="s">
        <v>7</v>
      </c>
      <c r="I6">
        <f>2025-2006</f>
        <v>19</v>
      </c>
      <c r="J6" t="s">
        <v>410</v>
      </c>
      <c r="L6">
        <f>70+69+69+66.63</f>
        <v>274.63</v>
      </c>
      <c r="M6">
        <v>0</v>
      </c>
      <c r="N6">
        <v>0</v>
      </c>
      <c r="O6" t="s">
        <v>8</v>
      </c>
      <c r="Q6" t="s">
        <v>411</v>
      </c>
    </row>
    <row r="7" spans="4:17" x14ac:dyDescent="0.25">
      <c r="D7">
        <v>3</v>
      </c>
      <c r="E7" t="s">
        <v>18</v>
      </c>
      <c r="F7" t="s">
        <v>44</v>
      </c>
      <c r="G7" t="s">
        <v>6</v>
      </c>
      <c r="H7" t="s">
        <v>11</v>
      </c>
      <c r="I7">
        <v>15</v>
      </c>
      <c r="J7" t="s">
        <v>410</v>
      </c>
      <c r="L7">
        <v>255</v>
      </c>
      <c r="M7">
        <v>0</v>
      </c>
      <c r="N7">
        <v>0</v>
      </c>
      <c r="O7" t="s">
        <v>8</v>
      </c>
      <c r="P7">
        <v>1</v>
      </c>
      <c r="Q7" t="s">
        <v>410</v>
      </c>
    </row>
    <row r="8" spans="4:17" x14ac:dyDescent="0.25">
      <c r="D8">
        <v>4</v>
      </c>
      <c r="E8" t="s">
        <v>18</v>
      </c>
      <c r="F8" t="s">
        <v>406</v>
      </c>
      <c r="G8" t="s">
        <v>172</v>
      </c>
      <c r="H8" t="s">
        <v>7</v>
      </c>
      <c r="I8">
        <f>2025-2013</f>
        <v>12</v>
      </c>
      <c r="J8" t="s">
        <v>418</v>
      </c>
      <c r="L8">
        <v>55</v>
      </c>
      <c r="M8">
        <v>0</v>
      </c>
      <c r="N8">
        <v>0</v>
      </c>
      <c r="O8" t="s">
        <v>8</v>
      </c>
      <c r="P8">
        <v>2</v>
      </c>
      <c r="Q8" t="s">
        <v>412</v>
      </c>
    </row>
    <row r="9" spans="4:17" x14ac:dyDescent="0.25">
      <c r="D9">
        <v>5</v>
      </c>
      <c r="E9" t="s">
        <v>18</v>
      </c>
      <c r="F9" t="s">
        <v>407</v>
      </c>
      <c r="G9" t="s">
        <v>172</v>
      </c>
      <c r="H9" t="s">
        <v>7</v>
      </c>
      <c r="I9">
        <f>2025-2013</f>
        <v>12</v>
      </c>
      <c r="J9" t="s">
        <v>410</v>
      </c>
      <c r="L9">
        <v>55</v>
      </c>
      <c r="M9">
        <v>0</v>
      </c>
      <c r="N9">
        <v>0</v>
      </c>
      <c r="O9" t="s">
        <v>8</v>
      </c>
      <c r="P9">
        <v>3</v>
      </c>
      <c r="Q9" t="s">
        <v>413</v>
      </c>
    </row>
    <row r="10" spans="4:17" x14ac:dyDescent="0.25">
      <c r="D10">
        <v>6</v>
      </c>
      <c r="E10" t="s">
        <v>18</v>
      </c>
      <c r="F10" t="s">
        <v>403</v>
      </c>
      <c r="G10" t="s">
        <v>6</v>
      </c>
      <c r="H10" t="s">
        <v>7</v>
      </c>
      <c r="I10">
        <v>12</v>
      </c>
      <c r="J10" t="s">
        <v>410</v>
      </c>
      <c r="L10">
        <v>0</v>
      </c>
      <c r="M10">
        <f>45+71.83+12+23+30+71.83+71.83+30+24.5+71.83+37.5+37.5+37.5+37.5+45+37.5+45+45</f>
        <v>774.31999999999994</v>
      </c>
      <c r="N10">
        <v>0</v>
      </c>
      <c r="O10" t="s">
        <v>10</v>
      </c>
      <c r="P10">
        <v>4</v>
      </c>
      <c r="Q10" t="s">
        <v>414</v>
      </c>
    </row>
    <row r="11" spans="4:17" x14ac:dyDescent="0.25">
      <c r="D11">
        <v>7</v>
      </c>
      <c r="E11" t="s">
        <v>18</v>
      </c>
      <c r="F11" t="s">
        <v>42</v>
      </c>
      <c r="G11" t="s">
        <v>12</v>
      </c>
      <c r="H11" t="s">
        <v>11</v>
      </c>
      <c r="I11">
        <f>2025-2011</f>
        <v>14</v>
      </c>
      <c r="J11" t="s">
        <v>410</v>
      </c>
      <c r="L11">
        <f>200+55+200+80.5+200+200+80.5+84+84.15+200+84.15+300+200+84.15+100+46</f>
        <v>2198.4500000000003</v>
      </c>
      <c r="M11">
        <f>5.85+4.25+4.5+38+4.5+4.5+4+3.9+7+6+4+6</f>
        <v>92.5</v>
      </c>
      <c r="N11">
        <v>0</v>
      </c>
      <c r="O11" t="s">
        <v>8</v>
      </c>
      <c r="P11">
        <v>5</v>
      </c>
      <c r="Q11" t="s">
        <v>415</v>
      </c>
    </row>
    <row r="12" spans="4:17" x14ac:dyDescent="0.25">
      <c r="D12">
        <v>8</v>
      </c>
      <c r="E12" t="s">
        <v>18</v>
      </c>
      <c r="F12" t="s">
        <v>41</v>
      </c>
      <c r="G12" t="s">
        <v>6</v>
      </c>
      <c r="H12" t="s">
        <v>11</v>
      </c>
      <c r="I12">
        <f>2025-2012</f>
        <v>13</v>
      </c>
      <c r="J12" t="s">
        <v>405</v>
      </c>
      <c r="L12">
        <v>0</v>
      </c>
      <c r="M12">
        <v>0</v>
      </c>
      <c r="N12">
        <v>35</v>
      </c>
      <c r="O12" t="s">
        <v>10</v>
      </c>
      <c r="P12">
        <v>6</v>
      </c>
      <c r="Q12" t="s">
        <v>416</v>
      </c>
    </row>
    <row r="13" spans="4:17" x14ac:dyDescent="0.25">
      <c r="D13">
        <v>9</v>
      </c>
      <c r="E13" t="s">
        <v>18</v>
      </c>
      <c r="F13" t="s">
        <v>40</v>
      </c>
      <c r="G13" t="s">
        <v>6</v>
      </c>
      <c r="H13" t="s">
        <v>7</v>
      </c>
      <c r="I13">
        <f>2025-2009</f>
        <v>16</v>
      </c>
      <c r="J13" t="s">
        <v>412</v>
      </c>
      <c r="L13">
        <f>55+150+36+26</f>
        <v>267</v>
      </c>
      <c r="M13">
        <f>5.2+5.2+5.2+28.7+25+5.4+8.6+5.8+5.6+12.8+12.8</f>
        <v>120.29999999999998</v>
      </c>
      <c r="N13">
        <v>0</v>
      </c>
      <c r="O13" t="s">
        <v>8</v>
      </c>
      <c r="P13">
        <v>7</v>
      </c>
      <c r="Q13" t="s">
        <v>417</v>
      </c>
    </row>
    <row r="14" spans="4:17" x14ac:dyDescent="0.25">
      <c r="D14">
        <v>10</v>
      </c>
      <c r="E14" t="s">
        <v>18</v>
      </c>
      <c r="F14" t="s">
        <v>39</v>
      </c>
      <c r="G14" t="s">
        <v>6</v>
      </c>
      <c r="H14" t="s">
        <v>11</v>
      </c>
      <c r="I14">
        <v>16</v>
      </c>
      <c r="J14" t="s">
        <v>410</v>
      </c>
      <c r="L14">
        <v>4672.8500000000004</v>
      </c>
      <c r="M14">
        <v>0</v>
      </c>
      <c r="N14">
        <v>0</v>
      </c>
      <c r="O14" t="s">
        <v>8</v>
      </c>
      <c r="P14">
        <v>8</v>
      </c>
      <c r="Q14" t="s">
        <v>421</v>
      </c>
    </row>
    <row r="15" spans="4:17" x14ac:dyDescent="0.25">
      <c r="D15">
        <v>11</v>
      </c>
      <c r="E15" t="s">
        <v>18</v>
      </c>
      <c r="F15" t="s">
        <v>38</v>
      </c>
      <c r="G15" t="s">
        <v>9</v>
      </c>
      <c r="H15" t="s">
        <v>7</v>
      </c>
      <c r="I15">
        <f>2025-2009</f>
        <v>16</v>
      </c>
      <c r="J15" t="s">
        <v>418</v>
      </c>
      <c r="L15">
        <f>31.5+20</f>
        <v>51.5</v>
      </c>
      <c r="M15">
        <v>0</v>
      </c>
      <c r="N15">
        <v>0</v>
      </c>
      <c r="O15" t="s">
        <v>8</v>
      </c>
      <c r="P15">
        <v>9</v>
      </c>
      <c r="Q15" t="s">
        <v>423</v>
      </c>
    </row>
    <row r="16" spans="4:17" x14ac:dyDescent="0.25">
      <c r="D16">
        <v>12</v>
      </c>
      <c r="E16" t="s">
        <v>18</v>
      </c>
      <c r="F16" t="s">
        <v>37</v>
      </c>
      <c r="G16" t="s">
        <v>15</v>
      </c>
      <c r="H16" t="s">
        <v>7</v>
      </c>
      <c r="I16">
        <f>2025-2017</f>
        <v>8</v>
      </c>
      <c r="J16" t="s">
        <v>413</v>
      </c>
      <c r="L16">
        <f>200+55+200+200+200+125+29.22+48+25+25+25+25</f>
        <v>1157.22</v>
      </c>
      <c r="M16">
        <f>1.2+8.8+4+14.25+4.9+4.9</f>
        <v>38.049999999999997</v>
      </c>
      <c r="N16">
        <v>0</v>
      </c>
      <c r="O16" t="s">
        <v>8</v>
      </c>
    </row>
    <row r="17" spans="4:15" x14ac:dyDescent="0.25">
      <c r="D17">
        <v>13</v>
      </c>
      <c r="E17" t="s">
        <v>18</v>
      </c>
      <c r="F17" t="s">
        <v>36</v>
      </c>
      <c r="G17" t="s">
        <v>6</v>
      </c>
      <c r="H17" t="s">
        <v>7</v>
      </c>
      <c r="I17">
        <f>2025-2009</f>
        <v>16</v>
      </c>
      <c r="J17" t="s">
        <v>427</v>
      </c>
      <c r="K17" t="s">
        <v>420</v>
      </c>
      <c r="L17">
        <f>200+55+80.5+200+46+82+46+84.15+46+48+84.15+96+48+48+46</f>
        <v>1209.8</v>
      </c>
      <c r="M17">
        <f>10.8+4.9+4.5</f>
        <v>20.200000000000003</v>
      </c>
      <c r="N17">
        <v>0</v>
      </c>
      <c r="O17" t="s">
        <v>10</v>
      </c>
    </row>
    <row r="18" spans="4:15" x14ac:dyDescent="0.25">
      <c r="D18">
        <v>14</v>
      </c>
      <c r="E18" t="s">
        <v>18</v>
      </c>
      <c r="F18" t="s">
        <v>35</v>
      </c>
      <c r="G18" t="s">
        <v>53</v>
      </c>
      <c r="H18" t="s">
        <v>7</v>
      </c>
      <c r="I18">
        <f>2025-2013</f>
        <v>12</v>
      </c>
      <c r="J18" t="s">
        <v>416</v>
      </c>
      <c r="K18" t="s">
        <v>412</v>
      </c>
      <c r="L18">
        <f>55+230+230+50+17.35+300</f>
        <v>882.35</v>
      </c>
      <c r="M18">
        <v>0</v>
      </c>
      <c r="N18">
        <v>0</v>
      </c>
      <c r="O18" t="s">
        <v>8</v>
      </c>
    </row>
    <row r="19" spans="4:15" x14ac:dyDescent="0.25">
      <c r="D19">
        <v>15</v>
      </c>
      <c r="E19" t="s">
        <v>19</v>
      </c>
      <c r="F19" t="s">
        <v>34</v>
      </c>
      <c r="G19" t="s">
        <v>16</v>
      </c>
      <c r="H19" t="s">
        <v>11</v>
      </c>
      <c r="I19">
        <v>3</v>
      </c>
      <c r="J19" t="s">
        <v>412</v>
      </c>
      <c r="L19">
        <f>75+67.5+75+41.5</f>
        <v>259</v>
      </c>
      <c r="M19">
        <v>0</v>
      </c>
      <c r="N19">
        <v>0</v>
      </c>
      <c r="O19" t="s">
        <v>14</v>
      </c>
    </row>
    <row r="20" spans="4:15" x14ac:dyDescent="0.25">
      <c r="D20">
        <v>16</v>
      </c>
      <c r="E20" t="s">
        <v>18</v>
      </c>
      <c r="F20" t="s">
        <v>33</v>
      </c>
      <c r="G20" t="s">
        <v>15</v>
      </c>
      <c r="H20" t="s">
        <v>11</v>
      </c>
      <c r="I20">
        <f>2025-2017</f>
        <v>8</v>
      </c>
      <c r="J20" t="s">
        <v>412</v>
      </c>
      <c r="L20">
        <f>55+200+200+200+200+200+300</f>
        <v>1355</v>
      </c>
      <c r="M20">
        <f>18.2</f>
        <v>18.2</v>
      </c>
      <c r="N20">
        <v>0</v>
      </c>
      <c r="O20" t="s">
        <v>10</v>
      </c>
    </row>
    <row r="21" spans="4:15" x14ac:dyDescent="0.25">
      <c r="D21">
        <v>17</v>
      </c>
      <c r="E21" t="s">
        <v>19</v>
      </c>
      <c r="F21" t="s">
        <v>32</v>
      </c>
      <c r="G21" t="s">
        <v>16</v>
      </c>
      <c r="H21" t="s">
        <v>11</v>
      </c>
      <c r="I21">
        <f>2025-2021</f>
        <v>4</v>
      </c>
      <c r="J21" t="s">
        <v>410</v>
      </c>
      <c r="L21">
        <f>100+55+10</f>
        <v>165</v>
      </c>
      <c r="M21">
        <v>0</v>
      </c>
      <c r="N21">
        <v>0</v>
      </c>
      <c r="O21" t="s">
        <v>8</v>
      </c>
    </row>
    <row r="22" spans="4:15" x14ac:dyDescent="0.25">
      <c r="D22">
        <v>18</v>
      </c>
      <c r="E22" t="s">
        <v>18</v>
      </c>
      <c r="F22" t="s">
        <v>31</v>
      </c>
      <c r="G22" t="s">
        <v>53</v>
      </c>
      <c r="H22" t="s">
        <v>7</v>
      </c>
      <c r="I22">
        <f>2025-2010</f>
        <v>15</v>
      </c>
      <c r="J22" t="s">
        <v>410</v>
      </c>
      <c r="L22">
        <f>230+55+230+144+25+230+25+144+144+70+144+300+144+79</f>
        <v>1964</v>
      </c>
      <c r="M22">
        <v>0</v>
      </c>
      <c r="N22">
        <v>0</v>
      </c>
      <c r="O22" t="s">
        <v>8</v>
      </c>
    </row>
    <row r="23" spans="4:15" x14ac:dyDescent="0.25">
      <c r="D23">
        <v>19</v>
      </c>
      <c r="E23" t="s">
        <v>18</v>
      </c>
      <c r="F23" t="s">
        <v>30</v>
      </c>
      <c r="G23" t="s">
        <v>20</v>
      </c>
      <c r="H23" t="s">
        <v>7</v>
      </c>
      <c r="I23">
        <f>2025-2020</f>
        <v>5</v>
      </c>
      <c r="J23" t="s">
        <v>412</v>
      </c>
      <c r="L23">
        <f>60+48+36+36+36+36+15.5+15.5+7.75+55+150+15.5</f>
        <v>511.25</v>
      </c>
      <c r="M23">
        <v>0</v>
      </c>
      <c r="N23">
        <v>0</v>
      </c>
      <c r="O23" t="s">
        <v>8</v>
      </c>
    </row>
    <row r="24" spans="4:15" x14ac:dyDescent="0.25">
      <c r="D24">
        <v>20</v>
      </c>
      <c r="E24" t="s">
        <v>19</v>
      </c>
      <c r="F24" t="s">
        <v>29</v>
      </c>
      <c r="G24" t="s">
        <v>16</v>
      </c>
      <c r="H24" t="s">
        <v>11</v>
      </c>
      <c r="I24">
        <f>2025-2012</f>
        <v>13</v>
      </c>
      <c r="L24">
        <f>35+100+100+100+125+28</f>
        <v>488</v>
      </c>
      <c r="M24">
        <v>0</v>
      </c>
      <c r="N24">
        <v>0</v>
      </c>
      <c r="O24" t="s">
        <v>8</v>
      </c>
    </row>
    <row r="25" spans="4:15" x14ac:dyDescent="0.25">
      <c r="D25">
        <v>21</v>
      </c>
      <c r="E25" t="s">
        <v>18</v>
      </c>
      <c r="F25" t="s">
        <v>28</v>
      </c>
      <c r="G25" t="s">
        <v>21</v>
      </c>
      <c r="H25" t="s">
        <v>11</v>
      </c>
      <c r="I25">
        <f>2025-2007</f>
        <v>18</v>
      </c>
      <c r="J25" t="s">
        <v>412</v>
      </c>
      <c r="K25" t="s">
        <v>410</v>
      </c>
      <c r="L25">
        <f>45+45+45+45+15.7+45+45+45+45+36+36+36+15.7+36+26+26+55</f>
        <v>642.4</v>
      </c>
      <c r="M25">
        <f>4.4+4.9+4+7.5+5+4.4+4</f>
        <v>34.200000000000003</v>
      </c>
      <c r="N25">
        <v>0</v>
      </c>
      <c r="O25" t="s">
        <v>8</v>
      </c>
    </row>
    <row r="26" spans="4:15" x14ac:dyDescent="0.25">
      <c r="D26">
        <v>22</v>
      </c>
      <c r="E26" t="s">
        <v>18</v>
      </c>
      <c r="F26" t="s">
        <v>27</v>
      </c>
      <c r="G26" t="s">
        <v>22</v>
      </c>
      <c r="H26" t="s">
        <v>11</v>
      </c>
      <c r="I26">
        <f>2025-2008</f>
        <v>17</v>
      </c>
      <c r="J26" t="s">
        <v>413</v>
      </c>
      <c r="L26">
        <f>26+120+55+100</f>
        <v>301</v>
      </c>
      <c r="M26">
        <f>2.5+4+4+4.1+4.65+4</f>
        <v>23.25</v>
      </c>
      <c r="N26">
        <v>0</v>
      </c>
      <c r="O26" t="s">
        <v>8</v>
      </c>
    </row>
    <row r="27" spans="4:15" x14ac:dyDescent="0.25">
      <c r="D27">
        <v>23</v>
      </c>
      <c r="E27" t="s">
        <v>18</v>
      </c>
      <c r="F27" t="s">
        <v>26</v>
      </c>
      <c r="G27" t="s">
        <v>23</v>
      </c>
      <c r="H27" t="s">
        <v>7</v>
      </c>
      <c r="I27">
        <f>2025-2018</f>
        <v>7</v>
      </c>
      <c r="J27" t="s">
        <v>412</v>
      </c>
      <c r="L27">
        <f>30+60+30+30+100+75+75+150+150+150+150+150+55+150</f>
        <v>1355</v>
      </c>
      <c r="M27">
        <v>5</v>
      </c>
      <c r="N27">
        <v>0</v>
      </c>
      <c r="O27" t="s">
        <v>8</v>
      </c>
    </row>
    <row r="28" spans="4:15" x14ac:dyDescent="0.25">
      <c r="D28">
        <v>24</v>
      </c>
      <c r="E28" t="s">
        <v>18</v>
      </c>
      <c r="F28" t="s">
        <v>25</v>
      </c>
      <c r="G28" t="s">
        <v>6</v>
      </c>
      <c r="H28" t="s">
        <v>7</v>
      </c>
      <c r="I28">
        <f>2025-2016</f>
        <v>9</v>
      </c>
      <c r="J28" t="s">
        <v>410</v>
      </c>
      <c r="L28">
        <f>55+25+20</f>
        <v>100</v>
      </c>
      <c r="M28">
        <v>8.5</v>
      </c>
      <c r="N28">
        <v>0</v>
      </c>
      <c r="O28" t="s">
        <v>10</v>
      </c>
    </row>
    <row r="29" spans="4:15" x14ac:dyDescent="0.25">
      <c r="D29">
        <v>25</v>
      </c>
      <c r="E29" t="s">
        <v>18</v>
      </c>
      <c r="F29" t="s">
        <v>47</v>
      </c>
      <c r="G29" t="s">
        <v>48</v>
      </c>
      <c r="H29" t="s">
        <v>7</v>
      </c>
      <c r="I29">
        <f>2025-2011</f>
        <v>14</v>
      </c>
      <c r="J29" t="s">
        <v>410</v>
      </c>
      <c r="L29">
        <f>230+55+230+300+300+300+300+300+29+300+300+300</f>
        <v>2944</v>
      </c>
      <c r="M29">
        <v>0</v>
      </c>
      <c r="N29">
        <v>0</v>
      </c>
      <c r="O29" t="s">
        <v>8</v>
      </c>
    </row>
    <row r="30" spans="4:15" x14ac:dyDescent="0.25">
      <c r="D30">
        <v>26</v>
      </c>
      <c r="E30" t="s">
        <v>18</v>
      </c>
      <c r="F30" t="s">
        <v>49</v>
      </c>
      <c r="G30" t="s">
        <v>23</v>
      </c>
      <c r="H30" t="s">
        <v>7</v>
      </c>
      <c r="I30">
        <f>2025-2014</f>
        <v>11</v>
      </c>
      <c r="J30" t="s">
        <v>412</v>
      </c>
      <c r="L30">
        <f>100+35</f>
        <v>135</v>
      </c>
      <c r="M30">
        <v>0</v>
      </c>
      <c r="N30">
        <v>0</v>
      </c>
      <c r="O30" t="s">
        <v>8</v>
      </c>
    </row>
    <row r="31" spans="4:15" x14ac:dyDescent="0.25">
      <c r="D31">
        <v>27</v>
      </c>
      <c r="E31" t="s">
        <v>18</v>
      </c>
      <c r="F31" t="s">
        <v>50</v>
      </c>
      <c r="G31" t="s">
        <v>51</v>
      </c>
      <c r="H31" t="s">
        <v>7</v>
      </c>
      <c r="I31">
        <f>2025-2012</f>
        <v>13</v>
      </c>
      <c r="J31" t="s">
        <v>426</v>
      </c>
      <c r="L31">
        <f>200+55+20.5+200</f>
        <v>475.5</v>
      </c>
      <c r="M31">
        <v>0</v>
      </c>
      <c r="N31">
        <v>0</v>
      </c>
      <c r="O31" t="s">
        <v>10</v>
      </c>
    </row>
    <row r="32" spans="4:15" x14ac:dyDescent="0.25">
      <c r="D32">
        <v>28</v>
      </c>
      <c r="E32" t="s">
        <v>18</v>
      </c>
      <c r="F32" t="s">
        <v>52</v>
      </c>
      <c r="G32" t="s">
        <v>216</v>
      </c>
      <c r="H32" t="s">
        <v>7</v>
      </c>
      <c r="I32">
        <f>2025-2014</f>
        <v>11</v>
      </c>
      <c r="J32" t="s">
        <v>410</v>
      </c>
      <c r="L32">
        <f>230+55</f>
        <v>285</v>
      </c>
      <c r="M32">
        <v>0</v>
      </c>
      <c r="N32">
        <v>0</v>
      </c>
      <c r="O32" t="s">
        <v>10</v>
      </c>
    </row>
    <row r="33" spans="4:15" x14ac:dyDescent="0.25">
      <c r="D33">
        <v>29</v>
      </c>
      <c r="E33" t="s">
        <v>18</v>
      </c>
      <c r="F33" t="s">
        <v>55</v>
      </c>
      <c r="G33" t="s">
        <v>6</v>
      </c>
      <c r="H33" t="s">
        <v>11</v>
      </c>
      <c r="I33">
        <f>2025-2022</f>
        <v>3</v>
      </c>
      <c r="J33" t="s">
        <v>421</v>
      </c>
      <c r="L33">
        <f>55+100+100+150</f>
        <v>405</v>
      </c>
      <c r="M33">
        <f>4+4+3.5+4.1</f>
        <v>15.6</v>
      </c>
      <c r="N33">
        <v>0</v>
      </c>
      <c r="O33" t="s">
        <v>8</v>
      </c>
    </row>
    <row r="34" spans="4:15" x14ac:dyDescent="0.25">
      <c r="D34">
        <v>30</v>
      </c>
      <c r="E34" t="s">
        <v>18</v>
      </c>
      <c r="F34" t="s">
        <v>56</v>
      </c>
      <c r="G34" t="s">
        <v>57</v>
      </c>
      <c r="H34" t="s">
        <v>7</v>
      </c>
      <c r="I34">
        <f>2025-2014</f>
        <v>11</v>
      </c>
      <c r="J34" t="s">
        <v>410</v>
      </c>
      <c r="L34">
        <f>90+52+110+52</f>
        <v>304</v>
      </c>
      <c r="M34">
        <v>4</v>
      </c>
      <c r="N34">
        <v>0</v>
      </c>
      <c r="O34" t="s">
        <v>10</v>
      </c>
    </row>
    <row r="35" spans="4:15" x14ac:dyDescent="0.25">
      <c r="D35">
        <v>31</v>
      </c>
      <c r="E35" t="s">
        <v>18</v>
      </c>
      <c r="F35" t="s">
        <v>58</v>
      </c>
      <c r="G35" t="s">
        <v>57</v>
      </c>
      <c r="H35" t="s">
        <v>11</v>
      </c>
      <c r="I35">
        <f>2025-2013</f>
        <v>12</v>
      </c>
      <c r="J35" t="s">
        <v>418</v>
      </c>
      <c r="L35">
        <f>90+90</f>
        <v>180</v>
      </c>
      <c r="M35">
        <v>0</v>
      </c>
      <c r="N35">
        <v>0</v>
      </c>
      <c r="O35" t="s">
        <v>10</v>
      </c>
    </row>
    <row r="36" spans="4:15" x14ac:dyDescent="0.25">
      <c r="D36">
        <v>32</v>
      </c>
      <c r="E36" t="s">
        <v>18</v>
      </c>
      <c r="F36" t="s">
        <v>59</v>
      </c>
      <c r="G36" t="s">
        <v>6</v>
      </c>
      <c r="H36" t="s">
        <v>7</v>
      </c>
      <c r="I36">
        <f>2025-2016</f>
        <v>9</v>
      </c>
      <c r="J36" t="s">
        <v>426</v>
      </c>
      <c r="L36">
        <f>200+55</f>
        <v>255</v>
      </c>
      <c r="M36">
        <f>4.25+4.65</f>
        <v>8.9</v>
      </c>
      <c r="N36">
        <v>0</v>
      </c>
      <c r="O36" t="s">
        <v>10</v>
      </c>
    </row>
    <row r="37" spans="4:15" x14ac:dyDescent="0.25">
      <c r="D37">
        <v>33</v>
      </c>
      <c r="E37" t="s">
        <v>18</v>
      </c>
      <c r="F37" t="s">
        <v>422</v>
      </c>
      <c r="G37" t="s">
        <v>60</v>
      </c>
      <c r="H37" t="s">
        <v>7</v>
      </c>
      <c r="I37">
        <f>2025-2013</f>
        <v>12</v>
      </c>
      <c r="J37" t="s">
        <v>417</v>
      </c>
      <c r="L37">
        <f>100+55+16+150+23+150+60+150+25</f>
        <v>729</v>
      </c>
      <c r="M37">
        <v>0</v>
      </c>
      <c r="N37">
        <v>0</v>
      </c>
      <c r="O37" t="s">
        <v>8</v>
      </c>
    </row>
    <row r="38" spans="4:15" x14ac:dyDescent="0.25">
      <c r="D38">
        <v>34</v>
      </c>
      <c r="E38" t="s">
        <v>18</v>
      </c>
      <c r="F38" t="s">
        <v>61</v>
      </c>
      <c r="G38" t="s">
        <v>62</v>
      </c>
      <c r="H38" t="s">
        <v>11</v>
      </c>
      <c r="I38">
        <f>2025-2019</f>
        <v>6</v>
      </c>
      <c r="J38" t="s">
        <v>412</v>
      </c>
      <c r="L38">
        <f>150+55+150+17.35+150+130+100</f>
        <v>752.35</v>
      </c>
      <c r="M38">
        <v>0</v>
      </c>
      <c r="N38">
        <v>0</v>
      </c>
      <c r="O38" t="s">
        <v>8</v>
      </c>
    </row>
    <row r="39" spans="4:15" x14ac:dyDescent="0.25">
      <c r="D39">
        <v>35</v>
      </c>
      <c r="E39" t="s">
        <v>19</v>
      </c>
      <c r="F39" t="s">
        <v>63</v>
      </c>
      <c r="G39" t="s">
        <v>64</v>
      </c>
      <c r="H39" t="s">
        <v>7</v>
      </c>
      <c r="I39">
        <f>2025-2009</f>
        <v>16</v>
      </c>
      <c r="J39" t="s">
        <v>412</v>
      </c>
      <c r="L39">
        <f>150+55+150+150+150+28+28+28+40</f>
        <v>779</v>
      </c>
      <c r="M39">
        <v>0</v>
      </c>
      <c r="N39">
        <v>0</v>
      </c>
      <c r="O39" t="s">
        <v>10</v>
      </c>
    </row>
    <row r="40" spans="4:15" x14ac:dyDescent="0.25">
      <c r="D40">
        <v>36</v>
      </c>
      <c r="E40" t="s">
        <v>18</v>
      </c>
      <c r="F40" t="s">
        <v>65</v>
      </c>
      <c r="G40" t="s">
        <v>62</v>
      </c>
      <c r="H40" t="s">
        <v>7</v>
      </c>
      <c r="I40">
        <v>5</v>
      </c>
      <c r="J40" t="s">
        <v>418</v>
      </c>
      <c r="L40">
        <f>150+55</f>
        <v>205</v>
      </c>
      <c r="M40">
        <v>0</v>
      </c>
      <c r="N40">
        <v>0</v>
      </c>
      <c r="O40" t="s">
        <v>8</v>
      </c>
    </row>
    <row r="41" spans="4:15" x14ac:dyDescent="0.25">
      <c r="D41">
        <v>37</v>
      </c>
      <c r="E41" t="s">
        <v>18</v>
      </c>
      <c r="F41" t="s">
        <v>66</v>
      </c>
      <c r="G41" t="s">
        <v>67</v>
      </c>
      <c r="H41" t="s">
        <v>7</v>
      </c>
      <c r="I41">
        <f>2025-2011</f>
        <v>14</v>
      </c>
      <c r="J41" t="s">
        <v>410</v>
      </c>
      <c r="K41" t="s">
        <v>413</v>
      </c>
      <c r="L41">
        <f>60+60+60+120+60+60+120+120+96+70+48+70+55+230</f>
        <v>1229</v>
      </c>
      <c r="M41">
        <v>0</v>
      </c>
      <c r="N41">
        <v>0</v>
      </c>
      <c r="O41" t="s">
        <v>8</v>
      </c>
    </row>
    <row r="42" spans="4:15" x14ac:dyDescent="0.25">
      <c r="D42">
        <v>38</v>
      </c>
      <c r="E42" t="s">
        <v>18</v>
      </c>
      <c r="F42" t="s">
        <v>68</v>
      </c>
      <c r="G42" t="s">
        <v>6</v>
      </c>
      <c r="H42" t="s">
        <v>11</v>
      </c>
      <c r="I42">
        <f>2025-2013</f>
        <v>12</v>
      </c>
      <c r="J42" t="s">
        <v>426</v>
      </c>
      <c r="L42">
        <v>90</v>
      </c>
      <c r="M42">
        <v>4</v>
      </c>
      <c r="N42">
        <v>0</v>
      </c>
      <c r="O42" t="s">
        <v>10</v>
      </c>
    </row>
    <row r="43" spans="4:15" x14ac:dyDescent="0.25">
      <c r="D43">
        <v>39</v>
      </c>
      <c r="E43" t="s">
        <v>18</v>
      </c>
      <c r="F43" t="s">
        <v>69</v>
      </c>
      <c r="G43" t="s">
        <v>70</v>
      </c>
      <c r="H43" t="s">
        <v>11</v>
      </c>
      <c r="I43">
        <f>2025-2008</f>
        <v>17</v>
      </c>
      <c r="J43" t="s">
        <v>426</v>
      </c>
      <c r="L43">
        <v>55</v>
      </c>
      <c r="M43">
        <v>0</v>
      </c>
      <c r="N43">
        <v>0</v>
      </c>
      <c r="O43" t="s">
        <v>10</v>
      </c>
    </row>
    <row r="44" spans="4:15" x14ac:dyDescent="0.25">
      <c r="D44">
        <v>40</v>
      </c>
      <c r="E44" t="s">
        <v>18</v>
      </c>
      <c r="F44" t="s">
        <v>71</v>
      </c>
      <c r="G44" t="s">
        <v>53</v>
      </c>
      <c r="H44" t="s">
        <v>7</v>
      </c>
      <c r="I44">
        <f>2025-2018</f>
        <v>7</v>
      </c>
      <c r="J44" t="s">
        <v>426</v>
      </c>
      <c r="L44">
        <v>70</v>
      </c>
      <c r="M44">
        <v>0</v>
      </c>
      <c r="N44">
        <v>0</v>
      </c>
      <c r="O44" t="s">
        <v>8</v>
      </c>
    </row>
    <row r="45" spans="4:15" x14ac:dyDescent="0.25">
      <c r="D45">
        <v>41</v>
      </c>
      <c r="E45" t="s">
        <v>18</v>
      </c>
      <c r="F45" t="s">
        <v>72</v>
      </c>
      <c r="G45" t="s">
        <v>73</v>
      </c>
      <c r="H45" t="s">
        <v>11</v>
      </c>
      <c r="I45">
        <f>2025-2022</f>
        <v>3</v>
      </c>
      <c r="J45" t="s">
        <v>416</v>
      </c>
      <c r="L45">
        <f>300+200+55+200</f>
        <v>755</v>
      </c>
      <c r="M45">
        <v>0</v>
      </c>
      <c r="N45">
        <v>0</v>
      </c>
      <c r="O45" t="s">
        <v>10</v>
      </c>
    </row>
    <row r="46" spans="4:15" x14ac:dyDescent="0.25">
      <c r="D46">
        <v>42</v>
      </c>
      <c r="E46" t="s">
        <v>18</v>
      </c>
      <c r="F46" t="s">
        <v>74</v>
      </c>
      <c r="G46" t="s">
        <v>6</v>
      </c>
      <c r="H46" t="s">
        <v>7</v>
      </c>
      <c r="I46">
        <f>2025-2007</f>
        <v>18</v>
      </c>
      <c r="J46" t="s">
        <v>410</v>
      </c>
      <c r="L46">
        <f>35+100+100+29.22</f>
        <v>264.22000000000003</v>
      </c>
      <c r="M46">
        <f>7.5+2.5+2.5+4.4+4.4+4+5.5+9.86+9+25+9+8+4+4+11.2+4+8+4+4+2.4+5.6</f>
        <v>138.86000000000001</v>
      </c>
      <c r="N46">
        <v>0</v>
      </c>
      <c r="O46" t="s">
        <v>10</v>
      </c>
    </row>
    <row r="47" spans="4:15" x14ac:dyDescent="0.25">
      <c r="D47">
        <v>43</v>
      </c>
      <c r="E47" t="s">
        <v>18</v>
      </c>
      <c r="F47" t="s">
        <v>75</v>
      </c>
      <c r="G47" t="s">
        <v>15</v>
      </c>
      <c r="H47" t="s">
        <v>11</v>
      </c>
      <c r="I47">
        <f>2025-2014</f>
        <v>11</v>
      </c>
      <c r="J47" t="s">
        <v>413</v>
      </c>
      <c r="L47">
        <f>35+55</f>
        <v>90</v>
      </c>
      <c r="M47">
        <v>4</v>
      </c>
      <c r="N47">
        <v>0</v>
      </c>
      <c r="O47" t="s">
        <v>10</v>
      </c>
    </row>
    <row r="48" spans="4:15" x14ac:dyDescent="0.25">
      <c r="D48">
        <v>44</v>
      </c>
      <c r="E48" t="s">
        <v>18</v>
      </c>
      <c r="F48" t="s">
        <v>40</v>
      </c>
      <c r="G48" t="s">
        <v>6</v>
      </c>
      <c r="H48" t="s">
        <v>7</v>
      </c>
      <c r="I48">
        <f>2025-2017</f>
        <v>8</v>
      </c>
      <c r="J48" t="s">
        <v>418</v>
      </c>
      <c r="L48">
        <v>55</v>
      </c>
      <c r="M48">
        <v>0</v>
      </c>
      <c r="N48">
        <v>0</v>
      </c>
      <c r="O48" t="s">
        <v>10</v>
      </c>
    </row>
    <row r="49" spans="4:15" x14ac:dyDescent="0.25">
      <c r="D49">
        <v>45</v>
      </c>
      <c r="E49" t="s">
        <v>18</v>
      </c>
      <c r="F49" t="s">
        <v>76</v>
      </c>
      <c r="G49" t="s">
        <v>77</v>
      </c>
      <c r="H49" t="s">
        <v>7</v>
      </c>
      <c r="I49">
        <f>2025-2013</f>
        <v>12</v>
      </c>
      <c r="J49" t="s">
        <v>410</v>
      </c>
      <c r="L49">
        <f>90+90+90+90+90+90+90+90+90+90+90+90+90+90+90+90+70+70+70+70+70+70+230+230+55</f>
        <v>2375</v>
      </c>
      <c r="M49">
        <v>0</v>
      </c>
      <c r="N49">
        <v>0</v>
      </c>
      <c r="O49" t="s">
        <v>8</v>
      </c>
    </row>
    <row r="50" spans="4:15" x14ac:dyDescent="0.25">
      <c r="D50">
        <v>46</v>
      </c>
      <c r="E50" t="s">
        <v>18</v>
      </c>
      <c r="F50" t="s">
        <v>78</v>
      </c>
      <c r="G50" t="s">
        <v>62</v>
      </c>
      <c r="H50" t="s">
        <v>7</v>
      </c>
      <c r="I50">
        <v>6</v>
      </c>
      <c r="J50" t="s">
        <v>412</v>
      </c>
      <c r="L50">
        <f>100+130+150+17.35+150+55+150</f>
        <v>752.35</v>
      </c>
      <c r="M50">
        <v>0</v>
      </c>
      <c r="N50">
        <v>0</v>
      </c>
      <c r="O50" t="s">
        <v>8</v>
      </c>
    </row>
    <row r="51" spans="4:15" x14ac:dyDescent="0.25">
      <c r="D51">
        <v>47</v>
      </c>
      <c r="E51" t="s">
        <v>19</v>
      </c>
      <c r="F51" t="s">
        <v>79</v>
      </c>
      <c r="G51" t="s">
        <v>16</v>
      </c>
      <c r="H51" t="s">
        <v>11</v>
      </c>
      <c r="I51">
        <f>2025-2019</f>
        <v>6</v>
      </c>
      <c r="L51">
        <f>125+100+50+35+10+100</f>
        <v>420</v>
      </c>
      <c r="M51">
        <v>6.6</v>
      </c>
      <c r="N51">
        <v>0</v>
      </c>
      <c r="O51" t="s">
        <v>8</v>
      </c>
    </row>
    <row r="52" spans="4:15" x14ac:dyDescent="0.25">
      <c r="D52">
        <v>48</v>
      </c>
      <c r="E52" t="s">
        <v>18</v>
      </c>
      <c r="F52" t="s">
        <v>80</v>
      </c>
      <c r="G52" t="s">
        <v>81</v>
      </c>
      <c r="H52" t="s">
        <v>7</v>
      </c>
      <c r="I52">
        <f>2025-2022</f>
        <v>3</v>
      </c>
      <c r="J52" t="s">
        <v>416</v>
      </c>
      <c r="L52">
        <f>(30*6)+55</f>
        <v>235</v>
      </c>
      <c r="M52">
        <v>0</v>
      </c>
      <c r="N52">
        <v>0</v>
      </c>
      <c r="O52" t="s">
        <v>10</v>
      </c>
    </row>
    <row r="53" spans="4:15" x14ac:dyDescent="0.25">
      <c r="D53">
        <v>49</v>
      </c>
      <c r="E53" t="s">
        <v>18</v>
      </c>
      <c r="F53" t="s">
        <v>82</v>
      </c>
      <c r="G53" t="s">
        <v>23</v>
      </c>
      <c r="H53" t="s">
        <v>7</v>
      </c>
      <c r="I53">
        <f>2025-2016</f>
        <v>9</v>
      </c>
      <c r="J53" t="s">
        <v>412</v>
      </c>
      <c r="L53">
        <f>100+200+23+23</f>
        <v>346</v>
      </c>
      <c r="M53">
        <v>0</v>
      </c>
      <c r="N53">
        <v>0</v>
      </c>
      <c r="O53" t="s">
        <v>8</v>
      </c>
    </row>
    <row r="54" spans="4:15" x14ac:dyDescent="0.25">
      <c r="D54">
        <v>50</v>
      </c>
      <c r="E54" t="s">
        <v>18</v>
      </c>
      <c r="F54" t="s">
        <v>36</v>
      </c>
      <c r="G54" t="s">
        <v>6</v>
      </c>
      <c r="H54" t="s">
        <v>7</v>
      </c>
      <c r="I54">
        <f>2025-2015</f>
        <v>10</v>
      </c>
      <c r="J54" t="s">
        <v>417</v>
      </c>
      <c r="L54">
        <f>45+60+60+40+55</f>
        <v>260</v>
      </c>
      <c r="M54">
        <v>0</v>
      </c>
      <c r="N54">
        <v>0</v>
      </c>
      <c r="O54" t="s">
        <v>8</v>
      </c>
    </row>
    <row r="55" spans="4:15" x14ac:dyDescent="0.25">
      <c r="D55">
        <v>51</v>
      </c>
      <c r="E55" t="s">
        <v>18</v>
      </c>
      <c r="F55" t="s">
        <v>83</v>
      </c>
      <c r="G55" t="s">
        <v>6</v>
      </c>
      <c r="H55" t="s">
        <v>11</v>
      </c>
      <c r="I55">
        <f>2025-2012</f>
        <v>13</v>
      </c>
      <c r="J55" t="s">
        <v>410</v>
      </c>
      <c r="L55">
        <f>60+60+60+96+48+55</f>
        <v>379</v>
      </c>
      <c r="M55">
        <v>0</v>
      </c>
      <c r="N55">
        <v>0</v>
      </c>
      <c r="O55" t="s">
        <v>8</v>
      </c>
    </row>
    <row r="56" spans="4:15" x14ac:dyDescent="0.25">
      <c r="D56">
        <v>52</v>
      </c>
      <c r="E56" t="s">
        <v>18</v>
      </c>
      <c r="F56" t="s">
        <v>84</v>
      </c>
      <c r="G56" t="s">
        <v>23</v>
      </c>
      <c r="H56" t="s">
        <v>7</v>
      </c>
      <c r="I56">
        <v>10</v>
      </c>
      <c r="J56" t="s">
        <v>412</v>
      </c>
      <c r="L56">
        <f>45+60+200+24+4.5+60+200+150+23+55</f>
        <v>821.5</v>
      </c>
      <c r="M56">
        <f>13.8+6.9</f>
        <v>20.700000000000003</v>
      </c>
      <c r="N56">
        <v>0</v>
      </c>
      <c r="O56" t="s">
        <v>10</v>
      </c>
    </row>
    <row r="57" spans="4:15" x14ac:dyDescent="0.25">
      <c r="D57">
        <v>53</v>
      </c>
      <c r="E57" t="s">
        <v>18</v>
      </c>
      <c r="F57" t="s">
        <v>85</v>
      </c>
      <c r="G57" t="s">
        <v>6</v>
      </c>
      <c r="H57" t="s">
        <v>7</v>
      </c>
      <c r="I57">
        <f>2025-2018</f>
        <v>7</v>
      </c>
      <c r="J57" t="s">
        <v>416</v>
      </c>
      <c r="L57">
        <f>300+144+300+300+200+144+300+208+144</f>
        <v>2040</v>
      </c>
      <c r="M57">
        <v>0</v>
      </c>
      <c r="N57">
        <v>0</v>
      </c>
      <c r="O57" t="s">
        <v>10</v>
      </c>
    </row>
    <row r="58" spans="4:15" x14ac:dyDescent="0.25">
      <c r="D58">
        <v>54</v>
      </c>
      <c r="E58" t="s">
        <v>18</v>
      </c>
      <c r="F58" t="s">
        <v>86</v>
      </c>
      <c r="G58" t="s">
        <v>21</v>
      </c>
      <c r="H58" t="s">
        <v>11</v>
      </c>
      <c r="I58">
        <f>2025-2013</f>
        <v>12</v>
      </c>
      <c r="J58" t="s">
        <v>412</v>
      </c>
      <c r="L58">
        <f>300+300+300+300+300+50+50+230+300+55+200</f>
        <v>2385</v>
      </c>
      <c r="M58">
        <f>4</f>
        <v>4</v>
      </c>
      <c r="N58">
        <v>0</v>
      </c>
      <c r="O58" t="s">
        <v>8</v>
      </c>
    </row>
    <row r="59" spans="4:15" x14ac:dyDescent="0.25">
      <c r="D59">
        <v>55</v>
      </c>
      <c r="E59" t="s">
        <v>18</v>
      </c>
      <c r="F59" t="s">
        <v>87</v>
      </c>
      <c r="G59" t="s">
        <v>6</v>
      </c>
      <c r="H59" t="s">
        <v>11</v>
      </c>
      <c r="I59">
        <f>2025-2012</f>
        <v>13</v>
      </c>
      <c r="J59" t="s">
        <v>412</v>
      </c>
      <c r="L59">
        <f>150+55+17.35+23+17.35+14.25+12</f>
        <v>288.95</v>
      </c>
      <c r="M59">
        <v>0</v>
      </c>
      <c r="N59">
        <v>0</v>
      </c>
      <c r="O59" t="s">
        <v>8</v>
      </c>
    </row>
    <row r="60" spans="4:15" x14ac:dyDescent="0.25">
      <c r="D60">
        <v>56</v>
      </c>
      <c r="E60" t="s">
        <v>18</v>
      </c>
      <c r="F60" t="s">
        <v>88</v>
      </c>
      <c r="G60" t="s">
        <v>23</v>
      </c>
      <c r="H60" t="s">
        <v>7</v>
      </c>
      <c r="I60">
        <f>2025-2019</f>
        <v>6</v>
      </c>
      <c r="J60" t="s">
        <v>412</v>
      </c>
      <c r="L60">
        <f>48+48+36+55</f>
        <v>187</v>
      </c>
      <c r="M60">
        <v>0</v>
      </c>
      <c r="N60">
        <v>0</v>
      </c>
      <c r="O60" t="s">
        <v>8</v>
      </c>
    </row>
    <row r="61" spans="4:15" x14ac:dyDescent="0.25">
      <c r="D61">
        <v>57</v>
      </c>
      <c r="E61" t="s">
        <v>18</v>
      </c>
      <c r="F61" t="s">
        <v>89</v>
      </c>
      <c r="G61" t="s">
        <v>53</v>
      </c>
      <c r="H61" t="s">
        <v>11</v>
      </c>
      <c r="I61">
        <f>2025-2019</f>
        <v>6</v>
      </c>
      <c r="J61" t="s">
        <v>416</v>
      </c>
      <c r="L61">
        <f>300+230+55</f>
        <v>585</v>
      </c>
      <c r="M61">
        <v>0</v>
      </c>
      <c r="N61">
        <v>0</v>
      </c>
      <c r="O61" t="s">
        <v>8</v>
      </c>
    </row>
    <row r="62" spans="4:15" x14ac:dyDescent="0.25">
      <c r="D62">
        <v>58</v>
      </c>
      <c r="E62" t="s">
        <v>18</v>
      </c>
      <c r="F62" t="s">
        <v>34</v>
      </c>
      <c r="G62" t="s">
        <v>22</v>
      </c>
      <c r="H62" t="s">
        <v>11</v>
      </c>
      <c r="I62">
        <f>2025-2012</f>
        <v>13</v>
      </c>
      <c r="J62" t="s">
        <v>418</v>
      </c>
      <c r="L62">
        <f>55+26+26+70+36+200</f>
        <v>413</v>
      </c>
      <c r="M62">
        <f>4+4+4</f>
        <v>12</v>
      </c>
      <c r="N62">
        <v>0</v>
      </c>
      <c r="O62" t="s">
        <v>8</v>
      </c>
    </row>
    <row r="63" spans="4:15" x14ac:dyDescent="0.25">
      <c r="D63">
        <v>59</v>
      </c>
      <c r="E63" t="s">
        <v>19</v>
      </c>
      <c r="F63" t="s">
        <v>90</v>
      </c>
      <c r="G63" t="s">
        <v>16</v>
      </c>
      <c r="H63" t="s">
        <v>7</v>
      </c>
      <c r="I63">
        <f>2025-2015</f>
        <v>10</v>
      </c>
      <c r="L63">
        <v>35</v>
      </c>
      <c r="M63">
        <v>0</v>
      </c>
      <c r="N63">
        <v>0</v>
      </c>
      <c r="O63" t="s">
        <v>8</v>
      </c>
    </row>
    <row r="64" spans="4:15" x14ac:dyDescent="0.25">
      <c r="D64">
        <v>60</v>
      </c>
      <c r="E64" t="s">
        <v>18</v>
      </c>
      <c r="F64" t="s">
        <v>91</v>
      </c>
      <c r="G64" t="s">
        <v>53</v>
      </c>
      <c r="H64" t="s">
        <v>11</v>
      </c>
      <c r="I64">
        <f>2025-2022</f>
        <v>3</v>
      </c>
      <c r="J64" t="s">
        <v>416</v>
      </c>
      <c r="L64">
        <v>70</v>
      </c>
      <c r="M64">
        <v>0</v>
      </c>
      <c r="N64">
        <v>0</v>
      </c>
      <c r="O64" t="s">
        <v>10</v>
      </c>
    </row>
    <row r="65" spans="4:15" x14ac:dyDescent="0.25">
      <c r="D65">
        <v>61</v>
      </c>
      <c r="E65" t="s">
        <v>18</v>
      </c>
      <c r="F65" t="s">
        <v>92</v>
      </c>
      <c r="G65" t="s">
        <v>93</v>
      </c>
      <c r="H65" t="s">
        <v>11</v>
      </c>
      <c r="I65">
        <f>2025-2012</f>
        <v>13</v>
      </c>
      <c r="J65" t="s">
        <v>413</v>
      </c>
      <c r="L65">
        <f>225+70</f>
        <v>295</v>
      </c>
      <c r="M65">
        <v>49.9</v>
      </c>
      <c r="N65">
        <v>0</v>
      </c>
      <c r="O65" t="s">
        <v>8</v>
      </c>
    </row>
    <row r="66" spans="4:15" x14ac:dyDescent="0.25">
      <c r="D66">
        <v>62</v>
      </c>
      <c r="E66" t="s">
        <v>18</v>
      </c>
      <c r="F66" t="s">
        <v>36</v>
      </c>
      <c r="G66" t="s">
        <v>6</v>
      </c>
      <c r="H66" t="s">
        <v>7</v>
      </c>
      <c r="I66">
        <f>2025-2011</f>
        <v>14</v>
      </c>
      <c r="J66" t="s">
        <v>410</v>
      </c>
      <c r="L66">
        <f>20+20+20+17.4+28+125+40+200</f>
        <v>470.4</v>
      </c>
      <c r="M66">
        <f>10.55+3.3+4</f>
        <v>17.850000000000001</v>
      </c>
      <c r="N66">
        <v>0</v>
      </c>
      <c r="O66" t="s">
        <v>8</v>
      </c>
    </row>
    <row r="67" spans="4:15" x14ac:dyDescent="0.25">
      <c r="D67">
        <v>63</v>
      </c>
      <c r="E67" t="s">
        <v>19</v>
      </c>
      <c r="F67" t="s">
        <v>94</v>
      </c>
      <c r="G67" t="s">
        <v>16</v>
      </c>
      <c r="H67" t="s">
        <v>11</v>
      </c>
      <c r="I67">
        <f>2025-2014</f>
        <v>11</v>
      </c>
      <c r="L67">
        <v>31.5</v>
      </c>
      <c r="M67">
        <v>17.25</v>
      </c>
      <c r="N67">
        <v>0</v>
      </c>
      <c r="O67" t="s">
        <v>8</v>
      </c>
    </row>
    <row r="68" spans="4:15" x14ac:dyDescent="0.25">
      <c r="D68">
        <v>64</v>
      </c>
      <c r="E68" t="s">
        <v>18</v>
      </c>
      <c r="F68" t="s">
        <v>96</v>
      </c>
      <c r="G68" t="s">
        <v>95</v>
      </c>
      <c r="H68" t="s">
        <v>11</v>
      </c>
      <c r="I68">
        <f>2025-2016</f>
        <v>9</v>
      </c>
      <c r="J68" t="s">
        <v>413</v>
      </c>
      <c r="L68">
        <f>225*3</f>
        <v>675</v>
      </c>
      <c r="M68">
        <v>0</v>
      </c>
      <c r="N68">
        <v>0</v>
      </c>
      <c r="O68" t="s">
        <v>8</v>
      </c>
    </row>
    <row r="69" spans="4:15" x14ac:dyDescent="0.25">
      <c r="D69">
        <v>65</v>
      </c>
      <c r="E69" t="s">
        <v>18</v>
      </c>
      <c r="F69" t="s">
        <v>97</v>
      </c>
      <c r="G69" t="s">
        <v>98</v>
      </c>
      <c r="H69" t="s">
        <v>7</v>
      </c>
      <c r="I69">
        <f>2025-2015</f>
        <v>10</v>
      </c>
      <c r="L69">
        <v>30</v>
      </c>
      <c r="M69">
        <v>0</v>
      </c>
      <c r="N69">
        <v>0</v>
      </c>
      <c r="O69" t="s">
        <v>8</v>
      </c>
    </row>
    <row r="70" spans="4:15" x14ac:dyDescent="0.25">
      <c r="D70">
        <v>66</v>
      </c>
      <c r="E70" t="s">
        <v>18</v>
      </c>
      <c r="F70" t="s">
        <v>99</v>
      </c>
      <c r="G70" t="s">
        <v>93</v>
      </c>
      <c r="H70" t="s">
        <v>7</v>
      </c>
      <c r="I70">
        <f>2025-2019</f>
        <v>6</v>
      </c>
      <c r="J70" t="s">
        <v>413</v>
      </c>
      <c r="L70">
        <f>75+75+60+75+75+450+450+29.22+70+450</f>
        <v>1809.22</v>
      </c>
      <c r="M70">
        <f>24.25+25.5+4+4.08+35.5</f>
        <v>93.33</v>
      </c>
      <c r="N70">
        <v>0</v>
      </c>
      <c r="O70" t="s">
        <v>8</v>
      </c>
    </row>
    <row r="71" spans="4:15" x14ac:dyDescent="0.25">
      <c r="D71">
        <v>67</v>
      </c>
      <c r="E71" t="s">
        <v>18</v>
      </c>
      <c r="F71" t="s">
        <v>100</v>
      </c>
      <c r="G71" t="s">
        <v>95</v>
      </c>
      <c r="H71" t="s">
        <v>11</v>
      </c>
      <c r="I71">
        <f>2025-2019</f>
        <v>6</v>
      </c>
      <c r="J71" t="s">
        <v>413</v>
      </c>
      <c r="L71">
        <f>60+73+60+300+70+17.4</f>
        <v>580.4</v>
      </c>
      <c r="M71">
        <v>0</v>
      </c>
      <c r="N71">
        <v>0</v>
      </c>
      <c r="O71" t="s">
        <v>8</v>
      </c>
    </row>
    <row r="72" spans="4:15" x14ac:dyDescent="0.25">
      <c r="D72">
        <v>68</v>
      </c>
      <c r="E72" t="s">
        <v>18</v>
      </c>
      <c r="F72" t="s">
        <v>101</v>
      </c>
      <c r="G72" t="s">
        <v>62</v>
      </c>
      <c r="H72" t="s">
        <v>7</v>
      </c>
      <c r="I72">
        <f>2025-2018</f>
        <v>7</v>
      </c>
      <c r="J72" t="s">
        <v>412</v>
      </c>
      <c r="L72">
        <f>45+45+45+70</f>
        <v>205</v>
      </c>
      <c r="M72">
        <v>0</v>
      </c>
      <c r="N72">
        <v>0</v>
      </c>
      <c r="O72" t="s">
        <v>8</v>
      </c>
    </row>
    <row r="73" spans="4:15" x14ac:dyDescent="0.25">
      <c r="D73">
        <v>69</v>
      </c>
      <c r="E73" t="s">
        <v>18</v>
      </c>
      <c r="F73" t="s">
        <v>102</v>
      </c>
      <c r="G73" t="s">
        <v>9</v>
      </c>
      <c r="H73" t="s">
        <v>7</v>
      </c>
      <c r="I73">
        <f>2025-2013</f>
        <v>12</v>
      </c>
      <c r="J73" t="s">
        <v>410</v>
      </c>
      <c r="L73">
        <f>45+45+45+60+60+60+60+60+300+50</f>
        <v>785</v>
      </c>
      <c r="M73">
        <v>0</v>
      </c>
      <c r="N73">
        <v>0</v>
      </c>
      <c r="O73" t="s">
        <v>8</v>
      </c>
    </row>
    <row r="74" spans="4:15" x14ac:dyDescent="0.25">
      <c r="D74">
        <v>70</v>
      </c>
      <c r="E74" t="s">
        <v>18</v>
      </c>
      <c r="F74" t="s">
        <v>103</v>
      </c>
      <c r="G74" t="s">
        <v>104</v>
      </c>
      <c r="H74" t="s">
        <v>11</v>
      </c>
      <c r="I74">
        <f>2025-2012</f>
        <v>13</v>
      </c>
      <c r="J74" t="s">
        <v>417</v>
      </c>
      <c r="L74">
        <v>0</v>
      </c>
      <c r="M74">
        <v>6</v>
      </c>
      <c r="N74">
        <v>0</v>
      </c>
      <c r="O74" t="s">
        <v>10</v>
      </c>
    </row>
    <row r="75" spans="4:15" x14ac:dyDescent="0.25">
      <c r="D75">
        <v>71</v>
      </c>
      <c r="E75" t="s">
        <v>18</v>
      </c>
      <c r="F75" t="s">
        <v>89</v>
      </c>
      <c r="G75" t="s">
        <v>9</v>
      </c>
      <c r="H75" t="s">
        <v>11</v>
      </c>
      <c r="I75">
        <f>2025-2020</f>
        <v>5</v>
      </c>
      <c r="J75" t="s">
        <v>412</v>
      </c>
      <c r="L75">
        <f>150+45+70</f>
        <v>265</v>
      </c>
      <c r="M75">
        <v>0</v>
      </c>
      <c r="O75" t="s">
        <v>8</v>
      </c>
    </row>
    <row r="76" spans="4:15" x14ac:dyDescent="0.25">
      <c r="D76">
        <v>72</v>
      </c>
      <c r="E76" t="s">
        <v>18</v>
      </c>
      <c r="F76" t="s">
        <v>105</v>
      </c>
      <c r="G76" t="s">
        <v>6</v>
      </c>
      <c r="H76" t="s">
        <v>11</v>
      </c>
      <c r="I76">
        <f>2025-2013</f>
        <v>12</v>
      </c>
      <c r="J76" t="s">
        <v>410</v>
      </c>
      <c r="L76">
        <f>60+45+17.4+60</f>
        <v>182.4</v>
      </c>
      <c r="M76">
        <v>0</v>
      </c>
      <c r="O76" t="s">
        <v>10</v>
      </c>
    </row>
    <row r="77" spans="4:15" x14ac:dyDescent="0.25">
      <c r="D77">
        <v>73</v>
      </c>
      <c r="E77" t="s">
        <v>18</v>
      </c>
      <c r="F77" t="s">
        <v>106</v>
      </c>
      <c r="G77" t="s">
        <v>15</v>
      </c>
      <c r="H77" t="s">
        <v>11</v>
      </c>
      <c r="I77">
        <f>2025-2019</f>
        <v>6</v>
      </c>
      <c r="J77" t="s">
        <v>423</v>
      </c>
      <c r="L77">
        <v>60</v>
      </c>
      <c r="M77">
        <v>0</v>
      </c>
      <c r="O77" t="s">
        <v>10</v>
      </c>
    </row>
    <row r="78" spans="4:15" x14ac:dyDescent="0.25">
      <c r="D78">
        <v>74</v>
      </c>
      <c r="E78" t="s">
        <v>18</v>
      </c>
      <c r="F78" t="s">
        <v>107</v>
      </c>
      <c r="G78" t="s">
        <v>23</v>
      </c>
      <c r="H78" t="s">
        <v>11</v>
      </c>
      <c r="I78">
        <f>2025-2021</f>
        <v>4</v>
      </c>
      <c r="J78" t="s">
        <v>412</v>
      </c>
      <c r="L78">
        <f>8.7+8.3+8.7+225+70</f>
        <v>320.7</v>
      </c>
      <c r="M78">
        <v>19.7</v>
      </c>
      <c r="O78" t="s">
        <v>8</v>
      </c>
    </row>
    <row r="79" spans="4:15" x14ac:dyDescent="0.25">
      <c r="D79">
        <v>75</v>
      </c>
      <c r="E79" t="s">
        <v>19</v>
      </c>
      <c r="F79" t="s">
        <v>108</v>
      </c>
      <c r="G79" t="s">
        <v>64</v>
      </c>
      <c r="H79" t="s">
        <v>11</v>
      </c>
      <c r="I79">
        <f>2025-2013</f>
        <v>12</v>
      </c>
      <c r="J79" t="s">
        <v>412</v>
      </c>
      <c r="L79">
        <v>300</v>
      </c>
      <c r="M79">
        <v>5</v>
      </c>
      <c r="O79" t="s">
        <v>8</v>
      </c>
    </row>
    <row r="80" spans="4:15" x14ac:dyDescent="0.25">
      <c r="D80">
        <v>76</v>
      </c>
      <c r="E80" t="s">
        <v>18</v>
      </c>
      <c r="F80" t="s">
        <v>110</v>
      </c>
      <c r="G80" t="s">
        <v>109</v>
      </c>
      <c r="H80" t="s">
        <v>7</v>
      </c>
      <c r="I80">
        <v>10</v>
      </c>
      <c r="J80" t="s">
        <v>416</v>
      </c>
      <c r="L80">
        <f>225+90+225</f>
        <v>540</v>
      </c>
      <c r="M80">
        <v>0</v>
      </c>
      <c r="O80" t="s">
        <v>8</v>
      </c>
    </row>
    <row r="81" spans="4:15" x14ac:dyDescent="0.25">
      <c r="D81">
        <v>77</v>
      </c>
      <c r="E81" t="s">
        <v>18</v>
      </c>
      <c r="F81" t="s">
        <v>111</v>
      </c>
      <c r="G81" t="s">
        <v>60</v>
      </c>
      <c r="H81" t="s">
        <v>7</v>
      </c>
      <c r="I81">
        <f>2025-2011</f>
        <v>14</v>
      </c>
      <c r="J81" t="s">
        <v>413</v>
      </c>
      <c r="L81">
        <f>(30*26)+16.58+17.4+300+70</f>
        <v>1183.98</v>
      </c>
      <c r="M81">
        <v>0</v>
      </c>
      <c r="O81" t="s">
        <v>8</v>
      </c>
    </row>
    <row r="82" spans="4:15" x14ac:dyDescent="0.25">
      <c r="D82">
        <v>78</v>
      </c>
      <c r="E82" t="s">
        <v>18</v>
      </c>
      <c r="F82" t="s">
        <v>112</v>
      </c>
      <c r="G82" t="s">
        <v>6</v>
      </c>
      <c r="H82" t="s">
        <v>7</v>
      </c>
      <c r="I82">
        <f>2025-2017</f>
        <v>8</v>
      </c>
      <c r="J82" t="s">
        <v>410</v>
      </c>
      <c r="L82">
        <f>40.8+17.4+450+17.4+70</f>
        <v>595.6</v>
      </c>
      <c r="M82">
        <f>25.5</f>
        <v>25.5</v>
      </c>
      <c r="O82" t="s">
        <v>8</v>
      </c>
    </row>
    <row r="83" spans="4:15" x14ac:dyDescent="0.25">
      <c r="D83">
        <v>79</v>
      </c>
      <c r="E83" t="s">
        <v>18</v>
      </c>
      <c r="F83" t="s">
        <v>113</v>
      </c>
      <c r="G83" t="s">
        <v>114</v>
      </c>
      <c r="H83" t="s">
        <v>11</v>
      </c>
      <c r="I83">
        <f>2025-2014</f>
        <v>11</v>
      </c>
      <c r="J83" t="s">
        <v>418</v>
      </c>
      <c r="L83">
        <f>60+30+30+30</f>
        <v>150</v>
      </c>
      <c r="M83">
        <v>0</v>
      </c>
      <c r="O83" t="s">
        <v>8</v>
      </c>
    </row>
    <row r="84" spans="4:15" x14ac:dyDescent="0.25">
      <c r="D84">
        <v>80</v>
      </c>
      <c r="E84" t="s">
        <v>18</v>
      </c>
      <c r="F84" t="s">
        <v>115</v>
      </c>
      <c r="G84" t="s">
        <v>116</v>
      </c>
      <c r="H84" t="s">
        <v>7</v>
      </c>
      <c r="I84">
        <f>2025-2010</f>
        <v>15</v>
      </c>
      <c r="J84" t="s">
        <v>410</v>
      </c>
      <c r="L84">
        <v>70</v>
      </c>
      <c r="M84">
        <v>0</v>
      </c>
      <c r="O84" t="s">
        <v>8</v>
      </c>
    </row>
    <row r="85" spans="4:15" x14ac:dyDescent="0.25">
      <c r="D85">
        <v>81</v>
      </c>
      <c r="E85" t="s">
        <v>18</v>
      </c>
      <c r="F85" t="s">
        <v>89</v>
      </c>
      <c r="G85" t="s">
        <v>117</v>
      </c>
      <c r="H85" t="s">
        <v>11</v>
      </c>
      <c r="I85">
        <f>2025-2011</f>
        <v>14</v>
      </c>
      <c r="J85" t="s">
        <v>410</v>
      </c>
      <c r="L85">
        <f>45+300+45+300</f>
        <v>690</v>
      </c>
      <c r="M85">
        <v>0</v>
      </c>
      <c r="O85" t="s">
        <v>8</v>
      </c>
    </row>
    <row r="86" spans="4:15" x14ac:dyDescent="0.25">
      <c r="D86">
        <v>82</v>
      </c>
      <c r="E86" t="s">
        <v>18</v>
      </c>
      <c r="F86" t="s">
        <v>118</v>
      </c>
      <c r="G86" t="s">
        <v>23</v>
      </c>
      <c r="H86" t="s">
        <v>7</v>
      </c>
      <c r="I86">
        <f>2025-2018</f>
        <v>7</v>
      </c>
      <c r="J86" t="s">
        <v>412</v>
      </c>
      <c r="L86">
        <f>150+150+150+150+150+150+150+150+150</f>
        <v>1350</v>
      </c>
      <c r="M86">
        <f>3.3+3.3+3.3+2+3.3+2+2+3.3+3.3</f>
        <v>25.8</v>
      </c>
      <c r="O86" t="s">
        <v>8</v>
      </c>
    </row>
    <row r="87" spans="4:15" x14ac:dyDescent="0.25">
      <c r="D87">
        <v>83</v>
      </c>
      <c r="E87" t="s">
        <v>18</v>
      </c>
      <c r="F87" t="s">
        <v>119</v>
      </c>
      <c r="G87" t="s">
        <v>6</v>
      </c>
      <c r="H87" t="s">
        <v>11</v>
      </c>
      <c r="I87">
        <f>2025-2010</f>
        <v>15</v>
      </c>
      <c r="J87" t="s">
        <v>410</v>
      </c>
      <c r="L87">
        <f>30+19.8+32.65+30+30+60</f>
        <v>202.45</v>
      </c>
      <c r="M87">
        <v>12</v>
      </c>
      <c r="O87" t="s">
        <v>8</v>
      </c>
    </row>
    <row r="88" spans="4:15" x14ac:dyDescent="0.25">
      <c r="D88">
        <v>84</v>
      </c>
      <c r="E88" t="s">
        <v>18</v>
      </c>
      <c r="F88" t="s">
        <v>120</v>
      </c>
      <c r="G88" t="s">
        <v>6</v>
      </c>
      <c r="H88" t="s">
        <v>7</v>
      </c>
      <c r="I88">
        <f>2025-2010</f>
        <v>15</v>
      </c>
      <c r="J88" t="s">
        <v>412</v>
      </c>
      <c r="L88">
        <f>60+29.22+60+60+60+29.22+60+60+90+8.7+180</f>
        <v>697.1400000000001</v>
      </c>
      <c r="M88">
        <v>0</v>
      </c>
      <c r="O88" t="s">
        <v>10</v>
      </c>
    </row>
    <row r="89" spans="4:15" x14ac:dyDescent="0.25">
      <c r="D89">
        <v>85</v>
      </c>
      <c r="E89" t="s">
        <v>18</v>
      </c>
      <c r="F89" t="s">
        <v>43</v>
      </c>
      <c r="G89" t="s">
        <v>6</v>
      </c>
      <c r="H89" t="s">
        <v>7</v>
      </c>
      <c r="I89">
        <f>2025-2014</f>
        <v>11</v>
      </c>
      <c r="J89" t="s">
        <v>427</v>
      </c>
      <c r="L89">
        <f>60+150</f>
        <v>210</v>
      </c>
      <c r="M89">
        <v>0</v>
      </c>
      <c r="O89" t="s">
        <v>8</v>
      </c>
    </row>
    <row r="90" spans="4:15" x14ac:dyDescent="0.25">
      <c r="D90">
        <v>86</v>
      </c>
      <c r="E90" t="s">
        <v>18</v>
      </c>
      <c r="F90" t="s">
        <v>121</v>
      </c>
      <c r="G90" t="s">
        <v>15</v>
      </c>
      <c r="H90" t="s">
        <v>11</v>
      </c>
      <c r="I90">
        <f>2025-2021</f>
        <v>4</v>
      </c>
      <c r="J90" t="s">
        <v>423</v>
      </c>
      <c r="L90">
        <f>120+80+40</f>
        <v>240</v>
      </c>
      <c r="M90">
        <v>0</v>
      </c>
      <c r="O90" t="s">
        <v>8</v>
      </c>
    </row>
    <row r="91" spans="4:15" x14ac:dyDescent="0.25">
      <c r="D91">
        <v>87</v>
      </c>
      <c r="E91" t="s">
        <v>18</v>
      </c>
      <c r="F91" t="s">
        <v>122</v>
      </c>
      <c r="G91" t="s">
        <v>93</v>
      </c>
      <c r="H91" t="s">
        <v>11</v>
      </c>
      <c r="I91">
        <f>2025-2009</f>
        <v>16</v>
      </c>
      <c r="J91" t="s">
        <v>416</v>
      </c>
      <c r="L91">
        <f>134+300+67+300+201+134+450+450+264+360+124+23+450+70+450+124</f>
        <v>3901</v>
      </c>
      <c r="M91">
        <v>0</v>
      </c>
      <c r="O91" t="s">
        <v>8</v>
      </c>
    </row>
    <row r="92" spans="4:15" x14ac:dyDescent="0.25">
      <c r="D92">
        <v>88</v>
      </c>
      <c r="E92" t="s">
        <v>18</v>
      </c>
      <c r="F92" t="s">
        <v>123</v>
      </c>
      <c r="G92" t="s">
        <v>6</v>
      </c>
      <c r="H92" t="s">
        <v>11</v>
      </c>
      <c r="I92">
        <f>2025-2008</f>
        <v>17</v>
      </c>
      <c r="J92" t="s">
        <v>410</v>
      </c>
      <c r="L92">
        <f>300+17.4+450+70+24.84</f>
        <v>862.24</v>
      </c>
      <c r="M92">
        <f>2.2+6.9+5+19.6+4.9</f>
        <v>38.6</v>
      </c>
      <c r="O92" t="s">
        <v>8</v>
      </c>
    </row>
    <row r="93" spans="4:15" x14ac:dyDescent="0.25">
      <c r="D93">
        <v>89</v>
      </c>
      <c r="E93" t="s">
        <v>18</v>
      </c>
      <c r="F93" t="s">
        <v>124</v>
      </c>
      <c r="G93" t="s">
        <v>125</v>
      </c>
      <c r="H93" t="s">
        <v>11</v>
      </c>
      <c r="I93">
        <f>2025-2020</f>
        <v>5</v>
      </c>
      <c r="J93" t="s">
        <v>410</v>
      </c>
      <c r="L93">
        <v>60</v>
      </c>
      <c r="M93">
        <v>0</v>
      </c>
      <c r="O93" t="s">
        <v>10</v>
      </c>
    </row>
    <row r="94" spans="4:15" x14ac:dyDescent="0.25">
      <c r="D94">
        <v>90</v>
      </c>
      <c r="E94" t="s">
        <v>18</v>
      </c>
      <c r="F94" t="s">
        <v>126</v>
      </c>
      <c r="G94" t="s">
        <v>127</v>
      </c>
      <c r="H94" t="s">
        <v>11</v>
      </c>
      <c r="I94">
        <f>2025-2022</f>
        <v>3</v>
      </c>
      <c r="J94" t="s">
        <v>418</v>
      </c>
      <c r="L94">
        <v>70</v>
      </c>
      <c r="M94">
        <v>0</v>
      </c>
      <c r="O94" t="s">
        <v>10</v>
      </c>
    </row>
    <row r="95" spans="4:15" x14ac:dyDescent="0.25">
      <c r="D95">
        <v>91</v>
      </c>
      <c r="E95" t="s">
        <v>18</v>
      </c>
      <c r="F95" t="s">
        <v>128</v>
      </c>
      <c r="G95" t="s">
        <v>6</v>
      </c>
      <c r="H95" t="s">
        <v>7</v>
      </c>
      <c r="I95">
        <f>2025-2015</f>
        <v>10</v>
      </c>
      <c r="J95" t="s">
        <v>413</v>
      </c>
      <c r="L95">
        <f>3+45+300+300</f>
        <v>648</v>
      </c>
      <c r="M95">
        <v>0</v>
      </c>
      <c r="O95" t="s">
        <v>10</v>
      </c>
    </row>
    <row r="96" spans="4:15" x14ac:dyDescent="0.25">
      <c r="D96">
        <v>92</v>
      </c>
      <c r="E96" t="s">
        <v>18</v>
      </c>
      <c r="F96" t="s">
        <v>129</v>
      </c>
      <c r="G96" t="s">
        <v>6</v>
      </c>
      <c r="H96" t="s">
        <v>11</v>
      </c>
      <c r="I96">
        <f>2025-2010</f>
        <v>15</v>
      </c>
      <c r="J96" t="s">
        <v>426</v>
      </c>
      <c r="L96">
        <f>17.4*2</f>
        <v>34.799999999999997</v>
      </c>
      <c r="M96">
        <v>0</v>
      </c>
      <c r="O96" t="s">
        <v>8</v>
      </c>
    </row>
    <row r="97" spans="4:15" x14ac:dyDescent="0.25">
      <c r="D97">
        <v>93</v>
      </c>
      <c r="E97" t="s">
        <v>18</v>
      </c>
      <c r="F97" t="s">
        <v>130</v>
      </c>
      <c r="G97" t="s">
        <v>12</v>
      </c>
      <c r="H97" t="s">
        <v>11</v>
      </c>
      <c r="I97">
        <f>2025-2011</f>
        <v>14</v>
      </c>
      <c r="J97" t="s">
        <v>410</v>
      </c>
      <c r="L97">
        <f>30+30+30+30+70</f>
        <v>190</v>
      </c>
      <c r="M97">
        <f>2.2+2+3.3</f>
        <v>7.5</v>
      </c>
      <c r="O97" t="s">
        <v>8</v>
      </c>
    </row>
    <row r="98" spans="4:15" x14ac:dyDescent="0.25">
      <c r="D98">
        <v>94</v>
      </c>
      <c r="E98" t="s">
        <v>18</v>
      </c>
      <c r="F98" t="s">
        <v>131</v>
      </c>
      <c r="G98" t="s">
        <v>6</v>
      </c>
      <c r="H98" t="s">
        <v>11</v>
      </c>
      <c r="I98">
        <f>2025-2015</f>
        <v>10</v>
      </c>
      <c r="J98" t="s">
        <v>412</v>
      </c>
      <c r="L98">
        <f>360+70</f>
        <v>430</v>
      </c>
      <c r="M98">
        <v>0</v>
      </c>
      <c r="O98" t="s">
        <v>8</v>
      </c>
    </row>
    <row r="99" spans="4:15" x14ac:dyDescent="0.25">
      <c r="D99">
        <v>95</v>
      </c>
      <c r="E99" t="s">
        <v>18</v>
      </c>
      <c r="F99" t="s">
        <v>132</v>
      </c>
      <c r="G99" t="s">
        <v>6</v>
      </c>
      <c r="H99" t="s">
        <v>11</v>
      </c>
      <c r="I99">
        <f>2025-2014</f>
        <v>11</v>
      </c>
      <c r="J99" t="s">
        <v>410</v>
      </c>
      <c r="L99">
        <f>180+300</f>
        <v>480</v>
      </c>
      <c r="M99">
        <v>0</v>
      </c>
      <c r="O99" t="s">
        <v>8</v>
      </c>
    </row>
    <row r="100" spans="4:15" x14ac:dyDescent="0.25">
      <c r="D100">
        <v>96</v>
      </c>
      <c r="E100" t="s">
        <v>18</v>
      </c>
      <c r="F100" t="s">
        <v>41</v>
      </c>
      <c r="G100" t="s">
        <v>133</v>
      </c>
      <c r="H100" t="s">
        <v>11</v>
      </c>
      <c r="I100">
        <f>2025-2017</f>
        <v>8</v>
      </c>
      <c r="J100" t="s">
        <v>412</v>
      </c>
      <c r="L100">
        <f>240+70</f>
        <v>310</v>
      </c>
      <c r="M100">
        <v>0</v>
      </c>
      <c r="O100" t="s">
        <v>8</v>
      </c>
    </row>
    <row r="101" spans="4:15" x14ac:dyDescent="0.25">
      <c r="D101">
        <v>97</v>
      </c>
      <c r="E101" t="s">
        <v>18</v>
      </c>
      <c r="F101" t="s">
        <v>134</v>
      </c>
      <c r="G101" t="s">
        <v>54</v>
      </c>
      <c r="H101" t="s">
        <v>11</v>
      </c>
      <c r="I101">
        <f>2025-2013</f>
        <v>12</v>
      </c>
      <c r="J101" t="s">
        <v>413</v>
      </c>
      <c r="L101">
        <f>16.58+36+17.4+70+450</f>
        <v>589.98</v>
      </c>
      <c r="M101">
        <v>0</v>
      </c>
      <c r="O101" t="s">
        <v>10</v>
      </c>
    </row>
    <row r="102" spans="4:15" x14ac:dyDescent="0.25">
      <c r="D102">
        <v>98</v>
      </c>
      <c r="E102" t="s">
        <v>18</v>
      </c>
      <c r="F102" t="s">
        <v>135</v>
      </c>
      <c r="G102" t="s">
        <v>6</v>
      </c>
      <c r="H102" t="s">
        <v>11</v>
      </c>
      <c r="I102">
        <f>2025-2015</f>
        <v>10</v>
      </c>
      <c r="J102" t="s">
        <v>412</v>
      </c>
      <c r="L102">
        <f>300+70+300+60+45+4+45+30+45+45</f>
        <v>944</v>
      </c>
      <c r="M102">
        <v>0</v>
      </c>
      <c r="O102" t="s">
        <v>8</v>
      </c>
    </row>
    <row r="103" spans="4:15" x14ac:dyDescent="0.25">
      <c r="D103">
        <v>99</v>
      </c>
      <c r="E103" t="s">
        <v>18</v>
      </c>
      <c r="F103" t="s">
        <v>136</v>
      </c>
      <c r="G103" t="s">
        <v>6</v>
      </c>
      <c r="H103" t="s">
        <v>7</v>
      </c>
      <c r="I103">
        <f>2025-2009</f>
        <v>16</v>
      </c>
      <c r="J103" t="s">
        <v>410</v>
      </c>
      <c r="L103">
        <f>450+70</f>
        <v>520</v>
      </c>
      <c r="M103">
        <v>4.4000000000000004</v>
      </c>
      <c r="O103" t="s">
        <v>8</v>
      </c>
    </row>
    <row r="104" spans="4:15" x14ac:dyDescent="0.25">
      <c r="D104">
        <v>100</v>
      </c>
      <c r="E104" t="s">
        <v>18</v>
      </c>
      <c r="F104" t="s">
        <v>137</v>
      </c>
      <c r="G104" t="s">
        <v>114</v>
      </c>
      <c r="H104" t="s">
        <v>11</v>
      </c>
      <c r="I104">
        <f>2025-2022</f>
        <v>3</v>
      </c>
      <c r="J104" t="s">
        <v>418</v>
      </c>
      <c r="L104">
        <v>70</v>
      </c>
      <c r="M104">
        <v>0</v>
      </c>
      <c r="O104" t="s">
        <v>8</v>
      </c>
    </row>
    <row r="105" spans="4:15" x14ac:dyDescent="0.25">
      <c r="D105">
        <v>101</v>
      </c>
      <c r="E105" t="s">
        <v>18</v>
      </c>
      <c r="F105" t="s">
        <v>138</v>
      </c>
      <c r="G105" t="s">
        <v>133</v>
      </c>
      <c r="H105" t="s">
        <v>7</v>
      </c>
      <c r="I105">
        <f>2025-2011</f>
        <v>14</v>
      </c>
      <c r="J105" t="s">
        <v>412</v>
      </c>
      <c r="L105">
        <f>150+300+70</f>
        <v>520</v>
      </c>
      <c r="M105">
        <v>5</v>
      </c>
      <c r="O105" t="s">
        <v>8</v>
      </c>
    </row>
    <row r="106" spans="4:15" x14ac:dyDescent="0.25">
      <c r="D106">
        <v>102</v>
      </c>
      <c r="E106" t="s">
        <v>19</v>
      </c>
      <c r="F106" t="s">
        <v>139</v>
      </c>
      <c r="G106" t="s">
        <v>140</v>
      </c>
      <c r="H106" t="s">
        <v>11</v>
      </c>
      <c r="I106">
        <f>2025-2021</f>
        <v>4</v>
      </c>
      <c r="L106">
        <f>225+225+70</f>
        <v>520</v>
      </c>
      <c r="M106">
        <v>0</v>
      </c>
      <c r="O106" t="s">
        <v>8</v>
      </c>
    </row>
    <row r="107" spans="4:15" x14ac:dyDescent="0.25">
      <c r="D107">
        <v>103</v>
      </c>
      <c r="E107" t="s">
        <v>18</v>
      </c>
      <c r="F107" t="s">
        <v>141</v>
      </c>
      <c r="G107" t="s">
        <v>6</v>
      </c>
      <c r="H107" t="s">
        <v>7</v>
      </c>
      <c r="I107">
        <f>2025-2018</f>
        <v>7</v>
      </c>
      <c r="J107" t="s">
        <v>413</v>
      </c>
      <c r="L107">
        <v>300</v>
      </c>
      <c r="M107">
        <v>0</v>
      </c>
      <c r="O107" t="s">
        <v>8</v>
      </c>
    </row>
    <row r="108" spans="4:15" x14ac:dyDescent="0.25">
      <c r="D108">
        <v>104</v>
      </c>
      <c r="E108" t="s">
        <v>18</v>
      </c>
      <c r="F108" t="s">
        <v>142</v>
      </c>
      <c r="G108" t="s">
        <v>15</v>
      </c>
      <c r="H108" t="s">
        <v>7</v>
      </c>
      <c r="I108">
        <v>5</v>
      </c>
      <c r="J108" t="s">
        <v>423</v>
      </c>
      <c r="L108">
        <v>48.7</v>
      </c>
      <c r="M108">
        <v>0</v>
      </c>
      <c r="O108" t="s">
        <v>10</v>
      </c>
    </row>
    <row r="109" spans="4:15" x14ac:dyDescent="0.25">
      <c r="D109">
        <v>105</v>
      </c>
      <c r="E109" t="s">
        <v>18</v>
      </c>
      <c r="F109" t="s">
        <v>143</v>
      </c>
      <c r="G109" t="s">
        <v>6</v>
      </c>
      <c r="H109" t="s">
        <v>7</v>
      </c>
      <c r="I109">
        <f>2025-2012</f>
        <v>13</v>
      </c>
      <c r="J109" t="s">
        <v>412</v>
      </c>
      <c r="L109">
        <f>70+300+150+30</f>
        <v>550</v>
      </c>
      <c r="M109">
        <v>0</v>
      </c>
      <c r="O109" t="s">
        <v>8</v>
      </c>
    </row>
    <row r="110" spans="4:15" x14ac:dyDescent="0.25">
      <c r="D110">
        <v>106</v>
      </c>
      <c r="E110" t="s">
        <v>18</v>
      </c>
      <c r="F110" t="s">
        <v>144</v>
      </c>
      <c r="G110" t="s">
        <v>6</v>
      </c>
      <c r="H110" t="s">
        <v>11</v>
      </c>
      <c r="I110">
        <f>2025-2012</f>
        <v>13</v>
      </c>
      <c r="J110" t="s">
        <v>410</v>
      </c>
      <c r="L110">
        <v>120</v>
      </c>
      <c r="M110">
        <v>0</v>
      </c>
      <c r="O110" t="s">
        <v>10</v>
      </c>
    </row>
    <row r="111" spans="4:15" x14ac:dyDescent="0.25">
      <c r="D111">
        <v>107</v>
      </c>
      <c r="E111" t="s">
        <v>18</v>
      </c>
      <c r="F111" t="s">
        <v>145</v>
      </c>
      <c r="G111" t="s">
        <v>117</v>
      </c>
      <c r="H111" t="s">
        <v>11</v>
      </c>
      <c r="I111">
        <f>2025-2023</f>
        <v>2</v>
      </c>
      <c r="J111" t="s">
        <v>423</v>
      </c>
      <c r="L111">
        <f>150+60</f>
        <v>210</v>
      </c>
      <c r="M111">
        <v>0</v>
      </c>
      <c r="O111" t="s">
        <v>10</v>
      </c>
    </row>
    <row r="112" spans="4:15" x14ac:dyDescent="0.25">
      <c r="D112">
        <v>108</v>
      </c>
      <c r="E112" t="s">
        <v>18</v>
      </c>
      <c r="F112" t="s">
        <v>146</v>
      </c>
      <c r="G112" t="s">
        <v>133</v>
      </c>
      <c r="H112" t="s">
        <v>11</v>
      </c>
      <c r="I112">
        <f>2025-2014</f>
        <v>11</v>
      </c>
      <c r="J112" t="s">
        <v>412</v>
      </c>
      <c r="L112">
        <f>150+70</f>
        <v>220</v>
      </c>
      <c r="M112">
        <v>0</v>
      </c>
      <c r="O112" t="s">
        <v>8</v>
      </c>
    </row>
    <row r="113" spans="4:15" x14ac:dyDescent="0.25">
      <c r="D113">
        <v>109</v>
      </c>
      <c r="E113" t="s">
        <v>18</v>
      </c>
      <c r="F113" t="s">
        <v>147</v>
      </c>
      <c r="G113" t="s">
        <v>53</v>
      </c>
      <c r="H113" t="s">
        <v>11</v>
      </c>
      <c r="I113">
        <f>2025-2014</f>
        <v>11</v>
      </c>
      <c r="J113" t="s">
        <v>412</v>
      </c>
      <c r="L113">
        <f>(60*6)+45+45+25+25+300+70</f>
        <v>870</v>
      </c>
      <c r="M113">
        <v>0</v>
      </c>
      <c r="O113" t="s">
        <v>8</v>
      </c>
    </row>
    <row r="114" spans="4:15" x14ac:dyDescent="0.25">
      <c r="D114">
        <v>110</v>
      </c>
      <c r="E114" t="s">
        <v>18</v>
      </c>
      <c r="F114" t="s">
        <v>148</v>
      </c>
      <c r="G114" t="s">
        <v>15</v>
      </c>
      <c r="H114" t="s">
        <v>11</v>
      </c>
      <c r="I114">
        <f>2025-2021</f>
        <v>4</v>
      </c>
      <c r="J114" t="s">
        <v>417</v>
      </c>
      <c r="L114">
        <f>70</f>
        <v>70</v>
      </c>
      <c r="M114">
        <v>0</v>
      </c>
      <c r="O114" t="s">
        <v>8</v>
      </c>
    </row>
    <row r="115" spans="4:15" x14ac:dyDescent="0.25">
      <c r="D115">
        <v>111</v>
      </c>
      <c r="E115" t="s">
        <v>18</v>
      </c>
      <c r="F115" t="s">
        <v>149</v>
      </c>
      <c r="G115" t="s">
        <v>116</v>
      </c>
      <c r="H115" t="s">
        <v>7</v>
      </c>
      <c r="I115">
        <f>2025-2011</f>
        <v>14</v>
      </c>
      <c r="J115" t="s">
        <v>410</v>
      </c>
      <c r="L115">
        <f>300+46+72+300+67+67+67+300+67+67+46+67+124+100+124+300+67+67</f>
        <v>2248</v>
      </c>
      <c r="M115">
        <v>0</v>
      </c>
      <c r="O115" t="s">
        <v>8</v>
      </c>
    </row>
    <row r="116" spans="4:15" x14ac:dyDescent="0.25">
      <c r="D116">
        <v>112</v>
      </c>
      <c r="E116" t="s">
        <v>18</v>
      </c>
      <c r="F116" t="s">
        <v>150</v>
      </c>
      <c r="G116" t="s">
        <v>6</v>
      </c>
      <c r="H116" t="s">
        <v>11</v>
      </c>
      <c r="I116">
        <f>2025-2018</f>
        <v>7</v>
      </c>
      <c r="J116" t="s">
        <v>412</v>
      </c>
      <c r="L116">
        <v>225</v>
      </c>
      <c r="M116">
        <v>0</v>
      </c>
      <c r="O116" t="s">
        <v>8</v>
      </c>
    </row>
    <row r="117" spans="4:15" x14ac:dyDescent="0.25">
      <c r="D117">
        <v>113</v>
      </c>
      <c r="E117" t="s">
        <v>18</v>
      </c>
      <c r="F117" t="s">
        <v>151</v>
      </c>
      <c r="G117" t="s">
        <v>6</v>
      </c>
      <c r="H117" t="s">
        <v>7</v>
      </c>
      <c r="I117">
        <f>2023-2013</f>
        <v>10</v>
      </c>
      <c r="J117" t="s">
        <v>413</v>
      </c>
      <c r="L117">
        <f>60+60+60+70</f>
        <v>250</v>
      </c>
      <c r="M117">
        <v>4</v>
      </c>
      <c r="O117" t="s">
        <v>8</v>
      </c>
    </row>
    <row r="118" spans="4:15" x14ac:dyDescent="0.25">
      <c r="D118">
        <v>114</v>
      </c>
      <c r="E118" t="s">
        <v>18</v>
      </c>
      <c r="F118" t="s">
        <v>152</v>
      </c>
      <c r="G118" t="s">
        <v>133</v>
      </c>
      <c r="H118" t="s">
        <v>11</v>
      </c>
      <c r="I118">
        <f>2025-2011</f>
        <v>14</v>
      </c>
      <c r="J118" t="s">
        <v>418</v>
      </c>
      <c r="L118">
        <f>150+30+30+17.4+17.4+30+8</f>
        <v>282.8</v>
      </c>
      <c r="M118">
        <f>2.5+39.9+2.5</f>
        <v>44.9</v>
      </c>
      <c r="O118" t="s">
        <v>8</v>
      </c>
    </row>
    <row r="119" spans="4:15" x14ac:dyDescent="0.25">
      <c r="D119">
        <v>115</v>
      </c>
      <c r="E119" t="s">
        <v>18</v>
      </c>
      <c r="F119" t="s">
        <v>153</v>
      </c>
      <c r="G119" t="s">
        <v>6</v>
      </c>
      <c r="H119" t="s">
        <v>11</v>
      </c>
      <c r="I119">
        <f>2025-2019</f>
        <v>6</v>
      </c>
      <c r="J119" t="s">
        <v>427</v>
      </c>
      <c r="L119">
        <v>70</v>
      </c>
      <c r="M119">
        <v>0</v>
      </c>
      <c r="O119" t="s">
        <v>8</v>
      </c>
    </row>
    <row r="120" spans="4:15" x14ac:dyDescent="0.25">
      <c r="D120">
        <v>116</v>
      </c>
      <c r="E120" t="s">
        <v>18</v>
      </c>
      <c r="F120" t="s">
        <v>154</v>
      </c>
      <c r="G120" t="s">
        <v>155</v>
      </c>
      <c r="H120" t="s">
        <v>7</v>
      </c>
      <c r="I120">
        <f>2025-2018</f>
        <v>7</v>
      </c>
      <c r="J120" t="s">
        <v>412</v>
      </c>
      <c r="L120">
        <v>220</v>
      </c>
      <c r="M120">
        <v>0</v>
      </c>
      <c r="O120" t="s">
        <v>8</v>
      </c>
    </row>
    <row r="121" spans="4:15" x14ac:dyDescent="0.25">
      <c r="D121">
        <v>117</v>
      </c>
      <c r="E121" t="s">
        <v>18</v>
      </c>
      <c r="F121" t="s">
        <v>156</v>
      </c>
      <c r="G121" t="s">
        <v>9</v>
      </c>
      <c r="H121" t="s">
        <v>7</v>
      </c>
      <c r="I121">
        <f>2025-2013</f>
        <v>12</v>
      </c>
      <c r="J121" t="s">
        <v>418</v>
      </c>
      <c r="L121">
        <f>30+45+300</f>
        <v>375</v>
      </c>
      <c r="M121">
        <v>0</v>
      </c>
      <c r="O121" t="s">
        <v>8</v>
      </c>
    </row>
    <row r="122" spans="4:15" x14ac:dyDescent="0.25">
      <c r="D122">
        <v>118</v>
      </c>
      <c r="E122" t="s">
        <v>18</v>
      </c>
      <c r="F122" t="s">
        <v>41</v>
      </c>
      <c r="G122" t="s">
        <v>53</v>
      </c>
      <c r="H122" t="s">
        <v>11</v>
      </c>
      <c r="I122">
        <f>2025-2011</f>
        <v>14</v>
      </c>
      <c r="J122" t="s">
        <v>410</v>
      </c>
      <c r="L122">
        <f>67+300+124+450</f>
        <v>941</v>
      </c>
      <c r="M122">
        <v>0</v>
      </c>
      <c r="O122" t="s">
        <v>8</v>
      </c>
    </row>
    <row r="123" spans="4:15" x14ac:dyDescent="0.25">
      <c r="D123">
        <v>119</v>
      </c>
      <c r="E123" t="s">
        <v>18</v>
      </c>
      <c r="F123" t="s">
        <v>157</v>
      </c>
      <c r="G123" t="s">
        <v>6</v>
      </c>
      <c r="H123" t="s">
        <v>11</v>
      </c>
      <c r="I123">
        <f>2025-2016</f>
        <v>9</v>
      </c>
      <c r="J123" t="s">
        <v>423</v>
      </c>
      <c r="L123">
        <f>100+100+30+35+15+100</f>
        <v>380</v>
      </c>
      <c r="M123">
        <f>5.6+4+4.5+7.2+16+4+8</f>
        <v>49.3</v>
      </c>
      <c r="O123" t="s">
        <v>8</v>
      </c>
    </row>
    <row r="124" spans="4:15" x14ac:dyDescent="0.25">
      <c r="D124">
        <v>121</v>
      </c>
      <c r="E124" t="s">
        <v>18</v>
      </c>
      <c r="F124" t="s">
        <v>158</v>
      </c>
      <c r="G124" t="s">
        <v>159</v>
      </c>
      <c r="H124" t="s">
        <v>11</v>
      </c>
      <c r="I124">
        <v>20</v>
      </c>
      <c r="J124" t="s">
        <v>410</v>
      </c>
      <c r="L124">
        <f>73+8.7+45+45+45+8.29+45+73</f>
        <v>342.99</v>
      </c>
      <c r="M124">
        <v>0</v>
      </c>
      <c r="O124" t="s">
        <v>8</v>
      </c>
    </row>
    <row r="125" spans="4:15" x14ac:dyDescent="0.25">
      <c r="D125">
        <v>122</v>
      </c>
      <c r="E125" t="s">
        <v>18</v>
      </c>
      <c r="F125" t="s">
        <v>160</v>
      </c>
      <c r="G125" t="s">
        <v>6</v>
      </c>
      <c r="H125" t="s">
        <v>11</v>
      </c>
      <c r="I125">
        <f>2025-2020</f>
        <v>5</v>
      </c>
      <c r="J125" t="s">
        <v>413</v>
      </c>
      <c r="L125">
        <f>45*7</f>
        <v>315</v>
      </c>
      <c r="M125">
        <v>0</v>
      </c>
      <c r="O125" t="s">
        <v>8</v>
      </c>
    </row>
    <row r="126" spans="4:15" x14ac:dyDescent="0.25">
      <c r="D126">
        <v>123</v>
      </c>
      <c r="E126" t="s">
        <v>18</v>
      </c>
      <c r="F126" t="s">
        <v>161</v>
      </c>
      <c r="G126" t="s">
        <v>12</v>
      </c>
      <c r="H126" t="s">
        <v>7</v>
      </c>
      <c r="I126">
        <f>2025-2008</f>
        <v>17</v>
      </c>
      <c r="J126" t="s">
        <v>410</v>
      </c>
      <c r="L126">
        <f>300+300</f>
        <v>600</v>
      </c>
      <c r="M126">
        <f>4+4+4+4</f>
        <v>16</v>
      </c>
      <c r="O126" t="s">
        <v>8</v>
      </c>
    </row>
    <row r="127" spans="4:15" x14ac:dyDescent="0.25">
      <c r="D127">
        <v>124</v>
      </c>
      <c r="E127" t="s">
        <v>18</v>
      </c>
      <c r="F127" t="s">
        <v>162</v>
      </c>
      <c r="G127" t="s">
        <v>163</v>
      </c>
      <c r="H127" t="s">
        <v>7</v>
      </c>
      <c r="I127">
        <f>2025-2012</f>
        <v>13</v>
      </c>
      <c r="J127" t="s">
        <v>410</v>
      </c>
      <c r="L127">
        <v>2727</v>
      </c>
      <c r="M127">
        <v>2256.73</v>
      </c>
      <c r="O127" t="s">
        <v>10</v>
      </c>
    </row>
    <row r="128" spans="4:15" x14ac:dyDescent="0.25">
      <c r="D128">
        <v>125</v>
      </c>
      <c r="E128" t="s">
        <v>18</v>
      </c>
      <c r="F128" t="s">
        <v>164</v>
      </c>
      <c r="G128" t="s">
        <v>77</v>
      </c>
      <c r="H128" t="s">
        <v>11</v>
      </c>
      <c r="I128">
        <f>2025-2018</f>
        <v>7</v>
      </c>
      <c r="J128" t="s">
        <v>423</v>
      </c>
      <c r="L128">
        <f>70+16.58</f>
        <v>86.58</v>
      </c>
      <c r="M128">
        <v>0</v>
      </c>
      <c r="O128" t="s">
        <v>10</v>
      </c>
    </row>
    <row r="129" spans="4:15" x14ac:dyDescent="0.25">
      <c r="D129">
        <v>127</v>
      </c>
      <c r="E129" t="s">
        <v>18</v>
      </c>
      <c r="F129" t="s">
        <v>165</v>
      </c>
      <c r="G129" t="s">
        <v>6</v>
      </c>
      <c r="H129" t="s">
        <v>11</v>
      </c>
      <c r="I129">
        <f>2025-2015</f>
        <v>10</v>
      </c>
      <c r="J129" t="s">
        <v>412</v>
      </c>
      <c r="L129">
        <f>45+45+300+300+300+300</f>
        <v>1290</v>
      </c>
      <c r="M129">
        <f>4+4+4.08+4+4+4+2.5+4+4+5</f>
        <v>39.58</v>
      </c>
      <c r="O129" t="s">
        <v>8</v>
      </c>
    </row>
    <row r="130" spans="4:15" x14ac:dyDescent="0.25">
      <c r="D130">
        <v>128</v>
      </c>
      <c r="E130" t="s">
        <v>18</v>
      </c>
      <c r="F130" t="s">
        <v>166</v>
      </c>
      <c r="G130" t="s">
        <v>93</v>
      </c>
      <c r="H130" t="s">
        <v>7</v>
      </c>
      <c r="I130">
        <f>2025-2013</f>
        <v>12</v>
      </c>
      <c r="J130" t="s">
        <v>410</v>
      </c>
      <c r="L130">
        <f>300+300+300+300+40.8+300+81.6+300+300+300+300+450+70</f>
        <v>3342.3999999999996</v>
      </c>
      <c r="M130">
        <v>0</v>
      </c>
      <c r="O130" t="s">
        <v>10</v>
      </c>
    </row>
    <row r="131" spans="4:15" x14ac:dyDescent="0.25">
      <c r="D131">
        <v>129</v>
      </c>
      <c r="E131" t="s">
        <v>18</v>
      </c>
      <c r="F131" t="s">
        <v>167</v>
      </c>
      <c r="G131" t="s">
        <v>23</v>
      </c>
      <c r="H131" t="s">
        <v>7</v>
      </c>
      <c r="I131">
        <f>2025-2019</f>
        <v>6</v>
      </c>
      <c r="J131" t="s">
        <v>412</v>
      </c>
      <c r="L131">
        <f>225+17.35+8+300+300+300+70</f>
        <v>1220.3499999999999</v>
      </c>
      <c r="M131">
        <f>4+4+4+4.08</f>
        <v>16.079999999999998</v>
      </c>
      <c r="O131" t="s">
        <v>10</v>
      </c>
    </row>
    <row r="132" spans="4:15" x14ac:dyDescent="0.25">
      <c r="D132">
        <v>130</v>
      </c>
      <c r="E132" t="s">
        <v>18</v>
      </c>
      <c r="F132" t="s">
        <v>168</v>
      </c>
      <c r="G132" t="s">
        <v>60</v>
      </c>
      <c r="H132" t="s">
        <v>11</v>
      </c>
      <c r="I132">
        <f>2025-2018</f>
        <v>7</v>
      </c>
      <c r="J132" t="s">
        <v>412</v>
      </c>
      <c r="L132">
        <f>60+150+150+150+150+60+300</f>
        <v>1020</v>
      </c>
      <c r="M132">
        <v>7.3</v>
      </c>
      <c r="O132" t="s">
        <v>8</v>
      </c>
    </row>
    <row r="133" spans="4:15" x14ac:dyDescent="0.25">
      <c r="D133">
        <v>131</v>
      </c>
      <c r="E133" t="s">
        <v>18</v>
      </c>
      <c r="F133" t="s">
        <v>169</v>
      </c>
      <c r="G133" t="s">
        <v>6</v>
      </c>
      <c r="H133" t="s">
        <v>7</v>
      </c>
      <c r="I133">
        <f>2025-2012</f>
        <v>13</v>
      </c>
      <c r="J133" t="s">
        <v>413</v>
      </c>
      <c r="L133">
        <v>70</v>
      </c>
      <c r="M133">
        <v>0</v>
      </c>
      <c r="O133" t="s">
        <v>8</v>
      </c>
    </row>
    <row r="134" spans="4:15" x14ac:dyDescent="0.25">
      <c r="D134">
        <v>132</v>
      </c>
      <c r="E134" t="s">
        <v>18</v>
      </c>
      <c r="F134" t="s">
        <v>170</v>
      </c>
      <c r="G134" t="s">
        <v>133</v>
      </c>
      <c r="H134" t="s">
        <v>11</v>
      </c>
      <c r="I134">
        <f>2025-2017</f>
        <v>8</v>
      </c>
      <c r="J134" t="s">
        <v>426</v>
      </c>
      <c r="L134">
        <v>60</v>
      </c>
      <c r="M134">
        <v>0</v>
      </c>
      <c r="O134" t="s">
        <v>8</v>
      </c>
    </row>
    <row r="135" spans="4:15" x14ac:dyDescent="0.25">
      <c r="D135">
        <v>133</v>
      </c>
      <c r="E135" t="s">
        <v>18</v>
      </c>
      <c r="F135" t="s">
        <v>161</v>
      </c>
      <c r="G135" t="s">
        <v>155</v>
      </c>
      <c r="H135" t="s">
        <v>7</v>
      </c>
      <c r="I135">
        <f>2025-2013</f>
        <v>12</v>
      </c>
      <c r="L135">
        <f>120+225</f>
        <v>345</v>
      </c>
      <c r="M135">
        <v>0</v>
      </c>
      <c r="O135" t="s">
        <v>8</v>
      </c>
    </row>
    <row r="136" spans="4:15" x14ac:dyDescent="0.25">
      <c r="D136">
        <v>134</v>
      </c>
      <c r="E136" t="s">
        <v>18</v>
      </c>
      <c r="F136" t="s">
        <v>171</v>
      </c>
      <c r="G136" t="s">
        <v>172</v>
      </c>
      <c r="H136" t="s">
        <v>7</v>
      </c>
      <c r="I136">
        <f>2025-2014</f>
        <v>11</v>
      </c>
      <c r="J136" t="s">
        <v>412</v>
      </c>
      <c r="L136">
        <f>45+70</f>
        <v>115</v>
      </c>
      <c r="M136">
        <v>0</v>
      </c>
      <c r="O136" t="s">
        <v>8</v>
      </c>
    </row>
    <row r="137" spans="4:15" x14ac:dyDescent="0.25">
      <c r="D137">
        <v>135</v>
      </c>
      <c r="E137" t="s">
        <v>18</v>
      </c>
      <c r="F137" t="s">
        <v>41</v>
      </c>
      <c r="G137" t="s">
        <v>6</v>
      </c>
      <c r="H137" t="s">
        <v>11</v>
      </c>
      <c r="I137">
        <v>5</v>
      </c>
      <c r="J137" t="s">
        <v>412</v>
      </c>
      <c r="L137">
        <f>225+300+300+300+15.1+600</f>
        <v>1740.1</v>
      </c>
      <c r="M137">
        <f>12+12+12+8</f>
        <v>44</v>
      </c>
      <c r="O137" t="s">
        <v>8</v>
      </c>
    </row>
    <row r="138" spans="4:15" x14ac:dyDescent="0.25">
      <c r="D138">
        <v>136</v>
      </c>
      <c r="E138" t="s">
        <v>18</v>
      </c>
      <c r="F138" t="s">
        <v>173</v>
      </c>
      <c r="G138" t="s">
        <v>155</v>
      </c>
      <c r="H138" t="s">
        <v>11</v>
      </c>
      <c r="I138">
        <f>2025-2021</f>
        <v>4</v>
      </c>
      <c r="J138" t="s">
        <v>418</v>
      </c>
      <c r="L138">
        <f>45+45+30</f>
        <v>120</v>
      </c>
      <c r="M138">
        <v>0</v>
      </c>
      <c r="O138" t="s">
        <v>8</v>
      </c>
    </row>
    <row r="139" spans="4:15" x14ac:dyDescent="0.25">
      <c r="D139">
        <v>137</v>
      </c>
      <c r="E139" t="s">
        <v>18</v>
      </c>
      <c r="F139" t="s">
        <v>174</v>
      </c>
      <c r="G139" t="s">
        <v>93</v>
      </c>
      <c r="H139" t="s">
        <v>7</v>
      </c>
      <c r="I139">
        <f>2025-2019</f>
        <v>6</v>
      </c>
      <c r="J139" t="s">
        <v>426</v>
      </c>
      <c r="L139">
        <v>90</v>
      </c>
      <c r="M139">
        <v>14.5</v>
      </c>
      <c r="O139" t="s">
        <v>8</v>
      </c>
    </row>
    <row r="140" spans="4:15" x14ac:dyDescent="0.25">
      <c r="D140">
        <v>138</v>
      </c>
      <c r="E140" t="s">
        <v>18</v>
      </c>
      <c r="F140" t="s">
        <v>424</v>
      </c>
      <c r="G140" t="s">
        <v>6</v>
      </c>
      <c r="H140" t="s">
        <v>7</v>
      </c>
      <c r="I140">
        <f>2025-2009</f>
        <v>16</v>
      </c>
      <c r="J140" t="s">
        <v>412</v>
      </c>
      <c r="L140">
        <f>225+190.96+225+300+300+70+300</f>
        <v>1610.96</v>
      </c>
      <c r="M140">
        <f>2.2+22+11+2.5+29.4+44+5+4.9+52.8+25.5+13.8+25.588+13.2+1+25.5+17.6+4.9+8.8+25.5+24.7+6.8+13.6+10+60+7.5</f>
        <v>457.78800000000007</v>
      </c>
      <c r="O140" t="s">
        <v>8</v>
      </c>
    </row>
    <row r="141" spans="4:15" x14ac:dyDescent="0.25">
      <c r="D141">
        <v>139</v>
      </c>
      <c r="E141" t="s">
        <v>18</v>
      </c>
      <c r="F141" t="s">
        <v>175</v>
      </c>
      <c r="G141" t="s">
        <v>23</v>
      </c>
      <c r="H141" t="s">
        <v>7</v>
      </c>
      <c r="I141">
        <f>2025-2010</f>
        <v>15</v>
      </c>
      <c r="J141" t="s">
        <v>410</v>
      </c>
      <c r="L141">
        <f>300+300+70+42+300</f>
        <v>1012</v>
      </c>
      <c r="M141">
        <f>4.4+4.42+4+2.5+4.4+10+4.08+4+2.5+2.5+2.5</f>
        <v>45.3</v>
      </c>
      <c r="O141" t="s">
        <v>8</v>
      </c>
    </row>
    <row r="142" spans="4:15" x14ac:dyDescent="0.25">
      <c r="D142">
        <v>140</v>
      </c>
      <c r="E142" t="s">
        <v>18</v>
      </c>
      <c r="F142" t="s">
        <v>176</v>
      </c>
      <c r="G142" t="s">
        <v>23</v>
      </c>
      <c r="H142" t="s">
        <v>11</v>
      </c>
      <c r="I142">
        <v>15</v>
      </c>
      <c r="J142" t="s">
        <v>412</v>
      </c>
      <c r="L142">
        <f>14.95+70+300+300</f>
        <v>684.95</v>
      </c>
      <c r="M142">
        <f>2.5+4.1+5.85+4+4+4.5</f>
        <v>24.95</v>
      </c>
      <c r="O142" t="s">
        <v>8</v>
      </c>
    </row>
    <row r="143" spans="4:15" x14ac:dyDescent="0.25">
      <c r="D143">
        <v>141</v>
      </c>
      <c r="E143" t="s">
        <v>18</v>
      </c>
      <c r="F143" t="s">
        <v>425</v>
      </c>
      <c r="G143" t="s">
        <v>177</v>
      </c>
      <c r="H143" t="s">
        <v>7</v>
      </c>
      <c r="I143">
        <f>2025-2013</f>
        <v>12</v>
      </c>
      <c r="J143" t="s">
        <v>412</v>
      </c>
      <c r="L143">
        <v>370</v>
      </c>
      <c r="M143">
        <v>0</v>
      </c>
      <c r="O143" t="s">
        <v>8</v>
      </c>
    </row>
    <row r="144" spans="4:15" x14ac:dyDescent="0.25">
      <c r="D144">
        <v>142</v>
      </c>
      <c r="E144" t="s">
        <v>18</v>
      </c>
      <c r="F144" t="s">
        <v>178</v>
      </c>
      <c r="G144" t="s">
        <v>6</v>
      </c>
      <c r="H144" t="s">
        <v>7</v>
      </c>
      <c r="I144">
        <f>2025-2014</f>
        <v>11</v>
      </c>
      <c r="J144" t="s">
        <v>412</v>
      </c>
      <c r="L144">
        <v>150</v>
      </c>
      <c r="M144">
        <v>0</v>
      </c>
      <c r="O144" t="s">
        <v>10</v>
      </c>
    </row>
    <row r="145" spans="4:15" x14ac:dyDescent="0.25">
      <c r="D145">
        <v>143</v>
      </c>
      <c r="E145" t="s">
        <v>18</v>
      </c>
      <c r="F145" t="s">
        <v>179</v>
      </c>
      <c r="G145" t="s">
        <v>6</v>
      </c>
      <c r="H145" t="s">
        <v>11</v>
      </c>
      <c r="I145">
        <f>2025-2022</f>
        <v>3</v>
      </c>
      <c r="L145">
        <v>60</v>
      </c>
      <c r="M145">
        <v>0</v>
      </c>
      <c r="O145" t="s">
        <v>10</v>
      </c>
    </row>
    <row r="146" spans="4:15" x14ac:dyDescent="0.25">
      <c r="D146">
        <v>144</v>
      </c>
      <c r="E146" t="s">
        <v>18</v>
      </c>
      <c r="F146" t="s">
        <v>180</v>
      </c>
      <c r="G146" t="s">
        <v>9</v>
      </c>
      <c r="H146" t="s">
        <v>11</v>
      </c>
      <c r="I146">
        <v>10</v>
      </c>
      <c r="J146" t="s">
        <v>412</v>
      </c>
      <c r="L146">
        <v>70</v>
      </c>
      <c r="M146">
        <v>0</v>
      </c>
      <c r="O146" t="s">
        <v>8</v>
      </c>
    </row>
    <row r="147" spans="4:15" x14ac:dyDescent="0.25">
      <c r="D147">
        <v>145</v>
      </c>
      <c r="E147" t="s">
        <v>18</v>
      </c>
      <c r="F147" t="s">
        <v>181</v>
      </c>
      <c r="G147" t="s">
        <v>6</v>
      </c>
      <c r="H147" t="s">
        <v>11</v>
      </c>
      <c r="I147">
        <f>2025-2014</f>
        <v>11</v>
      </c>
      <c r="J147" t="s">
        <v>426</v>
      </c>
      <c r="L147">
        <v>60</v>
      </c>
      <c r="M147">
        <v>0</v>
      </c>
      <c r="O147" t="s">
        <v>8</v>
      </c>
    </row>
    <row r="148" spans="4:15" x14ac:dyDescent="0.25">
      <c r="D148">
        <v>146</v>
      </c>
      <c r="E148" t="s">
        <v>18</v>
      </c>
      <c r="F148" t="s">
        <v>182</v>
      </c>
      <c r="G148" t="s">
        <v>6</v>
      </c>
      <c r="H148" t="s">
        <v>7</v>
      </c>
      <c r="I148">
        <f>2025-2013</f>
        <v>12</v>
      </c>
      <c r="J148" t="s">
        <v>412</v>
      </c>
      <c r="L148">
        <f>60+300+60+60+70</f>
        <v>550</v>
      </c>
      <c r="M148">
        <v>0</v>
      </c>
      <c r="O148" t="s">
        <v>8</v>
      </c>
    </row>
    <row r="149" spans="4:15" x14ac:dyDescent="0.25">
      <c r="D149">
        <v>147</v>
      </c>
      <c r="E149" t="s">
        <v>18</v>
      </c>
      <c r="F149" t="s">
        <v>183</v>
      </c>
      <c r="G149" t="s">
        <v>6</v>
      </c>
      <c r="H149" t="s">
        <v>11</v>
      </c>
      <c r="I149">
        <f>2025-2023</f>
        <v>2</v>
      </c>
      <c r="J149" t="s">
        <v>417</v>
      </c>
      <c r="L149">
        <f>70+45+225+30+30+225+225+225</f>
        <v>1075</v>
      </c>
      <c r="M149">
        <v>3.3</v>
      </c>
      <c r="O149" t="s">
        <v>10</v>
      </c>
    </row>
    <row r="150" spans="4:15" x14ac:dyDescent="0.25">
      <c r="D150">
        <v>148</v>
      </c>
      <c r="E150" t="s">
        <v>18</v>
      </c>
      <c r="F150" t="s">
        <v>184</v>
      </c>
      <c r="G150" t="s">
        <v>114</v>
      </c>
      <c r="H150" t="s">
        <v>7</v>
      </c>
      <c r="I150">
        <f>2025-2019</f>
        <v>6</v>
      </c>
      <c r="J150" t="s">
        <v>427</v>
      </c>
      <c r="L150">
        <f>300+45+70</f>
        <v>415</v>
      </c>
      <c r="M150">
        <v>0</v>
      </c>
      <c r="O150" t="s">
        <v>10</v>
      </c>
    </row>
    <row r="151" spans="4:15" x14ac:dyDescent="0.25">
      <c r="D151">
        <v>149</v>
      </c>
      <c r="E151" t="s">
        <v>18</v>
      </c>
      <c r="F151" t="s">
        <v>185</v>
      </c>
      <c r="G151" t="s">
        <v>186</v>
      </c>
      <c r="H151" t="s">
        <v>7</v>
      </c>
      <c r="I151">
        <f>2025-2016</f>
        <v>9</v>
      </c>
      <c r="J151" t="s">
        <v>426</v>
      </c>
      <c r="L151">
        <f>300+300+300+450+70</f>
        <v>1420</v>
      </c>
      <c r="M151">
        <v>4.95</v>
      </c>
      <c r="O151" t="s">
        <v>10</v>
      </c>
    </row>
    <row r="152" spans="4:15" x14ac:dyDescent="0.25">
      <c r="D152">
        <v>150</v>
      </c>
      <c r="E152" t="s">
        <v>18</v>
      </c>
      <c r="F152" t="s">
        <v>187</v>
      </c>
      <c r="G152" t="s">
        <v>93</v>
      </c>
      <c r="H152" t="s">
        <v>7</v>
      </c>
      <c r="I152">
        <f>2025-2015</f>
        <v>10</v>
      </c>
      <c r="J152" t="s">
        <v>417</v>
      </c>
      <c r="L152">
        <f>150+29.22+450+70</f>
        <v>699.22</v>
      </c>
      <c r="M152">
        <v>0</v>
      </c>
      <c r="O152" t="s">
        <v>8</v>
      </c>
    </row>
    <row r="153" spans="4:15" x14ac:dyDescent="0.25">
      <c r="D153">
        <v>151</v>
      </c>
      <c r="E153" t="s">
        <v>18</v>
      </c>
      <c r="F153" t="s">
        <v>61</v>
      </c>
      <c r="G153" t="s">
        <v>62</v>
      </c>
      <c r="H153" t="s">
        <v>11</v>
      </c>
      <c r="I153">
        <v>2</v>
      </c>
      <c r="J153" t="s">
        <v>412</v>
      </c>
      <c r="L153">
        <v>70</v>
      </c>
      <c r="M153">
        <v>0</v>
      </c>
      <c r="O153" t="s">
        <v>8</v>
      </c>
    </row>
    <row r="154" spans="4:15" x14ac:dyDescent="0.25">
      <c r="D154">
        <v>152</v>
      </c>
      <c r="E154" t="s">
        <v>18</v>
      </c>
      <c r="F154" t="s">
        <v>188</v>
      </c>
      <c r="G154" t="s">
        <v>51</v>
      </c>
      <c r="H154" t="s">
        <v>7</v>
      </c>
      <c r="I154">
        <v>10</v>
      </c>
      <c r="J154" t="s">
        <v>413</v>
      </c>
      <c r="L154">
        <f>450+70</f>
        <v>520</v>
      </c>
      <c r="M154">
        <v>0</v>
      </c>
      <c r="O154" t="s">
        <v>10</v>
      </c>
    </row>
    <row r="155" spans="4:15" x14ac:dyDescent="0.25">
      <c r="D155">
        <v>153</v>
      </c>
      <c r="E155" t="s">
        <v>18</v>
      </c>
      <c r="F155" t="s">
        <v>189</v>
      </c>
      <c r="G155" t="s">
        <v>73</v>
      </c>
      <c r="H155" t="s">
        <v>7</v>
      </c>
      <c r="I155">
        <f>2025-2013</f>
        <v>12</v>
      </c>
      <c r="J155" t="s">
        <v>416</v>
      </c>
      <c r="L155">
        <f>144+144</f>
        <v>288</v>
      </c>
      <c r="M155">
        <v>0</v>
      </c>
      <c r="O155" t="s">
        <v>8</v>
      </c>
    </row>
    <row r="156" spans="4:15" x14ac:dyDescent="0.25">
      <c r="D156">
        <v>154</v>
      </c>
      <c r="E156" t="s">
        <v>18</v>
      </c>
      <c r="F156" t="s">
        <v>190</v>
      </c>
      <c r="G156" t="s">
        <v>191</v>
      </c>
      <c r="H156" t="s">
        <v>11</v>
      </c>
      <c r="I156">
        <f>2025-2023</f>
        <v>2</v>
      </c>
      <c r="J156" t="s">
        <v>421</v>
      </c>
      <c r="L156">
        <f>60+60+60+30+8.7+150+8.7+70+150</f>
        <v>597.4</v>
      </c>
      <c r="M156">
        <v>0</v>
      </c>
      <c r="O156" t="s">
        <v>8</v>
      </c>
    </row>
    <row r="157" spans="4:15" x14ac:dyDescent="0.25">
      <c r="D157">
        <v>155</v>
      </c>
      <c r="E157" t="s">
        <v>18</v>
      </c>
      <c r="F157" t="s">
        <v>192</v>
      </c>
      <c r="G157" t="s">
        <v>177</v>
      </c>
      <c r="H157" t="s">
        <v>7</v>
      </c>
      <c r="I157">
        <f>2025-2010</f>
        <v>15</v>
      </c>
      <c r="J157" t="s">
        <v>412</v>
      </c>
      <c r="L157">
        <v>30</v>
      </c>
      <c r="M157">
        <v>0</v>
      </c>
      <c r="O157" t="s">
        <v>10</v>
      </c>
    </row>
    <row r="158" spans="4:15" x14ac:dyDescent="0.25">
      <c r="D158">
        <v>156</v>
      </c>
      <c r="E158" t="s">
        <v>18</v>
      </c>
      <c r="F158" t="s">
        <v>193</v>
      </c>
      <c r="G158" t="s">
        <v>62</v>
      </c>
      <c r="H158" t="s">
        <v>7</v>
      </c>
      <c r="I158">
        <f>2025-2019</f>
        <v>6</v>
      </c>
      <c r="J158" t="s">
        <v>412</v>
      </c>
      <c r="L158">
        <v>300</v>
      </c>
      <c r="M158">
        <v>4.25</v>
      </c>
      <c r="O158" t="s">
        <v>8</v>
      </c>
    </row>
    <row r="159" spans="4:15" x14ac:dyDescent="0.25">
      <c r="D159">
        <v>157</v>
      </c>
      <c r="E159" t="s">
        <v>18</v>
      </c>
      <c r="F159" t="s">
        <v>194</v>
      </c>
      <c r="G159" t="s">
        <v>53</v>
      </c>
      <c r="H159" t="s">
        <v>7</v>
      </c>
      <c r="I159">
        <v>5</v>
      </c>
      <c r="J159" t="s">
        <v>423</v>
      </c>
      <c r="L159">
        <v>40</v>
      </c>
      <c r="M159">
        <v>0</v>
      </c>
      <c r="O159" t="s">
        <v>8</v>
      </c>
    </row>
    <row r="160" spans="4:15" x14ac:dyDescent="0.25">
      <c r="D160">
        <v>158</v>
      </c>
      <c r="E160" t="s">
        <v>18</v>
      </c>
      <c r="F160" t="s">
        <v>195</v>
      </c>
      <c r="G160" t="s">
        <v>12</v>
      </c>
      <c r="H160" t="s">
        <v>11</v>
      </c>
      <c r="I160">
        <f>2025-2012</f>
        <v>13</v>
      </c>
      <c r="J160" t="s">
        <v>419</v>
      </c>
      <c r="L160">
        <f>300+300+300+300+300+50+300+300+70+17.35</f>
        <v>2237.35</v>
      </c>
      <c r="M160">
        <v>0</v>
      </c>
      <c r="O160" t="s">
        <v>8</v>
      </c>
    </row>
    <row r="161" spans="4:15" x14ac:dyDescent="0.25">
      <c r="D161">
        <v>159</v>
      </c>
      <c r="E161" t="s">
        <v>18</v>
      </c>
      <c r="F161" t="s">
        <v>196</v>
      </c>
      <c r="G161" t="s">
        <v>53</v>
      </c>
      <c r="H161" t="s">
        <v>7</v>
      </c>
      <c r="I161">
        <f>2025-2020</f>
        <v>5</v>
      </c>
      <c r="J161" t="s">
        <v>423</v>
      </c>
      <c r="L161">
        <f>45+29.22</f>
        <v>74.22</v>
      </c>
      <c r="M161">
        <v>0</v>
      </c>
      <c r="O161" t="s">
        <v>10</v>
      </c>
    </row>
    <row r="162" spans="4:15" x14ac:dyDescent="0.25">
      <c r="D162">
        <v>160</v>
      </c>
      <c r="E162" t="s">
        <v>18</v>
      </c>
      <c r="F162" t="s">
        <v>197</v>
      </c>
      <c r="G162" t="s">
        <v>53</v>
      </c>
      <c r="H162" t="s">
        <v>7</v>
      </c>
      <c r="I162">
        <f>2025-2019</f>
        <v>6</v>
      </c>
      <c r="J162" t="s">
        <v>416</v>
      </c>
      <c r="L162">
        <f>24.87+450+70</f>
        <v>544.87</v>
      </c>
      <c r="M162">
        <f>2.5+2</f>
        <v>4.5</v>
      </c>
      <c r="O162" t="s">
        <v>8</v>
      </c>
    </row>
    <row r="163" spans="4:15" x14ac:dyDescent="0.25">
      <c r="D163">
        <v>161</v>
      </c>
      <c r="E163" t="s">
        <v>18</v>
      </c>
      <c r="F163" t="s">
        <v>198</v>
      </c>
      <c r="G163" t="s">
        <v>93</v>
      </c>
      <c r="H163" t="s">
        <v>7</v>
      </c>
      <c r="I163">
        <f>2025-2023</f>
        <v>2</v>
      </c>
      <c r="J163" t="s">
        <v>423</v>
      </c>
      <c r="L163">
        <v>70</v>
      </c>
      <c r="M163">
        <v>0</v>
      </c>
      <c r="O163" t="s">
        <v>8</v>
      </c>
    </row>
    <row r="164" spans="4:15" x14ac:dyDescent="0.25">
      <c r="D164">
        <v>162</v>
      </c>
      <c r="E164" t="s">
        <v>18</v>
      </c>
      <c r="F164" t="s">
        <v>199</v>
      </c>
      <c r="G164" t="s">
        <v>116</v>
      </c>
      <c r="H164" t="s">
        <v>11</v>
      </c>
      <c r="I164">
        <f>2025-2012</f>
        <v>13</v>
      </c>
      <c r="L164">
        <v>90</v>
      </c>
      <c r="M164">
        <v>0</v>
      </c>
      <c r="O164" t="s">
        <v>8</v>
      </c>
    </row>
    <row r="165" spans="4:15" x14ac:dyDescent="0.25">
      <c r="D165">
        <v>163</v>
      </c>
      <c r="E165" t="s">
        <v>18</v>
      </c>
      <c r="F165" t="s">
        <v>200</v>
      </c>
      <c r="G165" t="s">
        <v>12</v>
      </c>
      <c r="H165" t="s">
        <v>11</v>
      </c>
      <c r="I165">
        <f>2025-2022</f>
        <v>3</v>
      </c>
      <c r="J165" t="s">
        <v>421</v>
      </c>
      <c r="L165">
        <v>600</v>
      </c>
      <c r="M165">
        <v>0</v>
      </c>
      <c r="O165" t="s">
        <v>8</v>
      </c>
    </row>
    <row r="166" spans="4:15" x14ac:dyDescent="0.25">
      <c r="D166">
        <v>164</v>
      </c>
      <c r="E166" t="s">
        <v>18</v>
      </c>
      <c r="F166" t="s">
        <v>201</v>
      </c>
      <c r="G166" t="s">
        <v>6</v>
      </c>
      <c r="H166" t="s">
        <v>11</v>
      </c>
      <c r="I166">
        <f>2025-2011</f>
        <v>14</v>
      </c>
      <c r="J166" t="s">
        <v>412</v>
      </c>
      <c r="L166">
        <v>70</v>
      </c>
      <c r="M166">
        <v>0</v>
      </c>
      <c r="O166" t="s">
        <v>8</v>
      </c>
    </row>
    <row r="167" spans="4:15" x14ac:dyDescent="0.25">
      <c r="D167">
        <v>165</v>
      </c>
      <c r="E167" t="s">
        <v>18</v>
      </c>
      <c r="F167" t="s">
        <v>202</v>
      </c>
      <c r="G167" t="s">
        <v>77</v>
      </c>
      <c r="H167" t="s">
        <v>11</v>
      </c>
      <c r="I167">
        <f>2025-2021</f>
        <v>4</v>
      </c>
      <c r="J167" t="s">
        <v>423</v>
      </c>
      <c r="L167">
        <v>40</v>
      </c>
      <c r="M167">
        <v>0</v>
      </c>
      <c r="O167" t="s">
        <v>8</v>
      </c>
    </row>
    <row r="168" spans="4:15" x14ac:dyDescent="0.25">
      <c r="D168">
        <v>166</v>
      </c>
      <c r="E168" t="s">
        <v>18</v>
      </c>
      <c r="F168" t="s">
        <v>203</v>
      </c>
      <c r="G168" t="s">
        <v>6</v>
      </c>
      <c r="H168" t="s">
        <v>7</v>
      </c>
      <c r="I168">
        <f>2025-2015</f>
        <v>10</v>
      </c>
      <c r="J168" t="s">
        <v>416</v>
      </c>
      <c r="L168">
        <f>60+29.22+60+60</f>
        <v>209.22</v>
      </c>
      <c r="M168">
        <v>0</v>
      </c>
      <c r="O168" t="s">
        <v>8</v>
      </c>
    </row>
    <row r="169" spans="4:15" x14ac:dyDescent="0.25">
      <c r="D169">
        <v>167</v>
      </c>
      <c r="E169" t="s">
        <v>18</v>
      </c>
      <c r="F169" t="s">
        <v>41</v>
      </c>
      <c r="G169" t="s">
        <v>6</v>
      </c>
      <c r="H169" t="s">
        <v>11</v>
      </c>
      <c r="I169">
        <f>2025-2014</f>
        <v>11</v>
      </c>
      <c r="J169" t="s">
        <v>416</v>
      </c>
      <c r="L169">
        <f>90+90+90+70</f>
        <v>340</v>
      </c>
      <c r="M169">
        <v>0</v>
      </c>
      <c r="O169" t="s">
        <v>10</v>
      </c>
    </row>
    <row r="170" spans="4:15" x14ac:dyDescent="0.25">
      <c r="D170">
        <v>168</v>
      </c>
      <c r="E170" t="s">
        <v>18</v>
      </c>
      <c r="F170" t="s">
        <v>204</v>
      </c>
      <c r="G170" t="s">
        <v>205</v>
      </c>
      <c r="H170" t="s">
        <v>7</v>
      </c>
      <c r="I170">
        <f>2025-2006</f>
        <v>19</v>
      </c>
      <c r="J170" t="s">
        <v>426</v>
      </c>
      <c r="L170">
        <v>70</v>
      </c>
      <c r="M170">
        <v>0</v>
      </c>
      <c r="O170" t="s">
        <v>8</v>
      </c>
    </row>
    <row r="171" spans="4:15" x14ac:dyDescent="0.25">
      <c r="D171">
        <v>169</v>
      </c>
      <c r="E171" t="s">
        <v>18</v>
      </c>
      <c r="F171" t="s">
        <v>206</v>
      </c>
      <c r="G171" t="s">
        <v>6</v>
      </c>
      <c r="H171" t="s">
        <v>11</v>
      </c>
      <c r="I171">
        <f>2025-2019</f>
        <v>6</v>
      </c>
      <c r="J171" t="s">
        <v>413</v>
      </c>
      <c r="L171">
        <f>225+70</f>
        <v>295</v>
      </c>
      <c r="M171">
        <v>6.5</v>
      </c>
      <c r="O171" t="s">
        <v>8</v>
      </c>
    </row>
    <row r="172" spans="4:15" x14ac:dyDescent="0.25">
      <c r="D172">
        <v>170</v>
      </c>
      <c r="E172" t="s">
        <v>18</v>
      </c>
      <c r="F172" t="s">
        <v>207</v>
      </c>
      <c r="G172" t="s">
        <v>208</v>
      </c>
      <c r="H172" t="s">
        <v>7</v>
      </c>
      <c r="I172">
        <f>2025-2015</f>
        <v>10</v>
      </c>
      <c r="J172" t="s">
        <v>416</v>
      </c>
      <c r="L172">
        <f>60+45+45+45+45+45+45+45+45+45+45+60+60+45+45+45+45+45+45+45+70</f>
        <v>1015</v>
      </c>
      <c r="M172">
        <v>0</v>
      </c>
      <c r="O172" t="s">
        <v>8</v>
      </c>
    </row>
    <row r="173" spans="4:15" x14ac:dyDescent="0.25">
      <c r="D173">
        <v>171</v>
      </c>
      <c r="E173" t="s">
        <v>18</v>
      </c>
      <c r="F173" t="s">
        <v>209</v>
      </c>
      <c r="G173" t="s">
        <v>210</v>
      </c>
      <c r="H173" t="s">
        <v>7</v>
      </c>
      <c r="I173">
        <f>2025-2016</f>
        <v>9</v>
      </c>
      <c r="J173" t="s">
        <v>417</v>
      </c>
      <c r="L173">
        <f>45+45+70</f>
        <v>160</v>
      </c>
      <c r="M173">
        <v>0</v>
      </c>
      <c r="O173" t="s">
        <v>8</v>
      </c>
    </row>
    <row r="174" spans="4:15" x14ac:dyDescent="0.25">
      <c r="D174">
        <v>172</v>
      </c>
      <c r="E174" t="s">
        <v>18</v>
      </c>
      <c r="F174" t="s">
        <v>211</v>
      </c>
      <c r="G174" t="s">
        <v>127</v>
      </c>
      <c r="H174" t="s">
        <v>11</v>
      </c>
      <c r="I174">
        <f>2025-2023</f>
        <v>2</v>
      </c>
      <c r="J174" t="s">
        <v>418</v>
      </c>
      <c r="L174">
        <f>150+70</f>
        <v>220</v>
      </c>
      <c r="M174">
        <v>0</v>
      </c>
      <c r="O174" t="s">
        <v>10</v>
      </c>
    </row>
    <row r="175" spans="4:15" x14ac:dyDescent="0.25">
      <c r="D175">
        <v>173</v>
      </c>
      <c r="E175" t="s">
        <v>18</v>
      </c>
      <c r="F175" t="s">
        <v>212</v>
      </c>
      <c r="G175" t="s">
        <v>213</v>
      </c>
      <c r="H175" t="s">
        <v>7</v>
      </c>
      <c r="I175">
        <f>2025-2023</f>
        <v>2</v>
      </c>
      <c r="J175" t="s">
        <v>412</v>
      </c>
      <c r="L175">
        <f>90+70</f>
        <v>160</v>
      </c>
      <c r="M175">
        <v>0</v>
      </c>
      <c r="O175" t="s">
        <v>8</v>
      </c>
    </row>
    <row r="176" spans="4:15" x14ac:dyDescent="0.25">
      <c r="D176">
        <v>174</v>
      </c>
      <c r="E176" t="s">
        <v>18</v>
      </c>
      <c r="F176" t="s">
        <v>214</v>
      </c>
      <c r="G176" t="s">
        <v>6</v>
      </c>
      <c r="H176" t="s">
        <v>11</v>
      </c>
      <c r="I176">
        <f>2025-2017</f>
        <v>8</v>
      </c>
      <c r="J176" t="s">
        <v>410</v>
      </c>
      <c r="L176">
        <v>70</v>
      </c>
      <c r="M176">
        <v>0</v>
      </c>
      <c r="O176" t="s">
        <v>10</v>
      </c>
    </row>
    <row r="177" spans="4:15" x14ac:dyDescent="0.25">
      <c r="D177">
        <v>175</v>
      </c>
      <c r="E177" t="s">
        <v>18</v>
      </c>
      <c r="F177" t="s">
        <v>215</v>
      </c>
      <c r="G177" t="s">
        <v>216</v>
      </c>
      <c r="H177" t="s">
        <v>11</v>
      </c>
      <c r="I177">
        <f>2025-2015</f>
        <v>10</v>
      </c>
      <c r="J177" t="s">
        <v>412</v>
      </c>
      <c r="L177">
        <v>370</v>
      </c>
      <c r="M177">
        <v>0</v>
      </c>
      <c r="O177" t="s">
        <v>10</v>
      </c>
    </row>
    <row r="178" spans="4:15" x14ac:dyDescent="0.25">
      <c r="D178">
        <v>176</v>
      </c>
      <c r="E178" t="s">
        <v>18</v>
      </c>
      <c r="F178" t="s">
        <v>89</v>
      </c>
      <c r="G178" t="s">
        <v>93</v>
      </c>
      <c r="H178" t="s">
        <v>11</v>
      </c>
      <c r="I178">
        <f>2025-2015</f>
        <v>10</v>
      </c>
      <c r="J178" t="s">
        <v>412</v>
      </c>
      <c r="L178">
        <f>60+300+60</f>
        <v>420</v>
      </c>
      <c r="M178">
        <v>0</v>
      </c>
      <c r="O178" t="s">
        <v>8</v>
      </c>
    </row>
    <row r="179" spans="4:15" x14ac:dyDescent="0.25">
      <c r="D179">
        <v>177</v>
      </c>
      <c r="E179" t="s">
        <v>18</v>
      </c>
      <c r="F179" t="s">
        <v>217</v>
      </c>
      <c r="G179" t="s">
        <v>210</v>
      </c>
      <c r="H179" t="s">
        <v>11</v>
      </c>
      <c r="I179">
        <f>2025-2017</f>
        <v>8</v>
      </c>
      <c r="J179" t="s">
        <v>416</v>
      </c>
      <c r="L179">
        <v>70</v>
      </c>
      <c r="M179">
        <v>0</v>
      </c>
      <c r="O179" t="s">
        <v>8</v>
      </c>
    </row>
    <row r="180" spans="4:15" x14ac:dyDescent="0.25">
      <c r="D180">
        <v>178</v>
      </c>
      <c r="E180" t="s">
        <v>18</v>
      </c>
      <c r="F180" t="s">
        <v>218</v>
      </c>
      <c r="G180" t="s">
        <v>172</v>
      </c>
      <c r="H180" t="s">
        <v>11</v>
      </c>
      <c r="I180">
        <f>2025-2020</f>
        <v>5</v>
      </c>
      <c r="J180" t="s">
        <v>421</v>
      </c>
      <c r="L180">
        <f>40+40+40+40+70</f>
        <v>230</v>
      </c>
      <c r="M180">
        <v>0</v>
      </c>
      <c r="O180" t="s">
        <v>10</v>
      </c>
    </row>
    <row r="181" spans="4:15" x14ac:dyDescent="0.25">
      <c r="D181">
        <v>179</v>
      </c>
      <c r="E181" t="s">
        <v>18</v>
      </c>
      <c r="F181" t="s">
        <v>219</v>
      </c>
      <c r="G181" t="s">
        <v>6</v>
      </c>
      <c r="H181" t="s">
        <v>7</v>
      </c>
      <c r="I181">
        <f>2025-2011</f>
        <v>14</v>
      </c>
      <c r="J181" t="s">
        <v>413</v>
      </c>
      <c r="L181">
        <f>300+45+60+45+300+70</f>
        <v>820</v>
      </c>
      <c r="M181">
        <v>0</v>
      </c>
      <c r="O181" t="s">
        <v>8</v>
      </c>
    </row>
    <row r="182" spans="4:15" x14ac:dyDescent="0.25">
      <c r="D182">
        <v>180</v>
      </c>
      <c r="E182" t="s">
        <v>18</v>
      </c>
      <c r="F182" t="s">
        <v>220</v>
      </c>
      <c r="G182" t="s">
        <v>9</v>
      </c>
      <c r="H182" t="s">
        <v>11</v>
      </c>
      <c r="I182">
        <f>2025-2022</f>
        <v>3</v>
      </c>
      <c r="J182" t="s">
        <v>418</v>
      </c>
      <c r="L182">
        <v>130</v>
      </c>
      <c r="M182">
        <v>0</v>
      </c>
      <c r="O182" t="s">
        <v>8</v>
      </c>
    </row>
    <row r="183" spans="4:15" x14ac:dyDescent="0.25">
      <c r="D183">
        <v>181</v>
      </c>
      <c r="E183" t="s">
        <v>18</v>
      </c>
      <c r="F183" t="s">
        <v>221</v>
      </c>
      <c r="G183" t="s">
        <v>104</v>
      </c>
      <c r="H183" t="s">
        <v>7</v>
      </c>
      <c r="I183">
        <f>2025-2023</f>
        <v>2</v>
      </c>
      <c r="J183" t="s">
        <v>416</v>
      </c>
      <c r="L183">
        <f>40+40+70</f>
        <v>150</v>
      </c>
      <c r="M183">
        <v>0</v>
      </c>
      <c r="O183" t="s">
        <v>10</v>
      </c>
    </row>
    <row r="184" spans="4:15" x14ac:dyDescent="0.25">
      <c r="D184">
        <v>182</v>
      </c>
      <c r="E184" t="s">
        <v>18</v>
      </c>
      <c r="F184" t="s">
        <v>222</v>
      </c>
      <c r="G184" t="s">
        <v>210</v>
      </c>
      <c r="H184" t="s">
        <v>11</v>
      </c>
      <c r="I184">
        <f>2025-2023</f>
        <v>2</v>
      </c>
      <c r="J184" t="s">
        <v>413</v>
      </c>
      <c r="L184">
        <v>70</v>
      </c>
      <c r="M184">
        <v>0</v>
      </c>
      <c r="O184" t="s">
        <v>10</v>
      </c>
    </row>
    <row r="185" spans="4:15" x14ac:dyDescent="0.25">
      <c r="D185">
        <v>183</v>
      </c>
      <c r="E185" t="s">
        <v>18</v>
      </c>
      <c r="F185" t="s">
        <v>222</v>
      </c>
      <c r="G185" t="s">
        <v>6</v>
      </c>
      <c r="H185" t="s">
        <v>11</v>
      </c>
      <c r="I185">
        <f>2025-2021</f>
        <v>4</v>
      </c>
      <c r="J185" t="s">
        <v>416</v>
      </c>
      <c r="L185">
        <f>17.5+225+225+225+225+70</f>
        <v>987.5</v>
      </c>
      <c r="M185">
        <f>2.5+2.2+5+6+2.5+2.5</f>
        <v>20.7</v>
      </c>
      <c r="O185" t="s">
        <v>8</v>
      </c>
    </row>
    <row r="186" spans="4:15" x14ac:dyDescent="0.25">
      <c r="D186">
        <v>184</v>
      </c>
      <c r="E186" t="s">
        <v>18</v>
      </c>
      <c r="F186" t="s">
        <v>223</v>
      </c>
      <c r="G186" t="s">
        <v>54</v>
      </c>
      <c r="H186" t="s">
        <v>7</v>
      </c>
      <c r="I186">
        <f>2025-2007</f>
        <v>18</v>
      </c>
      <c r="J186" t="s">
        <v>426</v>
      </c>
      <c r="L186">
        <f>20.4+150+20.4+20.4+20.4+150+20.4+40.8+150+40.8+20.4+150+150+70</f>
        <v>1023.9999999999999</v>
      </c>
      <c r="M186">
        <v>0</v>
      </c>
      <c r="O186" t="s">
        <v>8</v>
      </c>
    </row>
    <row r="187" spans="4:15" x14ac:dyDescent="0.25">
      <c r="D187">
        <v>185</v>
      </c>
      <c r="E187" t="s">
        <v>18</v>
      </c>
      <c r="F187" t="s">
        <v>224</v>
      </c>
      <c r="G187" t="s">
        <v>6</v>
      </c>
      <c r="H187" t="s">
        <v>7</v>
      </c>
      <c r="I187">
        <f>2025-2012</f>
        <v>13</v>
      </c>
      <c r="J187" t="s">
        <v>412</v>
      </c>
      <c r="L187">
        <v>70</v>
      </c>
      <c r="M187">
        <v>0</v>
      </c>
      <c r="O187" t="s">
        <v>8</v>
      </c>
    </row>
    <row r="188" spans="4:15" x14ac:dyDescent="0.25">
      <c r="D188">
        <v>186</v>
      </c>
      <c r="E188" t="s">
        <v>18</v>
      </c>
      <c r="F188" t="s">
        <v>225</v>
      </c>
      <c r="G188" t="s">
        <v>6</v>
      </c>
      <c r="H188" t="s">
        <v>7</v>
      </c>
      <c r="I188">
        <f>2025-2010</f>
        <v>15</v>
      </c>
      <c r="J188" t="s">
        <v>426</v>
      </c>
      <c r="L188">
        <v>70</v>
      </c>
      <c r="M188">
        <v>0</v>
      </c>
      <c r="O188" t="s">
        <v>10</v>
      </c>
    </row>
    <row r="189" spans="4:15" x14ac:dyDescent="0.25">
      <c r="D189">
        <v>187</v>
      </c>
      <c r="E189" t="s">
        <v>18</v>
      </c>
      <c r="F189" t="s">
        <v>226</v>
      </c>
      <c r="G189" t="s">
        <v>172</v>
      </c>
      <c r="H189" t="s">
        <v>11</v>
      </c>
      <c r="I189">
        <f>2025-2011</f>
        <v>14</v>
      </c>
      <c r="J189" t="s">
        <v>412</v>
      </c>
      <c r="L189">
        <v>70</v>
      </c>
      <c r="M189">
        <v>0</v>
      </c>
      <c r="O189" t="s">
        <v>8</v>
      </c>
    </row>
    <row r="190" spans="4:15" x14ac:dyDescent="0.25">
      <c r="D190">
        <v>188</v>
      </c>
      <c r="E190" t="s">
        <v>18</v>
      </c>
      <c r="F190" t="s">
        <v>227</v>
      </c>
      <c r="G190" t="s">
        <v>228</v>
      </c>
      <c r="H190" t="s">
        <v>11</v>
      </c>
      <c r="I190">
        <f>2025-2021</f>
        <v>4</v>
      </c>
      <c r="J190" t="s">
        <v>423</v>
      </c>
      <c r="L190">
        <v>40</v>
      </c>
      <c r="M190">
        <v>0</v>
      </c>
      <c r="O190" t="s">
        <v>8</v>
      </c>
    </row>
    <row r="191" spans="4:15" x14ac:dyDescent="0.25">
      <c r="D191">
        <v>189</v>
      </c>
      <c r="E191" t="s">
        <v>18</v>
      </c>
      <c r="F191" t="s">
        <v>229</v>
      </c>
      <c r="G191" t="s">
        <v>6</v>
      </c>
      <c r="H191" t="s">
        <v>11</v>
      </c>
      <c r="I191">
        <f>2025-2024</f>
        <v>1</v>
      </c>
      <c r="J191" t="s">
        <v>423</v>
      </c>
      <c r="L191">
        <v>40</v>
      </c>
      <c r="M191">
        <v>0</v>
      </c>
      <c r="O191" t="s">
        <v>8</v>
      </c>
    </row>
    <row r="192" spans="4:15" x14ac:dyDescent="0.25">
      <c r="D192">
        <v>190</v>
      </c>
      <c r="E192" t="s">
        <v>18</v>
      </c>
      <c r="F192" t="s">
        <v>230</v>
      </c>
      <c r="G192" t="s">
        <v>231</v>
      </c>
      <c r="H192" t="s">
        <v>7</v>
      </c>
      <c r="I192">
        <f>2025-2010</f>
        <v>15</v>
      </c>
      <c r="J192" t="s">
        <v>412</v>
      </c>
      <c r="L192">
        <v>130</v>
      </c>
      <c r="M192">
        <v>0</v>
      </c>
      <c r="O192" t="s">
        <v>8</v>
      </c>
    </row>
    <row r="193" spans="4:15" x14ac:dyDescent="0.25">
      <c r="D193">
        <v>191</v>
      </c>
      <c r="E193" t="s">
        <v>18</v>
      </c>
      <c r="F193" t="s">
        <v>232</v>
      </c>
      <c r="G193" t="s">
        <v>6</v>
      </c>
      <c r="H193" t="s">
        <v>11</v>
      </c>
      <c r="I193">
        <f>2025-2016</f>
        <v>9</v>
      </c>
      <c r="J193" t="s">
        <v>423</v>
      </c>
      <c r="L193">
        <f>80+80+120+80</f>
        <v>360</v>
      </c>
      <c r="M193">
        <v>0</v>
      </c>
      <c r="O193" t="s">
        <v>10</v>
      </c>
    </row>
    <row r="194" spans="4:15" x14ac:dyDescent="0.25">
      <c r="D194">
        <v>192</v>
      </c>
      <c r="E194" t="s">
        <v>18</v>
      </c>
      <c r="F194" t="s">
        <v>218</v>
      </c>
      <c r="G194" t="s">
        <v>15</v>
      </c>
      <c r="H194" t="s">
        <v>11</v>
      </c>
      <c r="I194">
        <f>2025-2024</f>
        <v>1</v>
      </c>
      <c r="J194" t="s">
        <v>423</v>
      </c>
      <c r="L194">
        <v>70</v>
      </c>
      <c r="M194">
        <v>0</v>
      </c>
      <c r="O194" t="s">
        <v>8</v>
      </c>
    </row>
    <row r="195" spans="4:15" x14ac:dyDescent="0.25">
      <c r="D195">
        <v>193</v>
      </c>
      <c r="E195" t="s">
        <v>18</v>
      </c>
      <c r="F195" t="s">
        <v>233</v>
      </c>
      <c r="G195" t="s">
        <v>77</v>
      </c>
      <c r="H195" t="s">
        <v>7</v>
      </c>
      <c r="I195">
        <f>2025-2021</f>
        <v>4</v>
      </c>
      <c r="J195" t="s">
        <v>423</v>
      </c>
      <c r="L195">
        <v>70</v>
      </c>
      <c r="M195">
        <v>0</v>
      </c>
      <c r="O195" t="s">
        <v>8</v>
      </c>
    </row>
    <row r="196" spans="4:15" x14ac:dyDescent="0.25">
      <c r="D196">
        <v>194</v>
      </c>
      <c r="E196" t="s">
        <v>18</v>
      </c>
      <c r="F196" t="s">
        <v>234</v>
      </c>
      <c r="G196" t="s">
        <v>73</v>
      </c>
      <c r="H196" t="s">
        <v>7</v>
      </c>
      <c r="I196">
        <f>2025-2011</f>
        <v>14</v>
      </c>
      <c r="J196" t="s">
        <v>412</v>
      </c>
      <c r="L196">
        <v>70</v>
      </c>
      <c r="M196">
        <v>0</v>
      </c>
      <c r="O196" t="s">
        <v>8</v>
      </c>
    </row>
    <row r="197" spans="4:15" x14ac:dyDescent="0.25">
      <c r="D197">
        <v>195</v>
      </c>
      <c r="E197" t="s">
        <v>18</v>
      </c>
      <c r="F197" t="s">
        <v>36</v>
      </c>
      <c r="G197" t="s">
        <v>133</v>
      </c>
      <c r="H197" t="s">
        <v>7</v>
      </c>
      <c r="I197">
        <f>2025-2018</f>
        <v>7</v>
      </c>
      <c r="J197" t="s">
        <v>410</v>
      </c>
      <c r="L197">
        <v>30</v>
      </c>
      <c r="M197">
        <v>0</v>
      </c>
      <c r="O197" t="s">
        <v>8</v>
      </c>
    </row>
    <row r="198" spans="4:15" x14ac:dyDescent="0.25">
      <c r="D198">
        <v>196</v>
      </c>
      <c r="E198" t="s">
        <v>18</v>
      </c>
      <c r="F198" t="s">
        <v>235</v>
      </c>
      <c r="G198" t="s">
        <v>15</v>
      </c>
      <c r="H198" t="s">
        <v>7</v>
      </c>
      <c r="I198">
        <f>2025-2017</f>
        <v>8</v>
      </c>
      <c r="J198" t="s">
        <v>423</v>
      </c>
      <c r="L198">
        <v>70</v>
      </c>
      <c r="M198">
        <v>0</v>
      </c>
      <c r="O198" t="s">
        <v>8</v>
      </c>
    </row>
    <row r="199" spans="4:15" x14ac:dyDescent="0.25">
      <c r="D199">
        <v>197</v>
      </c>
      <c r="E199" t="s">
        <v>18</v>
      </c>
      <c r="F199" t="s">
        <v>222</v>
      </c>
      <c r="G199" t="s">
        <v>9</v>
      </c>
      <c r="H199" t="s">
        <v>11</v>
      </c>
      <c r="I199">
        <f>2025-2017</f>
        <v>8</v>
      </c>
      <c r="J199" t="s">
        <v>412</v>
      </c>
      <c r="L199">
        <f>300+45+225</f>
        <v>570</v>
      </c>
      <c r="M199">
        <v>0</v>
      </c>
      <c r="O199" t="s">
        <v>10</v>
      </c>
    </row>
    <row r="200" spans="4:15" x14ac:dyDescent="0.25">
      <c r="D200">
        <v>198</v>
      </c>
      <c r="E200" t="s">
        <v>18</v>
      </c>
      <c r="F200" t="s">
        <v>236</v>
      </c>
      <c r="G200" t="s">
        <v>237</v>
      </c>
      <c r="H200" t="s">
        <v>7</v>
      </c>
      <c r="I200">
        <f>2025-2015</f>
        <v>10</v>
      </c>
      <c r="J200" t="s">
        <v>413</v>
      </c>
      <c r="L200">
        <f>225+70</f>
        <v>295</v>
      </c>
      <c r="M200">
        <v>0</v>
      </c>
      <c r="O200" t="s">
        <v>8</v>
      </c>
    </row>
    <row r="201" spans="4:15" x14ac:dyDescent="0.25">
      <c r="D201">
        <v>199</v>
      </c>
      <c r="E201" t="s">
        <v>18</v>
      </c>
      <c r="F201" t="s">
        <v>174</v>
      </c>
      <c r="G201" t="s">
        <v>191</v>
      </c>
      <c r="H201" t="s">
        <v>7</v>
      </c>
      <c r="I201">
        <f>2025-2018</f>
        <v>7</v>
      </c>
      <c r="J201" t="s">
        <v>423</v>
      </c>
      <c r="L201">
        <v>200</v>
      </c>
      <c r="M201">
        <v>0</v>
      </c>
      <c r="O201" t="s">
        <v>10</v>
      </c>
    </row>
    <row r="202" spans="4:15" x14ac:dyDescent="0.25">
      <c r="D202">
        <v>200</v>
      </c>
      <c r="E202" t="s">
        <v>18</v>
      </c>
      <c r="F202" t="s">
        <v>238</v>
      </c>
      <c r="G202" t="s">
        <v>6</v>
      </c>
      <c r="H202" t="s">
        <v>7</v>
      </c>
      <c r="I202">
        <f>2025-2017</f>
        <v>8</v>
      </c>
      <c r="J202" t="s">
        <v>412</v>
      </c>
      <c r="L202">
        <v>970</v>
      </c>
      <c r="M202">
        <v>0</v>
      </c>
      <c r="O202" t="s">
        <v>8</v>
      </c>
    </row>
    <row r="203" spans="4:15" x14ac:dyDescent="0.25">
      <c r="D203">
        <v>201</v>
      </c>
      <c r="E203" t="s">
        <v>18</v>
      </c>
      <c r="F203" t="s">
        <v>240</v>
      </c>
      <c r="G203" t="s">
        <v>6</v>
      </c>
      <c r="H203" t="s">
        <v>7</v>
      </c>
      <c r="I203">
        <f>2025-2010</f>
        <v>15</v>
      </c>
      <c r="J203" t="s">
        <v>410</v>
      </c>
      <c r="L203">
        <v>370</v>
      </c>
      <c r="M203">
        <v>0</v>
      </c>
      <c r="O203" t="s">
        <v>8</v>
      </c>
    </row>
    <row r="204" spans="4:15" x14ac:dyDescent="0.25">
      <c r="D204">
        <v>202</v>
      </c>
      <c r="E204" t="s">
        <v>18</v>
      </c>
      <c r="F204" t="s">
        <v>239</v>
      </c>
      <c r="G204" t="s">
        <v>6</v>
      </c>
      <c r="H204" t="s">
        <v>7</v>
      </c>
      <c r="I204">
        <f>2025-2011</f>
        <v>14</v>
      </c>
      <c r="J204" t="s">
        <v>427</v>
      </c>
      <c r="L204">
        <f>270+300+300+70</f>
        <v>940</v>
      </c>
      <c r="M204">
        <v>0</v>
      </c>
      <c r="O204" t="s">
        <v>8</v>
      </c>
    </row>
    <row r="205" spans="4:15" x14ac:dyDescent="0.25">
      <c r="D205">
        <v>203</v>
      </c>
      <c r="E205" t="s">
        <v>18</v>
      </c>
      <c r="F205" t="s">
        <v>36</v>
      </c>
      <c r="G205" t="s">
        <v>133</v>
      </c>
      <c r="H205" t="s">
        <v>7</v>
      </c>
      <c r="I205">
        <f>2025-2010</f>
        <v>15</v>
      </c>
      <c r="J205" t="s">
        <v>412</v>
      </c>
      <c r="L205">
        <f>60+45+300+300+70</f>
        <v>775</v>
      </c>
      <c r="M205">
        <v>0</v>
      </c>
      <c r="O205" t="s">
        <v>8</v>
      </c>
    </row>
    <row r="206" spans="4:15" x14ac:dyDescent="0.25">
      <c r="D206">
        <v>204</v>
      </c>
      <c r="E206" t="s">
        <v>18</v>
      </c>
      <c r="F206" t="s">
        <v>241</v>
      </c>
      <c r="G206" t="s">
        <v>15</v>
      </c>
      <c r="H206" t="s">
        <v>11</v>
      </c>
      <c r="I206">
        <f>2025-2018</f>
        <v>7</v>
      </c>
      <c r="J206" t="s">
        <v>413</v>
      </c>
      <c r="L206">
        <v>100</v>
      </c>
      <c r="M206">
        <v>0</v>
      </c>
      <c r="O206" t="s">
        <v>8</v>
      </c>
    </row>
    <row r="207" spans="4:15" x14ac:dyDescent="0.25">
      <c r="D207">
        <v>205</v>
      </c>
      <c r="E207" t="s">
        <v>18</v>
      </c>
      <c r="F207" t="s">
        <v>144</v>
      </c>
      <c r="G207" t="s">
        <v>6</v>
      </c>
      <c r="H207" t="s">
        <v>11</v>
      </c>
      <c r="I207">
        <f>2025-2015</f>
        <v>10</v>
      </c>
      <c r="J207" t="s">
        <v>412</v>
      </c>
      <c r="L207">
        <f>(8*60)+90</f>
        <v>570</v>
      </c>
      <c r="M207">
        <v>0</v>
      </c>
      <c r="O207" t="s">
        <v>8</v>
      </c>
    </row>
    <row r="208" spans="4:15" x14ac:dyDescent="0.25">
      <c r="D208">
        <v>206</v>
      </c>
      <c r="E208" t="s">
        <v>18</v>
      </c>
      <c r="F208" t="s">
        <v>146</v>
      </c>
      <c r="G208" t="s">
        <v>62</v>
      </c>
      <c r="H208" t="s">
        <v>11</v>
      </c>
      <c r="I208">
        <f>2025-2015</f>
        <v>10</v>
      </c>
      <c r="J208" t="s">
        <v>412</v>
      </c>
      <c r="L208">
        <f>30+60+60+70</f>
        <v>220</v>
      </c>
      <c r="M208">
        <v>0</v>
      </c>
      <c r="O208" t="s">
        <v>8</v>
      </c>
    </row>
    <row r="209" spans="4:15" x14ac:dyDescent="0.25">
      <c r="D209">
        <v>207</v>
      </c>
      <c r="E209" t="s">
        <v>18</v>
      </c>
      <c r="F209" t="s">
        <v>242</v>
      </c>
      <c r="G209" t="s">
        <v>6</v>
      </c>
      <c r="H209" t="s">
        <v>11</v>
      </c>
      <c r="I209">
        <f>2025-2018</f>
        <v>7</v>
      </c>
      <c r="J209" t="s">
        <v>413</v>
      </c>
      <c r="L209">
        <v>370</v>
      </c>
      <c r="M209">
        <v>0</v>
      </c>
      <c r="O209" t="s">
        <v>10</v>
      </c>
    </row>
    <row r="210" spans="4:15" x14ac:dyDescent="0.25">
      <c r="D210">
        <v>208</v>
      </c>
      <c r="E210" t="s">
        <v>18</v>
      </c>
      <c r="F210" t="s">
        <v>122</v>
      </c>
      <c r="G210" t="s">
        <v>6</v>
      </c>
      <c r="H210" t="s">
        <v>11</v>
      </c>
      <c r="I210">
        <f>2025-2022</f>
        <v>3</v>
      </c>
      <c r="J210" t="s">
        <v>418</v>
      </c>
      <c r="L210">
        <v>300</v>
      </c>
      <c r="M210">
        <v>0</v>
      </c>
      <c r="O210" t="s">
        <v>10</v>
      </c>
    </row>
    <row r="211" spans="4:15" x14ac:dyDescent="0.25">
      <c r="D211">
        <v>209</v>
      </c>
      <c r="E211" t="s">
        <v>18</v>
      </c>
      <c r="F211" t="s">
        <v>181</v>
      </c>
      <c r="G211" t="s">
        <v>53</v>
      </c>
      <c r="H211" t="s">
        <v>11</v>
      </c>
      <c r="I211">
        <f>2025-2020</f>
        <v>5</v>
      </c>
      <c r="J211" t="s">
        <v>416</v>
      </c>
      <c r="L211">
        <v>50</v>
      </c>
      <c r="M211">
        <v>0</v>
      </c>
      <c r="O211" t="s">
        <v>8</v>
      </c>
    </row>
    <row r="212" spans="4:15" x14ac:dyDescent="0.25">
      <c r="D212">
        <v>210</v>
      </c>
      <c r="E212" t="s">
        <v>18</v>
      </c>
      <c r="F212" t="s">
        <v>69</v>
      </c>
      <c r="G212" t="s">
        <v>93</v>
      </c>
      <c r="H212" t="s">
        <v>11</v>
      </c>
      <c r="I212">
        <f>2025-2016</f>
        <v>9</v>
      </c>
      <c r="J212" t="s">
        <v>413</v>
      </c>
      <c r="L212">
        <v>70</v>
      </c>
      <c r="M212">
        <v>0</v>
      </c>
      <c r="O212" t="s">
        <v>8</v>
      </c>
    </row>
    <row r="213" spans="4:15" x14ac:dyDescent="0.25">
      <c r="D213">
        <v>211</v>
      </c>
      <c r="E213" t="s">
        <v>18</v>
      </c>
      <c r="F213" t="s">
        <v>243</v>
      </c>
      <c r="G213" t="s">
        <v>6</v>
      </c>
      <c r="H213" t="s">
        <v>7</v>
      </c>
      <c r="I213">
        <f>2025-2017</f>
        <v>8</v>
      </c>
      <c r="J213" t="s">
        <v>427</v>
      </c>
      <c r="L213">
        <f>30+30+19.8+70</f>
        <v>149.80000000000001</v>
      </c>
      <c r="M213">
        <v>0</v>
      </c>
      <c r="O213" t="s">
        <v>8</v>
      </c>
    </row>
    <row r="214" spans="4:15" x14ac:dyDescent="0.25">
      <c r="D214">
        <v>212</v>
      </c>
      <c r="E214" t="s">
        <v>18</v>
      </c>
      <c r="F214" t="s">
        <v>244</v>
      </c>
      <c r="G214" t="s">
        <v>6</v>
      </c>
      <c r="H214" t="s">
        <v>7</v>
      </c>
      <c r="I214">
        <f>2025-2011</f>
        <v>14</v>
      </c>
      <c r="J214" t="s">
        <v>410</v>
      </c>
      <c r="L214">
        <f>225+45+225+300+45+300+70</f>
        <v>1210</v>
      </c>
      <c r="M214">
        <f>4.4+5</f>
        <v>9.4</v>
      </c>
      <c r="O214" t="s">
        <v>8</v>
      </c>
    </row>
    <row r="215" spans="4:15" x14ac:dyDescent="0.25">
      <c r="D215">
        <v>213</v>
      </c>
      <c r="E215" t="s">
        <v>18</v>
      </c>
      <c r="F215" t="s">
        <v>245</v>
      </c>
      <c r="G215" t="s">
        <v>93</v>
      </c>
      <c r="H215" t="s">
        <v>11</v>
      </c>
      <c r="I215">
        <f>2025-2010</f>
        <v>15</v>
      </c>
      <c r="J215" t="s">
        <v>412</v>
      </c>
      <c r="L215">
        <f>60+70</f>
        <v>130</v>
      </c>
      <c r="M215">
        <v>4</v>
      </c>
      <c r="O215" t="s">
        <v>8</v>
      </c>
    </row>
    <row r="216" spans="4:15" x14ac:dyDescent="0.25">
      <c r="D216">
        <v>214</v>
      </c>
      <c r="E216" t="s">
        <v>18</v>
      </c>
      <c r="F216" t="s">
        <v>246</v>
      </c>
      <c r="G216" t="s">
        <v>93</v>
      </c>
      <c r="H216" t="s">
        <v>7</v>
      </c>
      <c r="I216">
        <f>2025-2018</f>
        <v>7</v>
      </c>
      <c r="J216" t="s">
        <v>412</v>
      </c>
      <c r="L216">
        <f>70+225+30+300+81.6+150+300+81.6+20.4+300+40.8+60+60+60+60+150</f>
        <v>1989.3999999999999</v>
      </c>
      <c r="M216">
        <v>0</v>
      </c>
      <c r="O216" t="s">
        <v>10</v>
      </c>
    </row>
    <row r="217" spans="4:15" x14ac:dyDescent="0.25">
      <c r="D217">
        <v>215</v>
      </c>
      <c r="E217" t="s">
        <v>18</v>
      </c>
      <c r="F217" t="s">
        <v>247</v>
      </c>
      <c r="G217" t="s">
        <v>6</v>
      </c>
      <c r="H217" t="s">
        <v>7</v>
      </c>
      <c r="I217">
        <f>2025-2017</f>
        <v>8</v>
      </c>
      <c r="J217" t="s">
        <v>421</v>
      </c>
      <c r="L217">
        <v>370</v>
      </c>
      <c r="M217">
        <v>0</v>
      </c>
      <c r="O217" t="s">
        <v>8</v>
      </c>
    </row>
    <row r="218" spans="4:15" x14ac:dyDescent="0.25">
      <c r="D218">
        <v>216</v>
      </c>
      <c r="E218" t="s">
        <v>18</v>
      </c>
      <c r="F218" t="s">
        <v>248</v>
      </c>
      <c r="G218" t="s">
        <v>210</v>
      </c>
      <c r="H218" t="s">
        <v>11</v>
      </c>
      <c r="I218">
        <f>2025-2011</f>
        <v>14</v>
      </c>
      <c r="J218" t="s">
        <v>410</v>
      </c>
      <c r="L218">
        <f>(45*6)+70</f>
        <v>340</v>
      </c>
      <c r="M218">
        <v>0</v>
      </c>
      <c r="O218" t="s">
        <v>8</v>
      </c>
    </row>
    <row r="219" spans="4:15" x14ac:dyDescent="0.25">
      <c r="D219">
        <v>217</v>
      </c>
      <c r="E219" t="s">
        <v>18</v>
      </c>
      <c r="F219" t="s">
        <v>249</v>
      </c>
      <c r="G219" t="s">
        <v>6</v>
      </c>
      <c r="H219" t="s">
        <v>7</v>
      </c>
      <c r="I219">
        <f>2025-2014</f>
        <v>11</v>
      </c>
      <c r="J219" t="s">
        <v>413</v>
      </c>
      <c r="L219">
        <v>70</v>
      </c>
      <c r="M219">
        <v>4</v>
      </c>
      <c r="O219" t="s">
        <v>8</v>
      </c>
    </row>
    <row r="220" spans="4:15" x14ac:dyDescent="0.25">
      <c r="D220">
        <v>218</v>
      </c>
      <c r="E220" t="s">
        <v>18</v>
      </c>
      <c r="F220" t="s">
        <v>69</v>
      </c>
      <c r="G220" t="s">
        <v>159</v>
      </c>
      <c r="H220" t="s">
        <v>11</v>
      </c>
      <c r="I220">
        <f>2025-2014</f>
        <v>11</v>
      </c>
      <c r="J220" t="s">
        <v>413</v>
      </c>
      <c r="L220">
        <v>370</v>
      </c>
      <c r="M220">
        <v>0</v>
      </c>
      <c r="O220" t="s">
        <v>8</v>
      </c>
    </row>
    <row r="221" spans="4:15" x14ac:dyDescent="0.25">
      <c r="D221">
        <v>219</v>
      </c>
      <c r="E221" t="s">
        <v>18</v>
      </c>
      <c r="F221" t="s">
        <v>251</v>
      </c>
      <c r="G221" t="s">
        <v>6</v>
      </c>
      <c r="H221" t="s">
        <v>11</v>
      </c>
      <c r="I221">
        <f>2025-2019</f>
        <v>6</v>
      </c>
      <c r="L221">
        <f>225+225+70</f>
        <v>520</v>
      </c>
      <c r="M221">
        <v>0</v>
      </c>
      <c r="O221" t="s">
        <v>8</v>
      </c>
    </row>
    <row r="222" spans="4:15" x14ac:dyDescent="0.25">
      <c r="D222">
        <v>220</v>
      </c>
      <c r="E222" t="s">
        <v>18</v>
      </c>
      <c r="F222" t="s">
        <v>250</v>
      </c>
      <c r="G222" t="s">
        <v>6</v>
      </c>
      <c r="H222" t="s">
        <v>7</v>
      </c>
      <c r="I222">
        <f>2025-2017</f>
        <v>8</v>
      </c>
      <c r="J222" t="s">
        <v>421</v>
      </c>
      <c r="L222">
        <v>370</v>
      </c>
      <c r="M222">
        <v>0</v>
      </c>
      <c r="O222" t="s">
        <v>10</v>
      </c>
    </row>
    <row r="223" spans="4:15" x14ac:dyDescent="0.25">
      <c r="D223">
        <v>221</v>
      </c>
      <c r="E223" t="s">
        <v>18</v>
      </c>
      <c r="F223" t="s">
        <v>252</v>
      </c>
      <c r="G223" t="s">
        <v>6</v>
      </c>
      <c r="H223" t="s">
        <v>11</v>
      </c>
      <c r="I223">
        <f>2025-2009</f>
        <v>16</v>
      </c>
      <c r="J223" t="s">
        <v>427</v>
      </c>
      <c r="L223">
        <v>70</v>
      </c>
      <c r="M223">
        <v>0</v>
      </c>
      <c r="O223" t="s">
        <v>10</v>
      </c>
    </row>
    <row r="224" spans="4:15" x14ac:dyDescent="0.25">
      <c r="D224">
        <v>222</v>
      </c>
      <c r="E224" t="s">
        <v>18</v>
      </c>
      <c r="F224" t="s">
        <v>253</v>
      </c>
      <c r="G224" t="s">
        <v>77</v>
      </c>
      <c r="H224" t="s">
        <v>7</v>
      </c>
      <c r="I224">
        <f>2025-2022</f>
        <v>3</v>
      </c>
      <c r="J224" t="s">
        <v>423</v>
      </c>
      <c r="L224">
        <f>45+70</f>
        <v>115</v>
      </c>
      <c r="M224">
        <v>0</v>
      </c>
      <c r="O224" t="s">
        <v>10</v>
      </c>
    </row>
    <row r="225" spans="4:15" x14ac:dyDescent="0.25">
      <c r="D225">
        <v>223</v>
      </c>
      <c r="E225" t="s">
        <v>18</v>
      </c>
      <c r="F225" t="s">
        <v>254</v>
      </c>
      <c r="G225" t="s">
        <v>73</v>
      </c>
      <c r="H225" t="s">
        <v>7</v>
      </c>
      <c r="I225">
        <f>2025-2015</f>
        <v>10</v>
      </c>
      <c r="J225" t="s">
        <v>410</v>
      </c>
      <c r="L225">
        <v>180</v>
      </c>
      <c r="M225">
        <v>0</v>
      </c>
      <c r="O225" t="s">
        <v>10</v>
      </c>
    </row>
    <row r="226" spans="4:15" x14ac:dyDescent="0.25">
      <c r="D226">
        <v>224</v>
      </c>
      <c r="E226" t="s">
        <v>18</v>
      </c>
      <c r="F226" t="s">
        <v>230</v>
      </c>
      <c r="G226" t="s">
        <v>6</v>
      </c>
      <c r="H226" t="s">
        <v>7</v>
      </c>
      <c r="I226">
        <f>2025-2014</f>
        <v>11</v>
      </c>
      <c r="J226" t="s">
        <v>412</v>
      </c>
      <c r="L226">
        <v>370</v>
      </c>
      <c r="M226">
        <v>0</v>
      </c>
      <c r="O226" t="s">
        <v>8</v>
      </c>
    </row>
    <row r="227" spans="4:15" x14ac:dyDescent="0.25">
      <c r="D227">
        <v>225</v>
      </c>
      <c r="E227" t="s">
        <v>18</v>
      </c>
      <c r="F227" t="s">
        <v>255</v>
      </c>
      <c r="G227" t="s">
        <v>172</v>
      </c>
      <c r="H227" t="s">
        <v>7</v>
      </c>
      <c r="I227">
        <f>2025-2017</f>
        <v>8</v>
      </c>
      <c r="J227" t="s">
        <v>427</v>
      </c>
      <c r="L227">
        <v>70</v>
      </c>
      <c r="M227">
        <v>0</v>
      </c>
      <c r="O227" t="s">
        <v>8</v>
      </c>
    </row>
    <row r="228" spans="4:15" x14ac:dyDescent="0.25">
      <c r="D228">
        <v>226</v>
      </c>
      <c r="E228" t="s">
        <v>18</v>
      </c>
      <c r="F228" t="s">
        <v>256</v>
      </c>
      <c r="G228" t="s">
        <v>205</v>
      </c>
      <c r="H228" t="s">
        <v>7</v>
      </c>
      <c r="I228">
        <f>2025-2014</f>
        <v>11</v>
      </c>
      <c r="J228" t="s">
        <v>412</v>
      </c>
      <c r="L228">
        <v>370</v>
      </c>
      <c r="M228">
        <v>0</v>
      </c>
      <c r="O228" t="s">
        <v>8</v>
      </c>
    </row>
    <row r="229" spans="4:15" x14ac:dyDescent="0.25">
      <c r="D229">
        <v>227</v>
      </c>
      <c r="E229" t="s">
        <v>18</v>
      </c>
      <c r="F229" t="s">
        <v>168</v>
      </c>
      <c r="G229" t="s">
        <v>12</v>
      </c>
      <c r="H229" t="s">
        <v>11</v>
      </c>
      <c r="I229">
        <v>2</v>
      </c>
      <c r="J229" t="s">
        <v>421</v>
      </c>
      <c r="L229">
        <f>6.8+225+6.8+6.8+150+300+6.8+70</f>
        <v>772.2</v>
      </c>
      <c r="M229">
        <v>0</v>
      </c>
      <c r="O229" t="s">
        <v>8</v>
      </c>
    </row>
    <row r="230" spans="4:15" x14ac:dyDescent="0.25">
      <c r="D230">
        <v>228</v>
      </c>
      <c r="E230" t="s">
        <v>18</v>
      </c>
      <c r="F230" t="s">
        <v>257</v>
      </c>
      <c r="G230" t="s">
        <v>6</v>
      </c>
      <c r="H230" t="s">
        <v>11</v>
      </c>
      <c r="I230">
        <f>2025-2018</f>
        <v>7</v>
      </c>
      <c r="J230" t="s">
        <v>427</v>
      </c>
      <c r="L230">
        <f>150+70</f>
        <v>220</v>
      </c>
      <c r="M230">
        <v>0</v>
      </c>
      <c r="O230" t="s">
        <v>10</v>
      </c>
    </row>
    <row r="231" spans="4:15" x14ac:dyDescent="0.25">
      <c r="D231">
        <v>229</v>
      </c>
      <c r="E231" t="s">
        <v>18</v>
      </c>
      <c r="F231" t="s">
        <v>118</v>
      </c>
      <c r="G231" t="s">
        <v>6</v>
      </c>
      <c r="H231" t="s">
        <v>7</v>
      </c>
      <c r="I231">
        <f>2025-2017</f>
        <v>8</v>
      </c>
      <c r="J231" t="s">
        <v>412</v>
      </c>
      <c r="L231">
        <f>60+45+60+60+70</f>
        <v>295</v>
      </c>
      <c r="M231">
        <v>0</v>
      </c>
      <c r="O231" t="s">
        <v>10</v>
      </c>
    </row>
    <row r="232" spans="4:15" x14ac:dyDescent="0.25">
      <c r="D232">
        <v>230</v>
      </c>
      <c r="E232" t="s">
        <v>18</v>
      </c>
      <c r="F232" t="s">
        <v>258</v>
      </c>
      <c r="G232" t="s">
        <v>259</v>
      </c>
      <c r="H232" t="s">
        <v>7</v>
      </c>
      <c r="I232">
        <f>2025-2017</f>
        <v>8</v>
      </c>
      <c r="J232" t="s">
        <v>416</v>
      </c>
      <c r="L232">
        <f>450+60+90+70</f>
        <v>670</v>
      </c>
      <c r="M232">
        <v>0</v>
      </c>
      <c r="O232" t="s">
        <v>8</v>
      </c>
    </row>
    <row r="233" spans="4:15" x14ac:dyDescent="0.25">
      <c r="D233">
        <v>231</v>
      </c>
      <c r="E233" t="s">
        <v>18</v>
      </c>
      <c r="F233" t="s">
        <v>260</v>
      </c>
      <c r="G233" t="s">
        <v>12</v>
      </c>
      <c r="H233" t="s">
        <v>11</v>
      </c>
      <c r="I233">
        <f>2025-2009</f>
        <v>16</v>
      </c>
      <c r="J233" t="s">
        <v>410</v>
      </c>
      <c r="L233">
        <f>30+20.4+30+30+20.4+30+30+30+30+20.4+30+30+20.4+13.6+13.6+13.6+6.8+30+20.4+30+30+20.4+30+30+30+60+30</f>
        <v>710</v>
      </c>
      <c r="M233">
        <f>37.5+37.5+3.3+3.3+37.5+37.5+39.9+4+37.5+29.3+37.5+37.5+37.5+37.5+37.5+4.5+37.5</f>
        <v>496.8</v>
      </c>
      <c r="O233" t="s">
        <v>8</v>
      </c>
    </row>
    <row r="234" spans="4:15" x14ac:dyDescent="0.25">
      <c r="D234">
        <v>232</v>
      </c>
      <c r="E234" t="s">
        <v>18</v>
      </c>
      <c r="F234" t="s">
        <v>69</v>
      </c>
      <c r="G234" t="s">
        <v>9</v>
      </c>
      <c r="H234" t="s">
        <v>11</v>
      </c>
      <c r="I234">
        <v>10</v>
      </c>
      <c r="J234" t="s">
        <v>412</v>
      </c>
      <c r="L234">
        <f>225+70</f>
        <v>295</v>
      </c>
      <c r="M234">
        <v>0</v>
      </c>
      <c r="O234" t="s">
        <v>10</v>
      </c>
    </row>
    <row r="235" spans="4:15" x14ac:dyDescent="0.25">
      <c r="D235">
        <v>233</v>
      </c>
      <c r="E235" t="s">
        <v>18</v>
      </c>
      <c r="F235" t="s">
        <v>243</v>
      </c>
      <c r="G235" t="s">
        <v>23</v>
      </c>
      <c r="H235" t="s">
        <v>7</v>
      </c>
      <c r="I235">
        <f>2025-2020</f>
        <v>5</v>
      </c>
      <c r="J235" t="s">
        <v>412</v>
      </c>
      <c r="L235">
        <f>450+70</f>
        <v>520</v>
      </c>
      <c r="M235">
        <v>0</v>
      </c>
      <c r="O235" t="s">
        <v>8</v>
      </c>
    </row>
    <row r="236" spans="4:15" x14ac:dyDescent="0.25">
      <c r="D236">
        <v>234</v>
      </c>
      <c r="E236" t="s">
        <v>18</v>
      </c>
      <c r="F236" t="s">
        <v>261</v>
      </c>
      <c r="G236" t="s">
        <v>15</v>
      </c>
      <c r="H236" t="s">
        <v>11</v>
      </c>
      <c r="I236">
        <f>2025-2024</f>
        <v>1</v>
      </c>
      <c r="J236" t="s">
        <v>423</v>
      </c>
      <c r="L236">
        <v>0</v>
      </c>
      <c r="M236">
        <v>8</v>
      </c>
      <c r="O236" t="s">
        <v>8</v>
      </c>
    </row>
    <row r="237" spans="4:15" x14ac:dyDescent="0.25">
      <c r="D237">
        <v>235</v>
      </c>
      <c r="E237" t="s">
        <v>18</v>
      </c>
      <c r="F237" t="s">
        <v>262</v>
      </c>
      <c r="G237" t="s">
        <v>15</v>
      </c>
      <c r="H237" t="s">
        <v>11</v>
      </c>
      <c r="I237">
        <v>1</v>
      </c>
      <c r="J237" t="s">
        <v>423</v>
      </c>
      <c r="O237" t="s">
        <v>8</v>
      </c>
    </row>
    <row r="238" spans="4:15" x14ac:dyDescent="0.25">
      <c r="D238">
        <v>236</v>
      </c>
      <c r="E238" t="s">
        <v>18</v>
      </c>
      <c r="F238" t="s">
        <v>263</v>
      </c>
      <c r="G238" t="s">
        <v>70</v>
      </c>
      <c r="H238" t="s">
        <v>7</v>
      </c>
      <c r="I238">
        <v>11</v>
      </c>
      <c r="L238">
        <v>90</v>
      </c>
      <c r="M238">
        <v>0</v>
      </c>
      <c r="O238" t="s">
        <v>8</v>
      </c>
    </row>
    <row r="239" spans="4:15" x14ac:dyDescent="0.25">
      <c r="D239">
        <v>237</v>
      </c>
      <c r="E239" t="s">
        <v>18</v>
      </c>
      <c r="F239" t="s">
        <v>164</v>
      </c>
      <c r="G239" t="s">
        <v>6</v>
      </c>
      <c r="H239" t="s">
        <v>11</v>
      </c>
      <c r="I239">
        <f>2025-2018</f>
        <v>7</v>
      </c>
      <c r="J239" t="s">
        <v>423</v>
      </c>
      <c r="L239">
        <v>120</v>
      </c>
      <c r="M239">
        <v>0</v>
      </c>
      <c r="O239" t="s">
        <v>8</v>
      </c>
    </row>
    <row r="240" spans="4:15" x14ac:dyDescent="0.25">
      <c r="D240">
        <v>238</v>
      </c>
      <c r="E240" t="s">
        <v>18</v>
      </c>
      <c r="F240" t="s">
        <v>264</v>
      </c>
      <c r="G240" t="s">
        <v>6</v>
      </c>
      <c r="H240" t="s">
        <v>11</v>
      </c>
      <c r="I240">
        <f>2025-2015</f>
        <v>10</v>
      </c>
      <c r="J240" t="s">
        <v>413</v>
      </c>
      <c r="L240">
        <f>360+70</f>
        <v>430</v>
      </c>
      <c r="M240">
        <v>0</v>
      </c>
      <c r="O240" t="s">
        <v>8</v>
      </c>
    </row>
    <row r="241" spans="4:15" x14ac:dyDescent="0.25">
      <c r="D241">
        <v>239</v>
      </c>
      <c r="E241" t="s">
        <v>18</v>
      </c>
      <c r="F241" t="s">
        <v>40</v>
      </c>
      <c r="G241" t="s">
        <v>60</v>
      </c>
      <c r="H241" t="s">
        <v>7</v>
      </c>
      <c r="I241">
        <v>4</v>
      </c>
      <c r="J241" t="s">
        <v>417</v>
      </c>
      <c r="L241">
        <f>30+30+30+30+45+6+45+45+225+225+70</f>
        <v>781</v>
      </c>
      <c r="M241">
        <v>0</v>
      </c>
      <c r="O241" t="s">
        <v>10</v>
      </c>
    </row>
    <row r="242" spans="4:15" x14ac:dyDescent="0.25">
      <c r="D242">
        <v>240</v>
      </c>
      <c r="E242" t="s">
        <v>18</v>
      </c>
      <c r="F242" t="s">
        <v>265</v>
      </c>
      <c r="G242" t="s">
        <v>15</v>
      </c>
      <c r="H242" t="s">
        <v>7</v>
      </c>
      <c r="I242">
        <v>2</v>
      </c>
      <c r="J242" t="s">
        <v>421</v>
      </c>
      <c r="L242">
        <f>60+60+60+60+60+60+60+60+60</f>
        <v>540</v>
      </c>
      <c r="M242">
        <v>13.25</v>
      </c>
      <c r="O242" t="s">
        <v>10</v>
      </c>
    </row>
    <row r="243" spans="4:15" x14ac:dyDescent="0.25">
      <c r="D243">
        <v>241</v>
      </c>
      <c r="E243" t="s">
        <v>18</v>
      </c>
      <c r="F243" t="s">
        <v>34</v>
      </c>
      <c r="G243" t="s">
        <v>172</v>
      </c>
      <c r="H243" t="s">
        <v>11</v>
      </c>
      <c r="I243">
        <f>2025-2008</f>
        <v>17</v>
      </c>
      <c r="J243" t="s">
        <v>413</v>
      </c>
      <c r="L243">
        <v>60</v>
      </c>
      <c r="M243">
        <v>0</v>
      </c>
      <c r="O243" t="s">
        <v>10</v>
      </c>
    </row>
    <row r="244" spans="4:15" x14ac:dyDescent="0.25">
      <c r="D244">
        <v>242</v>
      </c>
      <c r="E244" t="s">
        <v>18</v>
      </c>
      <c r="F244" t="s">
        <v>266</v>
      </c>
      <c r="G244" t="s">
        <v>267</v>
      </c>
      <c r="H244" t="s">
        <v>7</v>
      </c>
      <c r="I244">
        <f>2025-2011</f>
        <v>14</v>
      </c>
      <c r="J244" t="s">
        <v>427</v>
      </c>
      <c r="L244">
        <f>45+225+40.8+225+225+70</f>
        <v>830.8</v>
      </c>
      <c r="M244">
        <v>37.5</v>
      </c>
      <c r="O244" t="s">
        <v>10</v>
      </c>
    </row>
    <row r="245" spans="4:15" x14ac:dyDescent="0.25">
      <c r="D245">
        <v>243</v>
      </c>
      <c r="E245" t="s">
        <v>18</v>
      </c>
      <c r="F245" t="s">
        <v>268</v>
      </c>
      <c r="G245" t="s">
        <v>15</v>
      </c>
      <c r="H245" t="s">
        <v>7</v>
      </c>
      <c r="I245">
        <f>2025-2013</f>
        <v>12</v>
      </c>
      <c r="L245">
        <f>225+45+40+45+45+40+40+40</f>
        <v>520</v>
      </c>
      <c r="M245">
        <v>0</v>
      </c>
      <c r="O245" t="s">
        <v>10</v>
      </c>
    </row>
    <row r="246" spans="4:15" x14ac:dyDescent="0.25">
      <c r="D246">
        <v>244</v>
      </c>
      <c r="E246" t="s">
        <v>18</v>
      </c>
      <c r="F246" t="s">
        <v>256</v>
      </c>
      <c r="G246" t="s">
        <v>9</v>
      </c>
      <c r="H246" t="s">
        <v>7</v>
      </c>
      <c r="I246">
        <f>2025-2013</f>
        <v>12</v>
      </c>
      <c r="J246" t="s">
        <v>412</v>
      </c>
      <c r="L246">
        <f>225+70+225</f>
        <v>520</v>
      </c>
      <c r="M246">
        <v>0</v>
      </c>
      <c r="O246" t="s">
        <v>8</v>
      </c>
    </row>
    <row r="247" spans="4:15" x14ac:dyDescent="0.25">
      <c r="D247">
        <v>245</v>
      </c>
      <c r="E247" t="s">
        <v>18</v>
      </c>
      <c r="F247" t="s">
        <v>221</v>
      </c>
      <c r="G247" t="s">
        <v>23</v>
      </c>
      <c r="H247" t="s">
        <v>7</v>
      </c>
      <c r="I247">
        <v>2</v>
      </c>
      <c r="J247" t="s">
        <v>417</v>
      </c>
      <c r="L247">
        <v>70</v>
      </c>
      <c r="M247">
        <v>0</v>
      </c>
      <c r="O247" t="s">
        <v>8</v>
      </c>
    </row>
    <row r="248" spans="4:15" x14ac:dyDescent="0.25">
      <c r="D248">
        <v>246</v>
      </c>
      <c r="E248" t="s">
        <v>18</v>
      </c>
      <c r="F248" t="s">
        <v>270</v>
      </c>
      <c r="G248" t="s">
        <v>269</v>
      </c>
      <c r="H248" t="s">
        <v>11</v>
      </c>
      <c r="I248">
        <v>4</v>
      </c>
      <c r="J248" t="s">
        <v>423</v>
      </c>
      <c r="L248">
        <v>70</v>
      </c>
      <c r="M248">
        <v>0</v>
      </c>
      <c r="O248" t="s">
        <v>10</v>
      </c>
    </row>
    <row r="249" spans="4:15" x14ac:dyDescent="0.25">
      <c r="D249">
        <v>247</v>
      </c>
      <c r="E249" t="s">
        <v>18</v>
      </c>
      <c r="F249" t="s">
        <v>69</v>
      </c>
      <c r="G249" t="s">
        <v>237</v>
      </c>
      <c r="H249" t="s">
        <v>11</v>
      </c>
      <c r="I249">
        <f>2025-2014</f>
        <v>11</v>
      </c>
      <c r="J249" t="s">
        <v>423</v>
      </c>
      <c r="L249">
        <v>40</v>
      </c>
      <c r="M249">
        <v>0</v>
      </c>
      <c r="O249" t="s">
        <v>8</v>
      </c>
    </row>
    <row r="250" spans="4:15" x14ac:dyDescent="0.25">
      <c r="D250">
        <v>248</v>
      </c>
      <c r="E250" t="s">
        <v>18</v>
      </c>
      <c r="F250" t="s">
        <v>112</v>
      </c>
      <c r="G250" t="s">
        <v>6</v>
      </c>
      <c r="H250" t="s">
        <v>7</v>
      </c>
      <c r="I250">
        <f>2025-2018</f>
        <v>7</v>
      </c>
      <c r="J250" t="s">
        <v>416</v>
      </c>
      <c r="L250">
        <f>60+60+70</f>
        <v>190</v>
      </c>
      <c r="M250">
        <v>0</v>
      </c>
      <c r="O250" t="s">
        <v>10</v>
      </c>
    </row>
    <row r="251" spans="4:15" x14ac:dyDescent="0.25">
      <c r="D251">
        <v>249</v>
      </c>
      <c r="E251" t="s">
        <v>18</v>
      </c>
      <c r="F251" t="s">
        <v>271</v>
      </c>
      <c r="G251" t="s">
        <v>93</v>
      </c>
      <c r="H251" t="s">
        <v>11</v>
      </c>
      <c r="I251">
        <f>2025-2017</f>
        <v>8</v>
      </c>
      <c r="J251" t="s">
        <v>417</v>
      </c>
      <c r="L251">
        <v>370</v>
      </c>
      <c r="M251">
        <v>0</v>
      </c>
      <c r="O251" t="s">
        <v>8</v>
      </c>
    </row>
    <row r="252" spans="4:15" x14ac:dyDescent="0.25">
      <c r="D252">
        <v>250</v>
      </c>
      <c r="E252" t="s">
        <v>18</v>
      </c>
      <c r="F252" t="s">
        <v>272</v>
      </c>
      <c r="G252" t="s">
        <v>117</v>
      </c>
      <c r="H252" t="s">
        <v>7</v>
      </c>
      <c r="I252">
        <f>2025-2014</f>
        <v>11</v>
      </c>
      <c r="J252" t="s">
        <v>427</v>
      </c>
      <c r="L252">
        <v>180</v>
      </c>
      <c r="M252">
        <v>0</v>
      </c>
      <c r="O252" t="s">
        <v>8</v>
      </c>
    </row>
    <row r="253" spans="4:15" x14ac:dyDescent="0.25">
      <c r="D253">
        <v>251</v>
      </c>
      <c r="E253" t="s">
        <v>18</v>
      </c>
      <c r="F253" t="s">
        <v>274</v>
      </c>
      <c r="G253" t="s">
        <v>273</v>
      </c>
      <c r="H253" t="s">
        <v>11</v>
      </c>
      <c r="I253">
        <f>2025-2013</f>
        <v>12</v>
      </c>
      <c r="J253" t="s">
        <v>410</v>
      </c>
      <c r="L253">
        <f>225+225+225+225+225+225+70</f>
        <v>1420</v>
      </c>
      <c r="M253">
        <f>3.3+4</f>
        <v>7.3</v>
      </c>
      <c r="O253" t="s">
        <v>8</v>
      </c>
    </row>
    <row r="254" spans="4:15" x14ac:dyDescent="0.25">
      <c r="D254">
        <v>252</v>
      </c>
      <c r="E254" t="s">
        <v>18</v>
      </c>
      <c r="F254" t="s">
        <v>275</v>
      </c>
      <c r="G254" t="s">
        <v>6</v>
      </c>
      <c r="H254" t="s">
        <v>11</v>
      </c>
      <c r="I254">
        <v>3</v>
      </c>
      <c r="J254" t="s">
        <v>410</v>
      </c>
      <c r="L254">
        <v>70</v>
      </c>
      <c r="M254">
        <v>0</v>
      </c>
      <c r="O254" t="s">
        <v>8</v>
      </c>
    </row>
    <row r="255" spans="4:15" x14ac:dyDescent="0.25">
      <c r="D255">
        <v>253</v>
      </c>
      <c r="E255" t="s">
        <v>18</v>
      </c>
      <c r="F255" t="s">
        <v>276</v>
      </c>
      <c r="G255" t="s">
        <v>62</v>
      </c>
      <c r="H255" t="s">
        <v>7</v>
      </c>
      <c r="I255">
        <f>2025-2017</f>
        <v>8</v>
      </c>
      <c r="J255" t="s">
        <v>412</v>
      </c>
      <c r="L255">
        <v>90</v>
      </c>
      <c r="M255">
        <v>0</v>
      </c>
      <c r="O255" t="s">
        <v>8</v>
      </c>
    </row>
    <row r="256" spans="4:15" x14ac:dyDescent="0.25">
      <c r="D256">
        <v>254</v>
      </c>
      <c r="E256" t="s">
        <v>18</v>
      </c>
      <c r="F256" t="s">
        <v>277</v>
      </c>
      <c r="G256" t="s">
        <v>53</v>
      </c>
      <c r="H256" t="s">
        <v>7</v>
      </c>
      <c r="I256">
        <f>2025-2020</f>
        <v>5</v>
      </c>
      <c r="J256" t="s">
        <v>416</v>
      </c>
      <c r="L256">
        <v>70</v>
      </c>
      <c r="M256">
        <v>0</v>
      </c>
      <c r="O256" t="s">
        <v>10</v>
      </c>
    </row>
    <row r="257" spans="4:15" x14ac:dyDescent="0.25">
      <c r="D257">
        <v>255</v>
      </c>
      <c r="E257" t="s">
        <v>18</v>
      </c>
      <c r="F257" t="s">
        <v>278</v>
      </c>
      <c r="G257" t="s">
        <v>210</v>
      </c>
      <c r="H257" t="s">
        <v>7</v>
      </c>
      <c r="I257">
        <f>2025-2017</f>
        <v>8</v>
      </c>
      <c r="J257" t="s">
        <v>413</v>
      </c>
      <c r="L257">
        <f>60+300</f>
        <v>360</v>
      </c>
      <c r="M257">
        <v>0</v>
      </c>
      <c r="O257" t="s">
        <v>8</v>
      </c>
    </row>
    <row r="258" spans="4:15" x14ac:dyDescent="0.25">
      <c r="D258">
        <v>256</v>
      </c>
      <c r="E258" t="s">
        <v>18</v>
      </c>
      <c r="F258" t="s">
        <v>279</v>
      </c>
      <c r="G258" t="s">
        <v>6</v>
      </c>
      <c r="H258" t="s">
        <v>11</v>
      </c>
      <c r="I258">
        <f>2025-2011</f>
        <v>14</v>
      </c>
      <c r="J258" t="s">
        <v>427</v>
      </c>
      <c r="L258">
        <f>300+60+300+70</f>
        <v>730</v>
      </c>
      <c r="M258">
        <v>4.4000000000000004</v>
      </c>
      <c r="O258" t="s">
        <v>8</v>
      </c>
    </row>
    <row r="259" spans="4:15" x14ac:dyDescent="0.25">
      <c r="D259">
        <v>257</v>
      </c>
      <c r="E259" t="s">
        <v>18</v>
      </c>
      <c r="F259" t="s">
        <v>280</v>
      </c>
      <c r="G259" t="s">
        <v>6</v>
      </c>
      <c r="H259" t="s">
        <v>11</v>
      </c>
      <c r="I259">
        <f>2025-2013</f>
        <v>12</v>
      </c>
      <c r="J259" t="s">
        <v>413</v>
      </c>
      <c r="L259">
        <f>150+300+70</f>
        <v>520</v>
      </c>
      <c r="M259">
        <v>0</v>
      </c>
      <c r="O259" t="s">
        <v>8</v>
      </c>
    </row>
    <row r="260" spans="4:15" x14ac:dyDescent="0.25">
      <c r="D260">
        <v>258</v>
      </c>
      <c r="E260" t="s">
        <v>19</v>
      </c>
      <c r="F260" t="s">
        <v>281</v>
      </c>
      <c r="G260" t="s">
        <v>16</v>
      </c>
      <c r="H260" t="s">
        <v>7</v>
      </c>
      <c r="I260">
        <f>2025-2024</f>
        <v>1</v>
      </c>
      <c r="J260" t="s">
        <v>427</v>
      </c>
      <c r="L260">
        <f>225+70</f>
        <v>295</v>
      </c>
      <c r="M260">
        <v>0</v>
      </c>
      <c r="O260" t="s">
        <v>8</v>
      </c>
    </row>
    <row r="261" spans="4:15" x14ac:dyDescent="0.25">
      <c r="D261">
        <v>259</v>
      </c>
      <c r="E261" t="s">
        <v>18</v>
      </c>
      <c r="F261" t="s">
        <v>282</v>
      </c>
      <c r="G261" t="s">
        <v>6</v>
      </c>
      <c r="H261" t="s">
        <v>7</v>
      </c>
      <c r="I261">
        <f>2025-2015</f>
        <v>10</v>
      </c>
      <c r="J261" t="s">
        <v>412</v>
      </c>
      <c r="L261">
        <f>70+60+450</f>
        <v>580</v>
      </c>
      <c r="M261">
        <f>5+2.5+4.4+4.4</f>
        <v>16.3</v>
      </c>
      <c r="O261" t="s">
        <v>8</v>
      </c>
    </row>
    <row r="262" spans="4:15" x14ac:dyDescent="0.25">
      <c r="D262">
        <v>260</v>
      </c>
      <c r="E262" t="s">
        <v>18</v>
      </c>
      <c r="F262" t="s">
        <v>218</v>
      </c>
      <c r="G262" t="s">
        <v>6</v>
      </c>
      <c r="H262" t="s">
        <v>11</v>
      </c>
      <c r="I262">
        <v>5</v>
      </c>
      <c r="J262" t="s">
        <v>413</v>
      </c>
      <c r="L262">
        <v>70</v>
      </c>
      <c r="M262">
        <v>0</v>
      </c>
      <c r="O262" t="s">
        <v>8</v>
      </c>
    </row>
    <row r="263" spans="4:15" x14ac:dyDescent="0.25">
      <c r="D263">
        <v>261</v>
      </c>
      <c r="E263" t="s">
        <v>18</v>
      </c>
      <c r="F263" t="s">
        <v>283</v>
      </c>
      <c r="G263" t="s">
        <v>6</v>
      </c>
      <c r="H263" t="s">
        <v>11</v>
      </c>
      <c r="I263">
        <v>5</v>
      </c>
      <c r="J263" t="s">
        <v>412</v>
      </c>
      <c r="L263">
        <f>30+45+70</f>
        <v>145</v>
      </c>
      <c r="M263">
        <f>3.3+3.3</f>
        <v>6.6</v>
      </c>
      <c r="O263" t="s">
        <v>8</v>
      </c>
    </row>
    <row r="264" spans="4:15" x14ac:dyDescent="0.25">
      <c r="D264">
        <v>262</v>
      </c>
      <c r="E264" t="s">
        <v>18</v>
      </c>
      <c r="F264" t="s">
        <v>284</v>
      </c>
      <c r="G264" t="s">
        <v>285</v>
      </c>
      <c r="H264" t="s">
        <v>11</v>
      </c>
      <c r="I264">
        <v>5</v>
      </c>
      <c r="J264" t="s">
        <v>410</v>
      </c>
      <c r="L264">
        <f>14.95+150+14.95+150+150+150+70</f>
        <v>699.9</v>
      </c>
      <c r="M264">
        <v>0</v>
      </c>
      <c r="O264" t="s">
        <v>8</v>
      </c>
    </row>
    <row r="265" spans="4:15" x14ac:dyDescent="0.25">
      <c r="D265">
        <v>263</v>
      </c>
      <c r="E265" t="s">
        <v>18</v>
      </c>
      <c r="F265" t="s">
        <v>287</v>
      </c>
      <c r="G265" t="s">
        <v>95</v>
      </c>
      <c r="H265" t="s">
        <v>11</v>
      </c>
      <c r="I265">
        <f>2025-2016</f>
        <v>9</v>
      </c>
      <c r="J265" t="s">
        <v>412</v>
      </c>
      <c r="L265">
        <f>30+150+30+300+300+300+17.35+70</f>
        <v>1197.3499999999999</v>
      </c>
      <c r="M265">
        <v>5</v>
      </c>
      <c r="O265" t="s">
        <v>8</v>
      </c>
    </row>
    <row r="266" spans="4:15" x14ac:dyDescent="0.25">
      <c r="D266">
        <v>264</v>
      </c>
      <c r="E266" t="s">
        <v>18</v>
      </c>
      <c r="F266" t="s">
        <v>288</v>
      </c>
      <c r="G266" t="s">
        <v>289</v>
      </c>
      <c r="H266" t="s">
        <v>7</v>
      </c>
      <c r="I266">
        <f>2025-2018</f>
        <v>7</v>
      </c>
      <c r="J266" t="s">
        <v>412</v>
      </c>
      <c r="L266">
        <f>450+450+450+60+17.35+70</f>
        <v>1497.35</v>
      </c>
      <c r="M266">
        <v>0</v>
      </c>
      <c r="O266" t="s">
        <v>8</v>
      </c>
    </row>
    <row r="267" spans="4:15" x14ac:dyDescent="0.25">
      <c r="D267">
        <v>265</v>
      </c>
      <c r="E267" t="s">
        <v>18</v>
      </c>
      <c r="F267" t="s">
        <v>290</v>
      </c>
      <c r="G267" t="s">
        <v>6</v>
      </c>
      <c r="H267" t="s">
        <v>7</v>
      </c>
      <c r="I267">
        <f>2025-2013</f>
        <v>12</v>
      </c>
      <c r="J267" t="s">
        <v>413</v>
      </c>
      <c r="L267">
        <f>60+60+60+60+45+60+60+60+45+60+60+70</f>
        <v>700</v>
      </c>
      <c r="M267">
        <v>0</v>
      </c>
      <c r="O267" t="s">
        <v>10</v>
      </c>
    </row>
    <row r="268" spans="4:15" x14ac:dyDescent="0.25">
      <c r="D268">
        <v>266</v>
      </c>
      <c r="E268" t="s">
        <v>18</v>
      </c>
      <c r="F268" t="s">
        <v>291</v>
      </c>
      <c r="G268" t="s">
        <v>93</v>
      </c>
      <c r="H268" t="s">
        <v>7</v>
      </c>
      <c r="I268">
        <f>2025-2012</f>
        <v>13</v>
      </c>
      <c r="J268" t="s">
        <v>410</v>
      </c>
      <c r="L268">
        <v>370</v>
      </c>
      <c r="M268">
        <v>0</v>
      </c>
      <c r="O268" t="s">
        <v>10</v>
      </c>
    </row>
    <row r="269" spans="4:15" x14ac:dyDescent="0.25">
      <c r="D269">
        <v>267</v>
      </c>
      <c r="E269" t="s">
        <v>18</v>
      </c>
      <c r="F269" t="s">
        <v>292</v>
      </c>
      <c r="G269" t="s">
        <v>210</v>
      </c>
      <c r="H269" t="s">
        <v>7</v>
      </c>
      <c r="I269">
        <f>2025-2016</f>
        <v>9</v>
      </c>
      <c r="J269" t="s">
        <v>410</v>
      </c>
      <c r="L269">
        <f>30+150+150+30</f>
        <v>360</v>
      </c>
      <c r="M269">
        <v>0</v>
      </c>
      <c r="O269" t="s">
        <v>8</v>
      </c>
    </row>
    <row r="270" spans="4:15" x14ac:dyDescent="0.25">
      <c r="D270">
        <v>268</v>
      </c>
      <c r="E270" t="s">
        <v>18</v>
      </c>
      <c r="F270" t="s">
        <v>293</v>
      </c>
      <c r="G270" t="s">
        <v>23</v>
      </c>
      <c r="H270" t="s">
        <v>11</v>
      </c>
      <c r="I270">
        <f>2025-2019</f>
        <v>6</v>
      </c>
      <c r="J270" t="s">
        <v>412</v>
      </c>
      <c r="L270">
        <f>300+45+70</f>
        <v>415</v>
      </c>
      <c r="M270">
        <v>0</v>
      </c>
      <c r="O270" t="s">
        <v>8</v>
      </c>
    </row>
    <row r="271" spans="4:15" x14ac:dyDescent="0.25">
      <c r="D271">
        <v>269</v>
      </c>
      <c r="E271" t="s">
        <v>18</v>
      </c>
      <c r="F271" t="s">
        <v>294</v>
      </c>
      <c r="G271" t="s">
        <v>62</v>
      </c>
      <c r="H271" t="s">
        <v>7</v>
      </c>
      <c r="I271">
        <f>2025-2014</f>
        <v>11</v>
      </c>
      <c r="J271" t="s">
        <v>412</v>
      </c>
      <c r="L271">
        <v>40</v>
      </c>
      <c r="M271">
        <v>0</v>
      </c>
      <c r="O271" t="s">
        <v>10</v>
      </c>
    </row>
    <row r="272" spans="4:15" x14ac:dyDescent="0.25">
      <c r="D272">
        <v>270</v>
      </c>
      <c r="E272" t="s">
        <v>18</v>
      </c>
      <c r="F272" t="s">
        <v>295</v>
      </c>
      <c r="G272" t="s">
        <v>62</v>
      </c>
      <c r="H272" t="s">
        <v>7</v>
      </c>
      <c r="I272">
        <f>2025-2016</f>
        <v>9</v>
      </c>
      <c r="J272" t="s">
        <v>412</v>
      </c>
      <c r="L272">
        <f>225+225+225+70</f>
        <v>745</v>
      </c>
      <c r="M272">
        <v>0</v>
      </c>
      <c r="O272" t="s">
        <v>8</v>
      </c>
    </row>
    <row r="273" spans="4:15" x14ac:dyDescent="0.25">
      <c r="D273">
        <v>271</v>
      </c>
      <c r="E273" t="s">
        <v>18</v>
      </c>
      <c r="F273" t="s">
        <v>286</v>
      </c>
      <c r="G273" t="s">
        <v>6</v>
      </c>
      <c r="H273" t="s">
        <v>11</v>
      </c>
      <c r="I273">
        <f>2025-2012</f>
        <v>13</v>
      </c>
      <c r="J273" t="s">
        <v>427</v>
      </c>
      <c r="L273">
        <f>70</f>
        <v>70</v>
      </c>
      <c r="M273">
        <f>3.3+3.3+3.3+3.3+3.3+3.3+4.08+3.3+3.3+8.16+4+3.3+3.3+4+4.5+2+4.08</f>
        <v>63.819999999999993</v>
      </c>
      <c r="N273">
        <v>80</v>
      </c>
      <c r="O273" t="s">
        <v>8</v>
      </c>
    </row>
    <row r="274" spans="4:15" x14ac:dyDescent="0.25">
      <c r="D274">
        <v>272</v>
      </c>
      <c r="E274" t="s">
        <v>18</v>
      </c>
      <c r="F274" t="s">
        <v>296</v>
      </c>
      <c r="G274" t="s">
        <v>6</v>
      </c>
      <c r="H274" t="s">
        <v>7</v>
      </c>
      <c r="I274">
        <v>15</v>
      </c>
      <c r="J274" t="s">
        <v>413</v>
      </c>
      <c r="L274">
        <v>295</v>
      </c>
      <c r="M274">
        <v>0</v>
      </c>
      <c r="O274" t="s">
        <v>8</v>
      </c>
    </row>
    <row r="275" spans="4:15" x14ac:dyDescent="0.25">
      <c r="D275">
        <v>273</v>
      </c>
      <c r="E275" t="s">
        <v>18</v>
      </c>
      <c r="F275" t="s">
        <v>279</v>
      </c>
      <c r="G275" t="s">
        <v>297</v>
      </c>
      <c r="H275" t="s">
        <v>11</v>
      </c>
      <c r="I275">
        <f>2025-2017</f>
        <v>8</v>
      </c>
      <c r="J275" t="s">
        <v>412</v>
      </c>
      <c r="L275">
        <f>45+60+60+60+60+45+70</f>
        <v>400</v>
      </c>
      <c r="M275">
        <v>0</v>
      </c>
      <c r="O275" t="s">
        <v>8</v>
      </c>
    </row>
    <row r="276" spans="4:15" x14ac:dyDescent="0.25">
      <c r="D276">
        <v>274</v>
      </c>
      <c r="E276" t="s">
        <v>18</v>
      </c>
      <c r="F276" t="s">
        <v>298</v>
      </c>
      <c r="G276" t="s">
        <v>177</v>
      </c>
      <c r="H276" t="s">
        <v>7</v>
      </c>
      <c r="I276">
        <f>2025-2012</f>
        <v>13</v>
      </c>
      <c r="J276" t="s">
        <v>410</v>
      </c>
      <c r="L276">
        <v>70</v>
      </c>
      <c r="M276">
        <f>7.5+4.5</f>
        <v>12</v>
      </c>
      <c r="O276" t="s">
        <v>8</v>
      </c>
    </row>
    <row r="277" spans="4:15" x14ac:dyDescent="0.25">
      <c r="D277">
        <v>275</v>
      </c>
      <c r="E277" t="s">
        <v>18</v>
      </c>
      <c r="F277" t="s">
        <v>299</v>
      </c>
      <c r="G277" t="s">
        <v>6</v>
      </c>
      <c r="H277" t="s">
        <v>7</v>
      </c>
      <c r="I277">
        <f>2025-2018</f>
        <v>7</v>
      </c>
      <c r="J277" t="s">
        <v>413</v>
      </c>
      <c r="L277">
        <f>45+300+70</f>
        <v>415</v>
      </c>
      <c r="M277">
        <v>0</v>
      </c>
      <c r="O277" t="s">
        <v>8</v>
      </c>
    </row>
    <row r="278" spans="4:15" x14ac:dyDescent="0.25">
      <c r="D278">
        <v>276</v>
      </c>
      <c r="E278" t="s">
        <v>18</v>
      </c>
      <c r="F278" t="s">
        <v>34</v>
      </c>
      <c r="G278" t="s">
        <v>159</v>
      </c>
      <c r="H278" t="s">
        <v>7</v>
      </c>
      <c r="I278">
        <f>2025-2019</f>
        <v>6</v>
      </c>
      <c r="J278" t="s">
        <v>418</v>
      </c>
      <c r="L278">
        <f>6.8+6.8+300+6.8+6.8+300</f>
        <v>627.20000000000005</v>
      </c>
      <c r="M278">
        <f>28.85</f>
        <v>28.85</v>
      </c>
      <c r="O278" t="s">
        <v>8</v>
      </c>
    </row>
    <row r="279" spans="4:15" x14ac:dyDescent="0.25">
      <c r="D279">
        <v>277</v>
      </c>
      <c r="E279" t="s">
        <v>18</v>
      </c>
      <c r="F279" t="s">
        <v>287</v>
      </c>
      <c r="G279" t="s">
        <v>133</v>
      </c>
      <c r="H279" t="s">
        <v>11</v>
      </c>
      <c r="I279">
        <f>2025-2021</f>
        <v>4</v>
      </c>
      <c r="L279">
        <v>370</v>
      </c>
      <c r="M279">
        <v>0</v>
      </c>
      <c r="O279" t="s">
        <v>8</v>
      </c>
    </row>
    <row r="280" spans="4:15" x14ac:dyDescent="0.25">
      <c r="D280">
        <v>278</v>
      </c>
      <c r="E280" t="s">
        <v>18</v>
      </c>
      <c r="F280" t="s">
        <v>300</v>
      </c>
      <c r="G280" t="s">
        <v>177</v>
      </c>
      <c r="H280" t="s">
        <v>11</v>
      </c>
      <c r="I280">
        <f>2025-2018</f>
        <v>7</v>
      </c>
      <c r="J280" t="s">
        <v>412</v>
      </c>
      <c r="L280">
        <f>60+300+70</f>
        <v>430</v>
      </c>
      <c r="M280">
        <v>0</v>
      </c>
      <c r="O280" t="s">
        <v>8</v>
      </c>
    </row>
    <row r="281" spans="4:15" x14ac:dyDescent="0.25">
      <c r="D281">
        <v>279</v>
      </c>
      <c r="E281" t="s">
        <v>18</v>
      </c>
      <c r="F281" t="s">
        <v>301</v>
      </c>
      <c r="G281" t="s">
        <v>73</v>
      </c>
      <c r="H281" t="s">
        <v>7</v>
      </c>
      <c r="I281">
        <f>2025-2013</f>
        <v>12</v>
      </c>
      <c r="J281" t="s">
        <v>413</v>
      </c>
      <c r="L281">
        <v>370</v>
      </c>
      <c r="M281">
        <v>0</v>
      </c>
      <c r="O281" t="s">
        <v>8</v>
      </c>
    </row>
    <row r="282" spans="4:15" x14ac:dyDescent="0.25">
      <c r="D282">
        <v>280</v>
      </c>
      <c r="E282" t="s">
        <v>18</v>
      </c>
      <c r="F282" t="s">
        <v>124</v>
      </c>
      <c r="G282" t="s">
        <v>6</v>
      </c>
      <c r="H282" t="s">
        <v>11</v>
      </c>
      <c r="I282">
        <f>2025-2013</f>
        <v>12</v>
      </c>
      <c r="J282" t="s">
        <v>410</v>
      </c>
      <c r="L282">
        <f>25+150+60+150+23+150+16+55+100</f>
        <v>729</v>
      </c>
      <c r="M282">
        <v>0</v>
      </c>
      <c r="O282" t="s">
        <v>8</v>
      </c>
    </row>
    <row r="283" spans="4:15" x14ac:dyDescent="0.25">
      <c r="D283">
        <v>281</v>
      </c>
      <c r="E283" t="s">
        <v>18</v>
      </c>
      <c r="F283" t="s">
        <v>302</v>
      </c>
      <c r="G283" t="s">
        <v>73</v>
      </c>
      <c r="H283" t="s">
        <v>7</v>
      </c>
      <c r="I283">
        <f>2025-2011</f>
        <v>14</v>
      </c>
      <c r="J283" t="s">
        <v>417</v>
      </c>
      <c r="L283">
        <v>79</v>
      </c>
      <c r="M283">
        <v>0</v>
      </c>
      <c r="O283" t="s">
        <v>8</v>
      </c>
    </row>
    <row r="284" spans="4:15" x14ac:dyDescent="0.25">
      <c r="D284">
        <v>282</v>
      </c>
      <c r="E284" t="s">
        <v>18</v>
      </c>
      <c r="F284" t="s">
        <v>303</v>
      </c>
      <c r="G284" t="s">
        <v>6</v>
      </c>
      <c r="H284" t="s">
        <v>7</v>
      </c>
      <c r="I284">
        <f>2025-2011</f>
        <v>14</v>
      </c>
      <c r="J284" t="s">
        <v>412</v>
      </c>
      <c r="L284">
        <f>70+300+300+300</f>
        <v>970</v>
      </c>
      <c r="M284">
        <f>3.3+3.3+3.3+3.3+2</f>
        <v>15.2</v>
      </c>
      <c r="N284">
        <v>30</v>
      </c>
      <c r="O284" t="s">
        <v>8</v>
      </c>
    </row>
    <row r="285" spans="4:15" x14ac:dyDescent="0.25">
      <c r="D285">
        <v>283</v>
      </c>
      <c r="E285" t="s">
        <v>18</v>
      </c>
      <c r="F285" t="s">
        <v>34</v>
      </c>
      <c r="G285" t="s">
        <v>6</v>
      </c>
      <c r="H285" t="s">
        <v>11</v>
      </c>
      <c r="I285">
        <f>2025-2011</f>
        <v>14</v>
      </c>
      <c r="J285" t="s">
        <v>410</v>
      </c>
      <c r="L285">
        <v>60</v>
      </c>
      <c r="M285">
        <v>0</v>
      </c>
      <c r="O285" t="s">
        <v>8</v>
      </c>
    </row>
    <row r="286" spans="4:15" x14ac:dyDescent="0.25">
      <c r="D286">
        <v>284</v>
      </c>
      <c r="E286" t="s">
        <v>18</v>
      </c>
      <c r="F286" t="s">
        <v>304</v>
      </c>
      <c r="G286" t="s">
        <v>23</v>
      </c>
      <c r="H286" t="s">
        <v>11</v>
      </c>
      <c r="I286">
        <v>6</v>
      </c>
      <c r="J286" t="s">
        <v>412</v>
      </c>
      <c r="L286">
        <f>150+225+70</f>
        <v>445</v>
      </c>
      <c r="M286">
        <v>0</v>
      </c>
      <c r="O286" t="s">
        <v>8</v>
      </c>
    </row>
    <row r="287" spans="4:15" x14ac:dyDescent="0.25">
      <c r="D287">
        <v>285</v>
      </c>
      <c r="E287" t="s">
        <v>18</v>
      </c>
      <c r="F287" t="s">
        <v>305</v>
      </c>
      <c r="G287" t="s">
        <v>228</v>
      </c>
      <c r="H287" t="s">
        <v>7</v>
      </c>
      <c r="I287">
        <v>8</v>
      </c>
      <c r="J287" t="s">
        <v>418</v>
      </c>
      <c r="L287">
        <f>30+30+30+30+30+45+45+30+30+30+60+240+60+60+60+70</f>
        <v>880</v>
      </c>
      <c r="M287">
        <v>6.6</v>
      </c>
      <c r="O287" t="s">
        <v>8</v>
      </c>
    </row>
    <row r="288" spans="4:15" x14ac:dyDescent="0.25">
      <c r="D288">
        <v>286</v>
      </c>
      <c r="E288" t="s">
        <v>18</v>
      </c>
      <c r="F288" t="s">
        <v>306</v>
      </c>
      <c r="G288" t="s">
        <v>191</v>
      </c>
      <c r="H288" t="s">
        <v>11</v>
      </c>
      <c r="I288">
        <v>4</v>
      </c>
      <c r="J288" t="s">
        <v>410</v>
      </c>
      <c r="L288">
        <v>70</v>
      </c>
      <c r="M288">
        <v>0</v>
      </c>
      <c r="O288" t="s">
        <v>8</v>
      </c>
    </row>
    <row r="289" spans="4:15" x14ac:dyDescent="0.25">
      <c r="D289">
        <v>287</v>
      </c>
      <c r="E289" t="s">
        <v>18</v>
      </c>
      <c r="F289" t="s">
        <v>307</v>
      </c>
      <c r="G289" t="s">
        <v>12</v>
      </c>
      <c r="H289" t="s">
        <v>11</v>
      </c>
      <c r="I289">
        <v>8</v>
      </c>
      <c r="J289" t="s">
        <v>423</v>
      </c>
      <c r="L289">
        <v>80</v>
      </c>
      <c r="M289">
        <v>0</v>
      </c>
      <c r="O289" t="s">
        <v>8</v>
      </c>
    </row>
    <row r="290" spans="4:15" x14ac:dyDescent="0.25">
      <c r="D290">
        <v>288</v>
      </c>
      <c r="E290" t="s">
        <v>18</v>
      </c>
      <c r="F290" t="s">
        <v>35</v>
      </c>
      <c r="G290" t="s">
        <v>172</v>
      </c>
      <c r="H290" t="s">
        <v>7</v>
      </c>
      <c r="I290">
        <v>7</v>
      </c>
      <c r="L290">
        <v>70</v>
      </c>
      <c r="M290">
        <v>0</v>
      </c>
      <c r="O290" t="s">
        <v>8</v>
      </c>
    </row>
    <row r="291" spans="4:15" x14ac:dyDescent="0.25">
      <c r="D291">
        <v>289</v>
      </c>
      <c r="E291" t="s">
        <v>18</v>
      </c>
      <c r="F291" t="s">
        <v>308</v>
      </c>
      <c r="G291" t="s">
        <v>12</v>
      </c>
      <c r="H291" t="s">
        <v>11</v>
      </c>
      <c r="I291">
        <v>15</v>
      </c>
      <c r="J291" t="s">
        <v>410</v>
      </c>
      <c r="L291">
        <f>300+31.5+23+300+70</f>
        <v>724.5</v>
      </c>
      <c r="M291">
        <f>6.6+5+5+5</f>
        <v>21.6</v>
      </c>
      <c r="O291" t="s">
        <v>8</v>
      </c>
    </row>
    <row r="292" spans="4:15" x14ac:dyDescent="0.25">
      <c r="D292">
        <v>290</v>
      </c>
      <c r="E292" t="s">
        <v>18</v>
      </c>
      <c r="F292" t="s">
        <v>52</v>
      </c>
      <c r="G292" t="s">
        <v>6</v>
      </c>
      <c r="H292" t="s">
        <v>7</v>
      </c>
      <c r="I292">
        <f>2025-2011</f>
        <v>14</v>
      </c>
      <c r="J292" t="s">
        <v>410</v>
      </c>
      <c r="L292">
        <f>225+30+225+45+45+45+45+225+70</f>
        <v>955</v>
      </c>
      <c r="M292">
        <v>0</v>
      </c>
      <c r="O292" t="s">
        <v>8</v>
      </c>
    </row>
    <row r="293" spans="4:15" x14ac:dyDescent="0.25">
      <c r="D293">
        <v>291</v>
      </c>
      <c r="E293" t="s">
        <v>18</v>
      </c>
      <c r="F293" t="s">
        <v>309</v>
      </c>
      <c r="G293" t="s">
        <v>6</v>
      </c>
      <c r="H293" t="s">
        <v>7</v>
      </c>
      <c r="I293">
        <f>2025-2013</f>
        <v>12</v>
      </c>
      <c r="J293" t="s">
        <v>413</v>
      </c>
      <c r="L293">
        <f>60+60+60+27.2+60+27.2+60+20.4+13.6+300+70</f>
        <v>758.4</v>
      </c>
      <c r="M293">
        <v>0</v>
      </c>
      <c r="O293" t="s">
        <v>8</v>
      </c>
    </row>
    <row r="294" spans="4:15" x14ac:dyDescent="0.25">
      <c r="D294">
        <v>292</v>
      </c>
      <c r="E294" t="s">
        <v>18</v>
      </c>
      <c r="F294" t="s">
        <v>310</v>
      </c>
      <c r="G294" t="s">
        <v>15</v>
      </c>
      <c r="H294" t="s">
        <v>7</v>
      </c>
      <c r="I294">
        <v>6</v>
      </c>
      <c r="J294" t="s">
        <v>413</v>
      </c>
      <c r="L294">
        <v>70</v>
      </c>
      <c r="M294">
        <v>0</v>
      </c>
      <c r="O294" t="s">
        <v>8</v>
      </c>
    </row>
    <row r="295" spans="4:15" x14ac:dyDescent="0.25">
      <c r="D295">
        <v>293</v>
      </c>
      <c r="E295" t="s">
        <v>18</v>
      </c>
      <c r="F295" t="s">
        <v>311</v>
      </c>
      <c r="G295" t="s">
        <v>186</v>
      </c>
      <c r="H295" t="s">
        <v>7</v>
      </c>
      <c r="I295">
        <f>2025-2017</f>
        <v>8</v>
      </c>
      <c r="J295" t="s">
        <v>412</v>
      </c>
      <c r="L295">
        <v>600</v>
      </c>
      <c r="M295">
        <v>0</v>
      </c>
      <c r="O295" t="s">
        <v>8</v>
      </c>
    </row>
    <row r="296" spans="4:15" x14ac:dyDescent="0.25">
      <c r="D296">
        <v>294</v>
      </c>
      <c r="E296" t="s">
        <v>18</v>
      </c>
      <c r="F296" t="s">
        <v>69</v>
      </c>
      <c r="G296" t="s">
        <v>6</v>
      </c>
      <c r="H296" t="s">
        <v>11</v>
      </c>
      <c r="I296">
        <f>2025-2016</f>
        <v>9</v>
      </c>
      <c r="J296" t="s">
        <v>417</v>
      </c>
      <c r="L296">
        <f>45+45+70</f>
        <v>160</v>
      </c>
      <c r="M296">
        <v>0</v>
      </c>
      <c r="O296" t="s">
        <v>8</v>
      </c>
    </row>
    <row r="297" spans="4:15" x14ac:dyDescent="0.25">
      <c r="D297">
        <v>295</v>
      </c>
      <c r="E297" t="s">
        <v>18</v>
      </c>
      <c r="F297" t="s">
        <v>312</v>
      </c>
      <c r="G297" t="s">
        <v>53</v>
      </c>
      <c r="H297" t="s">
        <v>11</v>
      </c>
      <c r="I297">
        <v>1</v>
      </c>
      <c r="L297">
        <v>160</v>
      </c>
      <c r="M297">
        <v>0</v>
      </c>
      <c r="O297" t="s">
        <v>10</v>
      </c>
    </row>
    <row r="298" spans="4:15" x14ac:dyDescent="0.25">
      <c r="D298">
        <v>296</v>
      </c>
      <c r="E298" t="s">
        <v>18</v>
      </c>
      <c r="F298" t="s">
        <v>313</v>
      </c>
      <c r="G298" t="s">
        <v>23</v>
      </c>
      <c r="H298" t="s">
        <v>11</v>
      </c>
      <c r="I298">
        <v>5</v>
      </c>
      <c r="J298" t="s">
        <v>412</v>
      </c>
      <c r="L298">
        <f>225+60+45+45+70</f>
        <v>445</v>
      </c>
      <c r="M298">
        <v>0</v>
      </c>
      <c r="O298" t="s">
        <v>8</v>
      </c>
    </row>
    <row r="299" spans="4:15" x14ac:dyDescent="0.25">
      <c r="D299">
        <v>297</v>
      </c>
      <c r="E299" t="s">
        <v>18</v>
      </c>
      <c r="F299" t="s">
        <v>300</v>
      </c>
      <c r="G299" t="s">
        <v>428</v>
      </c>
      <c r="H299" t="s">
        <v>11</v>
      </c>
      <c r="I299">
        <v>1</v>
      </c>
      <c r="J299" t="s">
        <v>418</v>
      </c>
      <c r="L299">
        <v>70</v>
      </c>
      <c r="M299">
        <v>0</v>
      </c>
      <c r="O299" t="s">
        <v>8</v>
      </c>
    </row>
    <row r="300" spans="4:15" x14ac:dyDescent="0.25">
      <c r="D300">
        <v>298</v>
      </c>
      <c r="E300" t="s">
        <v>18</v>
      </c>
      <c r="F300" t="s">
        <v>314</v>
      </c>
      <c r="G300" t="s">
        <v>177</v>
      </c>
      <c r="H300" t="s">
        <v>11</v>
      </c>
      <c r="I300">
        <f>2025-2013</f>
        <v>12</v>
      </c>
      <c r="J300" t="s">
        <v>427</v>
      </c>
      <c r="L300">
        <f>225+225+225+60</f>
        <v>735</v>
      </c>
      <c r="M300">
        <v>0</v>
      </c>
      <c r="O300" t="s">
        <v>10</v>
      </c>
    </row>
    <row r="301" spans="4:15" x14ac:dyDescent="0.25">
      <c r="D301">
        <v>299</v>
      </c>
      <c r="E301" t="s">
        <v>18</v>
      </c>
      <c r="F301" t="s">
        <v>315</v>
      </c>
      <c r="G301" t="s">
        <v>67</v>
      </c>
      <c r="H301" t="s">
        <v>7</v>
      </c>
      <c r="I301">
        <f>2025-2014</f>
        <v>11</v>
      </c>
      <c r="J301" t="s">
        <v>416</v>
      </c>
      <c r="L301">
        <v>70</v>
      </c>
      <c r="M301">
        <v>0</v>
      </c>
      <c r="O301" t="s">
        <v>8</v>
      </c>
    </row>
    <row r="302" spans="4:15" x14ac:dyDescent="0.25">
      <c r="D302">
        <v>300</v>
      </c>
      <c r="E302" t="s">
        <v>19</v>
      </c>
      <c r="F302" t="s">
        <v>43</v>
      </c>
      <c r="G302" t="s">
        <v>16</v>
      </c>
      <c r="H302" t="s">
        <v>7</v>
      </c>
      <c r="I302">
        <v>10</v>
      </c>
      <c r="J302" t="s">
        <v>412</v>
      </c>
      <c r="L302">
        <f>70+45</f>
        <v>115</v>
      </c>
      <c r="M302">
        <v>0</v>
      </c>
      <c r="O302" t="s">
        <v>8</v>
      </c>
    </row>
    <row r="303" spans="4:15" x14ac:dyDescent="0.25">
      <c r="D303">
        <v>301</v>
      </c>
      <c r="E303" t="s">
        <v>18</v>
      </c>
      <c r="F303" t="s">
        <v>316</v>
      </c>
      <c r="G303" t="s">
        <v>62</v>
      </c>
      <c r="H303" t="s">
        <v>7</v>
      </c>
      <c r="I303">
        <v>1</v>
      </c>
      <c r="O303" t="s">
        <v>10</v>
      </c>
    </row>
    <row r="304" spans="4:15" x14ac:dyDescent="0.25">
      <c r="D304">
        <v>302</v>
      </c>
      <c r="E304" t="s">
        <v>18</v>
      </c>
      <c r="F304" t="s">
        <v>317</v>
      </c>
      <c r="G304" t="s">
        <v>208</v>
      </c>
      <c r="H304" t="s">
        <v>11</v>
      </c>
      <c r="I304">
        <f>2025-2018</f>
        <v>7</v>
      </c>
      <c r="J304" t="s">
        <v>421</v>
      </c>
      <c r="L304">
        <v>460</v>
      </c>
      <c r="M304">
        <v>0</v>
      </c>
      <c r="O304" t="s">
        <v>10</v>
      </c>
    </row>
    <row r="305" spans="4:15" x14ac:dyDescent="0.25">
      <c r="D305">
        <v>303</v>
      </c>
      <c r="E305" t="s">
        <v>18</v>
      </c>
      <c r="F305" t="s">
        <v>318</v>
      </c>
      <c r="G305" t="s">
        <v>133</v>
      </c>
      <c r="H305" t="s">
        <v>11</v>
      </c>
      <c r="I305">
        <f>2025-2012</f>
        <v>13</v>
      </c>
      <c r="J305" t="s">
        <v>412</v>
      </c>
      <c r="L305">
        <v>70</v>
      </c>
      <c r="O305" t="s">
        <v>8</v>
      </c>
    </row>
    <row r="306" spans="4:15" x14ac:dyDescent="0.25">
      <c r="D306">
        <v>304</v>
      </c>
      <c r="E306" t="s">
        <v>18</v>
      </c>
      <c r="F306" t="s">
        <v>319</v>
      </c>
      <c r="G306" t="s">
        <v>133</v>
      </c>
      <c r="H306" t="s">
        <v>7</v>
      </c>
      <c r="I306">
        <v>7</v>
      </c>
      <c r="J306" t="s">
        <v>412</v>
      </c>
      <c r="L306">
        <v>820</v>
      </c>
      <c r="M306">
        <v>145</v>
      </c>
      <c r="O306" t="s">
        <v>8</v>
      </c>
    </row>
    <row r="307" spans="4:15" x14ac:dyDescent="0.25">
      <c r="D307">
        <v>305</v>
      </c>
      <c r="E307" t="s">
        <v>18</v>
      </c>
      <c r="F307" t="s">
        <v>320</v>
      </c>
      <c r="G307" t="s">
        <v>93</v>
      </c>
      <c r="H307" t="s">
        <v>7</v>
      </c>
      <c r="I307">
        <f>2025-2012</f>
        <v>13</v>
      </c>
      <c r="J307" t="s">
        <v>410</v>
      </c>
      <c r="L307">
        <v>250</v>
      </c>
      <c r="M307">
        <v>0</v>
      </c>
      <c r="O307" t="s">
        <v>10</v>
      </c>
    </row>
    <row r="308" spans="4:15" x14ac:dyDescent="0.25">
      <c r="D308">
        <v>306</v>
      </c>
      <c r="E308" t="s">
        <v>18</v>
      </c>
      <c r="F308" t="s">
        <v>321</v>
      </c>
      <c r="G308" t="s">
        <v>6</v>
      </c>
      <c r="H308" t="s">
        <v>7</v>
      </c>
      <c r="I308">
        <f>2025-2016</f>
        <v>9</v>
      </c>
      <c r="J308" t="s">
        <v>413</v>
      </c>
      <c r="L308">
        <v>270</v>
      </c>
      <c r="M308">
        <v>41.8</v>
      </c>
      <c r="O308" t="s">
        <v>8</v>
      </c>
    </row>
    <row r="309" spans="4:15" x14ac:dyDescent="0.25">
      <c r="D309">
        <v>307</v>
      </c>
      <c r="E309" t="s">
        <v>18</v>
      </c>
      <c r="F309" t="s">
        <v>322</v>
      </c>
      <c r="G309" t="s">
        <v>23</v>
      </c>
      <c r="H309" t="s">
        <v>7</v>
      </c>
      <c r="I309">
        <v>5</v>
      </c>
      <c r="J309" t="s">
        <v>412</v>
      </c>
      <c r="L309">
        <v>550</v>
      </c>
      <c r="M309">
        <v>7</v>
      </c>
      <c r="O309" t="s">
        <v>8</v>
      </c>
    </row>
    <row r="310" spans="4:15" x14ac:dyDescent="0.25">
      <c r="D310">
        <v>308</v>
      </c>
      <c r="E310" t="s">
        <v>18</v>
      </c>
      <c r="F310" t="s">
        <v>243</v>
      </c>
      <c r="G310" t="s">
        <v>6</v>
      </c>
      <c r="H310" t="s">
        <v>7</v>
      </c>
      <c r="I310">
        <v>2</v>
      </c>
      <c r="J310" t="s">
        <v>417</v>
      </c>
      <c r="L310">
        <v>225</v>
      </c>
      <c r="M310">
        <v>9.6</v>
      </c>
      <c r="O310" t="s">
        <v>8</v>
      </c>
    </row>
    <row r="311" spans="4:15" x14ac:dyDescent="0.25">
      <c r="D311">
        <v>309</v>
      </c>
      <c r="E311" t="s">
        <v>18</v>
      </c>
      <c r="F311" t="s">
        <v>221</v>
      </c>
      <c r="G311" t="s">
        <v>62</v>
      </c>
      <c r="H311" t="s">
        <v>7</v>
      </c>
      <c r="I311">
        <v>5</v>
      </c>
      <c r="J311" t="s">
        <v>412</v>
      </c>
      <c r="L311">
        <v>295</v>
      </c>
      <c r="M311">
        <v>0</v>
      </c>
      <c r="O311" t="s">
        <v>10</v>
      </c>
    </row>
    <row r="312" spans="4:15" x14ac:dyDescent="0.25">
      <c r="D312">
        <v>310</v>
      </c>
      <c r="E312" t="s">
        <v>18</v>
      </c>
      <c r="F312" t="s">
        <v>136</v>
      </c>
      <c r="G312" t="s">
        <v>125</v>
      </c>
      <c r="H312" t="s">
        <v>7</v>
      </c>
      <c r="I312">
        <v>10</v>
      </c>
      <c r="J312" t="s">
        <v>416</v>
      </c>
      <c r="L312">
        <v>130</v>
      </c>
      <c r="M312">
        <v>0</v>
      </c>
      <c r="O312" t="s">
        <v>10</v>
      </c>
    </row>
    <row r="313" spans="4:15" x14ac:dyDescent="0.25">
      <c r="D313">
        <v>311</v>
      </c>
      <c r="E313" t="s">
        <v>18</v>
      </c>
      <c r="F313" t="s">
        <v>99</v>
      </c>
      <c r="G313" t="s">
        <v>48</v>
      </c>
      <c r="H313" t="s">
        <v>7</v>
      </c>
      <c r="I313">
        <f>2025-2013</f>
        <v>12</v>
      </c>
      <c r="J313" t="s">
        <v>413</v>
      </c>
      <c r="L313">
        <v>370</v>
      </c>
      <c r="M313">
        <v>0</v>
      </c>
      <c r="O313" t="s">
        <v>8</v>
      </c>
    </row>
    <row r="314" spans="4:15" x14ac:dyDescent="0.25">
      <c r="D314">
        <v>312</v>
      </c>
      <c r="E314" t="s">
        <v>18</v>
      </c>
      <c r="F314" t="s">
        <v>323</v>
      </c>
      <c r="G314" t="s">
        <v>12</v>
      </c>
      <c r="H314" t="s">
        <v>11</v>
      </c>
      <c r="I314">
        <f>2025-2016</f>
        <v>9</v>
      </c>
      <c r="J314" t="s">
        <v>427</v>
      </c>
      <c r="L314">
        <v>70</v>
      </c>
      <c r="M314">
        <v>0</v>
      </c>
      <c r="O314" t="s">
        <v>8</v>
      </c>
    </row>
    <row r="315" spans="4:15" x14ac:dyDescent="0.25">
      <c r="D315">
        <v>313</v>
      </c>
      <c r="E315" t="s">
        <v>18</v>
      </c>
      <c r="F315" t="s">
        <v>153</v>
      </c>
      <c r="G315" t="s">
        <v>172</v>
      </c>
      <c r="H315" t="s">
        <v>11</v>
      </c>
      <c r="I315">
        <f>2025-2017</f>
        <v>8</v>
      </c>
      <c r="J315" t="s">
        <v>412</v>
      </c>
      <c r="L315">
        <v>255</v>
      </c>
      <c r="M315">
        <v>0</v>
      </c>
      <c r="O315" t="s">
        <v>8</v>
      </c>
    </row>
    <row r="316" spans="4:15" x14ac:dyDescent="0.25">
      <c r="D316">
        <v>314</v>
      </c>
      <c r="E316" t="s">
        <v>18</v>
      </c>
      <c r="F316" t="s">
        <v>324</v>
      </c>
      <c r="G316" t="s">
        <v>12</v>
      </c>
      <c r="H316" t="s">
        <v>11</v>
      </c>
      <c r="I316">
        <v>3</v>
      </c>
      <c r="J316" t="s">
        <v>412</v>
      </c>
      <c r="L316">
        <v>300</v>
      </c>
      <c r="M316">
        <v>0</v>
      </c>
      <c r="O316" t="s">
        <v>10</v>
      </c>
    </row>
    <row r="317" spans="4:15" x14ac:dyDescent="0.25">
      <c r="D317">
        <v>315</v>
      </c>
      <c r="E317" t="s">
        <v>18</v>
      </c>
      <c r="F317" t="s">
        <v>325</v>
      </c>
      <c r="G317" t="s">
        <v>6</v>
      </c>
      <c r="H317" t="s">
        <v>7</v>
      </c>
      <c r="I317">
        <f>2025-2013</f>
        <v>12</v>
      </c>
      <c r="O317" t="s">
        <v>8</v>
      </c>
    </row>
    <row r="318" spans="4:15" x14ac:dyDescent="0.25">
      <c r="D318">
        <v>316</v>
      </c>
      <c r="E318" t="s">
        <v>18</v>
      </c>
      <c r="F318" t="s">
        <v>326</v>
      </c>
      <c r="G318" t="s">
        <v>62</v>
      </c>
      <c r="H318" t="s">
        <v>7</v>
      </c>
      <c r="I318">
        <f>2025-2011</f>
        <v>14</v>
      </c>
      <c r="J318" t="s">
        <v>412</v>
      </c>
      <c r="L318">
        <v>300</v>
      </c>
      <c r="M318">
        <v>2.5</v>
      </c>
      <c r="O318" t="s">
        <v>8</v>
      </c>
    </row>
    <row r="319" spans="4:15" x14ac:dyDescent="0.25">
      <c r="D319">
        <v>317</v>
      </c>
      <c r="E319" t="s">
        <v>18</v>
      </c>
      <c r="F319" t="s">
        <v>327</v>
      </c>
      <c r="G319" t="s">
        <v>93</v>
      </c>
      <c r="H319" t="s">
        <v>7</v>
      </c>
      <c r="I319">
        <f>2025-2019</f>
        <v>6</v>
      </c>
      <c r="J319" t="s">
        <v>427</v>
      </c>
      <c r="L319">
        <v>70</v>
      </c>
      <c r="M319">
        <v>0</v>
      </c>
      <c r="O319" t="s">
        <v>10</v>
      </c>
    </row>
    <row r="320" spans="4:15" x14ac:dyDescent="0.25">
      <c r="D320">
        <v>318</v>
      </c>
      <c r="E320" t="s">
        <v>18</v>
      </c>
      <c r="F320" t="s">
        <v>328</v>
      </c>
      <c r="G320" t="s">
        <v>62</v>
      </c>
      <c r="H320" t="s">
        <v>7</v>
      </c>
      <c r="I320">
        <v>5</v>
      </c>
      <c r="J320" t="s">
        <v>412</v>
      </c>
      <c r="L320">
        <v>790</v>
      </c>
      <c r="M320">
        <v>20.079999999999998</v>
      </c>
      <c r="O320" t="s">
        <v>10</v>
      </c>
    </row>
    <row r="321" spans="4:15" x14ac:dyDescent="0.25">
      <c r="D321">
        <v>319</v>
      </c>
      <c r="E321" t="s">
        <v>18</v>
      </c>
      <c r="F321" t="s">
        <v>329</v>
      </c>
      <c r="G321" t="s">
        <v>6</v>
      </c>
      <c r="H321" t="s">
        <v>7</v>
      </c>
      <c r="I321">
        <v>3</v>
      </c>
      <c r="J321" t="s">
        <v>416</v>
      </c>
      <c r="L321">
        <v>70</v>
      </c>
      <c r="M321">
        <v>0</v>
      </c>
      <c r="O321" t="s">
        <v>8</v>
      </c>
    </row>
    <row r="322" spans="4:15" x14ac:dyDescent="0.25">
      <c r="D322">
        <v>320</v>
      </c>
      <c r="E322" t="s">
        <v>18</v>
      </c>
      <c r="F322" t="s">
        <v>330</v>
      </c>
      <c r="G322" t="s">
        <v>23</v>
      </c>
      <c r="H322" t="s">
        <v>7</v>
      </c>
      <c r="I322">
        <f>2025-2017</f>
        <v>8</v>
      </c>
      <c r="J322" t="s">
        <v>412</v>
      </c>
      <c r="L322">
        <v>750</v>
      </c>
      <c r="M322">
        <v>14</v>
      </c>
      <c r="O322" t="s">
        <v>8</v>
      </c>
    </row>
    <row r="323" spans="4:15" x14ac:dyDescent="0.25">
      <c r="D323">
        <v>321</v>
      </c>
      <c r="E323" t="s">
        <v>18</v>
      </c>
      <c r="F323" t="s">
        <v>331</v>
      </c>
      <c r="G323" t="s">
        <v>6</v>
      </c>
      <c r="H323" t="s">
        <v>7</v>
      </c>
      <c r="I323">
        <f>2025-2014</f>
        <v>11</v>
      </c>
      <c r="J323" t="s">
        <v>410</v>
      </c>
      <c r="L323">
        <v>60</v>
      </c>
      <c r="M323">
        <v>0</v>
      </c>
      <c r="O323" t="s">
        <v>8</v>
      </c>
    </row>
    <row r="324" spans="4:15" x14ac:dyDescent="0.25">
      <c r="D324">
        <v>322</v>
      </c>
      <c r="E324" t="s">
        <v>18</v>
      </c>
      <c r="F324" t="s">
        <v>332</v>
      </c>
      <c r="G324" t="s">
        <v>23</v>
      </c>
      <c r="H324" t="s">
        <v>11</v>
      </c>
      <c r="I324">
        <v>5</v>
      </c>
      <c r="J324" t="s">
        <v>412</v>
      </c>
      <c r="L324">
        <v>565</v>
      </c>
      <c r="M324">
        <v>2</v>
      </c>
      <c r="O324" t="s">
        <v>8</v>
      </c>
    </row>
    <row r="325" spans="4:15" x14ac:dyDescent="0.25">
      <c r="D325">
        <v>323</v>
      </c>
      <c r="E325" t="s">
        <v>18</v>
      </c>
      <c r="F325" t="s">
        <v>41</v>
      </c>
      <c r="G325" t="s">
        <v>6</v>
      </c>
      <c r="H325" t="s">
        <v>11</v>
      </c>
      <c r="I325">
        <v>3</v>
      </c>
      <c r="J325" t="s">
        <v>412</v>
      </c>
      <c r="L325">
        <v>895</v>
      </c>
      <c r="M325">
        <v>0</v>
      </c>
      <c r="O325" t="s">
        <v>8</v>
      </c>
    </row>
    <row r="326" spans="4:15" x14ac:dyDescent="0.25">
      <c r="D326">
        <v>324</v>
      </c>
      <c r="E326" t="s">
        <v>18</v>
      </c>
      <c r="F326" t="s">
        <v>333</v>
      </c>
      <c r="G326" t="s">
        <v>117</v>
      </c>
      <c r="H326" t="s">
        <v>7</v>
      </c>
      <c r="I326">
        <v>10</v>
      </c>
      <c r="J326" t="s">
        <v>410</v>
      </c>
      <c r="L326">
        <v>430</v>
      </c>
      <c r="M326">
        <v>29.5</v>
      </c>
      <c r="O326" t="s">
        <v>8</v>
      </c>
    </row>
    <row r="327" spans="4:15" x14ac:dyDescent="0.25">
      <c r="D327">
        <v>325</v>
      </c>
      <c r="E327" t="s">
        <v>18</v>
      </c>
      <c r="F327" t="s">
        <v>334</v>
      </c>
      <c r="G327" t="s">
        <v>15</v>
      </c>
      <c r="H327" t="s">
        <v>7</v>
      </c>
      <c r="I327">
        <f>2025-2024</f>
        <v>1</v>
      </c>
      <c r="J327" t="s">
        <v>410</v>
      </c>
      <c r="L327">
        <v>370</v>
      </c>
      <c r="M327">
        <v>0</v>
      </c>
      <c r="O327" t="s">
        <v>8</v>
      </c>
    </row>
    <row r="328" spans="4:15" x14ac:dyDescent="0.25">
      <c r="D328">
        <v>326</v>
      </c>
      <c r="E328" t="s">
        <v>18</v>
      </c>
      <c r="F328" t="s">
        <v>79</v>
      </c>
      <c r="G328" t="s">
        <v>259</v>
      </c>
      <c r="H328" t="s">
        <v>7</v>
      </c>
      <c r="I328">
        <v>1</v>
      </c>
      <c r="J328" t="s">
        <v>421</v>
      </c>
      <c r="L328">
        <v>340</v>
      </c>
      <c r="M328">
        <v>0</v>
      </c>
      <c r="O328" t="s">
        <v>10</v>
      </c>
    </row>
    <row r="329" spans="4:15" x14ac:dyDescent="0.25">
      <c r="D329">
        <v>327</v>
      </c>
      <c r="E329" t="s">
        <v>19</v>
      </c>
      <c r="F329" t="s">
        <v>335</v>
      </c>
      <c r="G329" t="s">
        <v>16</v>
      </c>
      <c r="H329" t="s">
        <v>7</v>
      </c>
      <c r="I329">
        <v>3</v>
      </c>
      <c r="J329" t="s">
        <v>421</v>
      </c>
      <c r="L329">
        <f>70+150</f>
        <v>220</v>
      </c>
      <c r="M329">
        <v>3.3</v>
      </c>
      <c r="O329" t="s">
        <v>8</v>
      </c>
    </row>
    <row r="330" spans="4:15" x14ac:dyDescent="0.25">
      <c r="D330">
        <v>328</v>
      </c>
      <c r="E330" t="s">
        <v>18</v>
      </c>
      <c r="F330" t="s">
        <v>336</v>
      </c>
      <c r="G330" t="s">
        <v>93</v>
      </c>
      <c r="H330" t="s">
        <v>11</v>
      </c>
      <c r="I330">
        <f>2025-2014</f>
        <v>11</v>
      </c>
      <c r="J330" t="s">
        <v>416</v>
      </c>
      <c r="L330">
        <v>235</v>
      </c>
      <c r="M330">
        <v>0</v>
      </c>
      <c r="O330" t="s">
        <v>8</v>
      </c>
    </row>
    <row r="331" spans="4:15" x14ac:dyDescent="0.25">
      <c r="D331">
        <v>329</v>
      </c>
      <c r="E331" t="s">
        <v>18</v>
      </c>
      <c r="F331" t="s">
        <v>296</v>
      </c>
      <c r="G331" t="s">
        <v>23</v>
      </c>
      <c r="H331" t="s">
        <v>7</v>
      </c>
      <c r="I331">
        <v>5</v>
      </c>
      <c r="J331" t="s">
        <v>412</v>
      </c>
      <c r="L331">
        <f>70+150</f>
        <v>220</v>
      </c>
      <c r="M331">
        <v>0</v>
      </c>
      <c r="O331" t="s">
        <v>10</v>
      </c>
    </row>
    <row r="332" spans="4:15" x14ac:dyDescent="0.25">
      <c r="D332">
        <v>330</v>
      </c>
      <c r="E332" t="s">
        <v>18</v>
      </c>
      <c r="F332" t="s">
        <v>337</v>
      </c>
      <c r="G332" t="s">
        <v>73</v>
      </c>
      <c r="H332" t="s">
        <v>11</v>
      </c>
      <c r="I332">
        <f>2025-2011</f>
        <v>14</v>
      </c>
      <c r="J332" t="s">
        <v>416</v>
      </c>
      <c r="L332">
        <v>970</v>
      </c>
      <c r="M332">
        <v>0</v>
      </c>
      <c r="O332" t="s">
        <v>10</v>
      </c>
    </row>
    <row r="333" spans="4:15" x14ac:dyDescent="0.25">
      <c r="D333">
        <v>331</v>
      </c>
      <c r="E333" t="s">
        <v>18</v>
      </c>
      <c r="F333" t="s">
        <v>338</v>
      </c>
      <c r="G333" t="s">
        <v>73</v>
      </c>
      <c r="H333" t="s">
        <v>11</v>
      </c>
      <c r="I333">
        <v>5</v>
      </c>
      <c r="J333" t="s">
        <v>413</v>
      </c>
      <c r="L333">
        <v>70</v>
      </c>
      <c r="M333">
        <v>0</v>
      </c>
      <c r="O333" t="s">
        <v>8</v>
      </c>
    </row>
    <row r="334" spans="4:15" x14ac:dyDescent="0.25">
      <c r="D334">
        <v>332</v>
      </c>
      <c r="E334" t="s">
        <v>18</v>
      </c>
      <c r="F334" t="s">
        <v>339</v>
      </c>
      <c r="G334" t="s">
        <v>6</v>
      </c>
      <c r="H334" t="s">
        <v>7</v>
      </c>
      <c r="I334">
        <f>2025-2013</f>
        <v>12</v>
      </c>
      <c r="J334" t="s">
        <v>410</v>
      </c>
      <c r="L334">
        <v>40</v>
      </c>
      <c r="M334">
        <v>0</v>
      </c>
      <c r="O334" t="s">
        <v>8</v>
      </c>
    </row>
    <row r="335" spans="4:15" x14ac:dyDescent="0.25">
      <c r="D335">
        <v>333</v>
      </c>
      <c r="E335" t="s">
        <v>18</v>
      </c>
      <c r="F335" t="s">
        <v>340</v>
      </c>
      <c r="G335" t="s">
        <v>95</v>
      </c>
      <c r="H335" t="s">
        <v>7</v>
      </c>
      <c r="I335">
        <f>2025-2018</f>
        <v>7</v>
      </c>
      <c r="J335" t="s">
        <v>412</v>
      </c>
      <c r="L335">
        <v>370</v>
      </c>
      <c r="M335">
        <v>0</v>
      </c>
      <c r="O335" t="s">
        <v>8</v>
      </c>
    </row>
    <row r="336" spans="4:15" x14ac:dyDescent="0.25">
      <c r="D336">
        <v>334</v>
      </c>
      <c r="E336" t="s">
        <v>18</v>
      </c>
      <c r="F336" t="s">
        <v>341</v>
      </c>
      <c r="G336" t="s">
        <v>22</v>
      </c>
      <c r="H336" t="s">
        <v>11</v>
      </c>
      <c r="I336">
        <f>2025-2013</f>
        <v>12</v>
      </c>
      <c r="O336" t="s">
        <v>8</v>
      </c>
    </row>
    <row r="337" spans="4:15" x14ac:dyDescent="0.25">
      <c r="D337">
        <v>335</v>
      </c>
      <c r="E337" t="s">
        <v>18</v>
      </c>
      <c r="F337" t="s">
        <v>342</v>
      </c>
      <c r="G337" t="s">
        <v>159</v>
      </c>
      <c r="H337" t="s">
        <v>11</v>
      </c>
      <c r="I337">
        <f>2025-2012</f>
        <v>13</v>
      </c>
      <c r="J337" t="s">
        <v>410</v>
      </c>
      <c r="L337">
        <v>130</v>
      </c>
      <c r="M337">
        <v>2</v>
      </c>
      <c r="O337" t="s">
        <v>10</v>
      </c>
    </row>
    <row r="338" spans="4:15" x14ac:dyDescent="0.25">
      <c r="D338">
        <v>336</v>
      </c>
      <c r="E338" t="s">
        <v>18</v>
      </c>
      <c r="F338" t="s">
        <v>313</v>
      </c>
      <c r="G338" t="s">
        <v>23</v>
      </c>
      <c r="H338" t="s">
        <v>11</v>
      </c>
      <c r="I338">
        <v>5</v>
      </c>
      <c r="J338" t="s">
        <v>412</v>
      </c>
      <c r="L338">
        <v>70</v>
      </c>
      <c r="M338">
        <v>3</v>
      </c>
      <c r="O338" t="s">
        <v>10</v>
      </c>
    </row>
    <row r="339" spans="4:15" x14ac:dyDescent="0.25">
      <c r="D339">
        <v>337</v>
      </c>
      <c r="E339" t="s">
        <v>18</v>
      </c>
      <c r="F339" t="s">
        <v>220</v>
      </c>
      <c r="G339" t="s">
        <v>73</v>
      </c>
      <c r="H339" t="s">
        <v>11</v>
      </c>
      <c r="I339">
        <f>2025-2019</f>
        <v>6</v>
      </c>
      <c r="O339" t="s">
        <v>8</v>
      </c>
    </row>
    <row r="340" spans="4:15" x14ac:dyDescent="0.25">
      <c r="D340">
        <v>338</v>
      </c>
      <c r="E340" t="s">
        <v>18</v>
      </c>
      <c r="F340" t="s">
        <v>343</v>
      </c>
      <c r="G340" t="s">
        <v>15</v>
      </c>
      <c r="H340" t="s">
        <v>7</v>
      </c>
      <c r="I340">
        <v>3</v>
      </c>
      <c r="J340" t="s">
        <v>423</v>
      </c>
      <c r="L340">
        <v>70</v>
      </c>
      <c r="M340">
        <v>0</v>
      </c>
      <c r="O340" t="s">
        <v>10</v>
      </c>
    </row>
    <row r="341" spans="4:15" x14ac:dyDescent="0.25">
      <c r="D341">
        <v>339</v>
      </c>
      <c r="E341" t="s">
        <v>18</v>
      </c>
      <c r="F341" t="s">
        <v>165</v>
      </c>
      <c r="G341" t="s">
        <v>15</v>
      </c>
      <c r="H341" t="s">
        <v>11</v>
      </c>
      <c r="I341">
        <f>2025-2016</f>
        <v>9</v>
      </c>
      <c r="J341" t="s">
        <v>423</v>
      </c>
      <c r="L341">
        <v>40</v>
      </c>
      <c r="M341">
        <v>0</v>
      </c>
      <c r="O341" t="s">
        <v>8</v>
      </c>
    </row>
    <row r="342" spans="4:15" x14ac:dyDescent="0.25">
      <c r="D342">
        <v>340</v>
      </c>
      <c r="E342" t="s">
        <v>18</v>
      </c>
      <c r="F342" t="s">
        <v>344</v>
      </c>
      <c r="G342" t="s">
        <v>285</v>
      </c>
      <c r="H342" t="s">
        <v>11</v>
      </c>
      <c r="I342">
        <f>2025-2013</f>
        <v>12</v>
      </c>
      <c r="J342" t="s">
        <v>410</v>
      </c>
      <c r="L342">
        <v>70</v>
      </c>
      <c r="M342">
        <v>0</v>
      </c>
      <c r="O342" t="s">
        <v>8</v>
      </c>
    </row>
    <row r="343" spans="4:15" x14ac:dyDescent="0.25">
      <c r="D343">
        <v>341</v>
      </c>
      <c r="E343" t="s">
        <v>18</v>
      </c>
      <c r="F343" t="s">
        <v>169</v>
      </c>
      <c r="G343" t="s">
        <v>231</v>
      </c>
      <c r="H343" t="s">
        <v>7</v>
      </c>
      <c r="I343">
        <v>15</v>
      </c>
      <c r="J343" t="s">
        <v>412</v>
      </c>
      <c r="L343">
        <v>370</v>
      </c>
      <c r="M343">
        <v>58.45</v>
      </c>
      <c r="O343" t="s">
        <v>8</v>
      </c>
    </row>
    <row r="344" spans="4:15" x14ac:dyDescent="0.25">
      <c r="D344">
        <v>342</v>
      </c>
      <c r="E344" t="s">
        <v>18</v>
      </c>
      <c r="F344" t="s">
        <v>345</v>
      </c>
      <c r="G344" t="s">
        <v>205</v>
      </c>
      <c r="H344" t="s">
        <v>7</v>
      </c>
      <c r="I344">
        <f>2025-2017</f>
        <v>8</v>
      </c>
      <c r="J344" t="s">
        <v>412</v>
      </c>
      <c r="L344">
        <v>340</v>
      </c>
      <c r="M344">
        <v>0</v>
      </c>
      <c r="O344" t="s">
        <v>8</v>
      </c>
    </row>
    <row r="345" spans="4:15" x14ac:dyDescent="0.25">
      <c r="D345">
        <v>343</v>
      </c>
      <c r="E345" t="s">
        <v>18</v>
      </c>
      <c r="F345" t="s">
        <v>346</v>
      </c>
      <c r="G345" t="s">
        <v>23</v>
      </c>
      <c r="H345" t="s">
        <v>7</v>
      </c>
      <c r="I345">
        <v>6</v>
      </c>
      <c r="J345" t="s">
        <v>412</v>
      </c>
      <c r="L345">
        <v>220</v>
      </c>
      <c r="M345">
        <v>0</v>
      </c>
      <c r="O345" t="s">
        <v>10</v>
      </c>
    </row>
    <row r="346" spans="4:15" x14ac:dyDescent="0.25">
      <c r="D346">
        <v>344</v>
      </c>
      <c r="E346" t="s">
        <v>18</v>
      </c>
      <c r="F346" t="s">
        <v>30</v>
      </c>
      <c r="G346" t="s">
        <v>6</v>
      </c>
      <c r="H346" t="s">
        <v>7</v>
      </c>
      <c r="I346">
        <f>2025-2012</f>
        <v>13</v>
      </c>
      <c r="J346" t="s">
        <v>423</v>
      </c>
      <c r="L346">
        <v>160</v>
      </c>
      <c r="M346">
        <v>0</v>
      </c>
      <c r="O346" t="s">
        <v>8</v>
      </c>
    </row>
    <row r="347" spans="4:15" x14ac:dyDescent="0.25">
      <c r="D347">
        <v>345</v>
      </c>
      <c r="E347" t="s">
        <v>18</v>
      </c>
      <c r="F347" t="s">
        <v>335</v>
      </c>
      <c r="G347" t="s">
        <v>6</v>
      </c>
      <c r="H347" t="s">
        <v>7</v>
      </c>
      <c r="I347">
        <v>4</v>
      </c>
      <c r="J347" t="s">
        <v>410</v>
      </c>
      <c r="L347">
        <v>320</v>
      </c>
      <c r="M347">
        <v>0</v>
      </c>
      <c r="O347" t="s">
        <v>10</v>
      </c>
    </row>
    <row r="348" spans="4:15" x14ac:dyDescent="0.25">
      <c r="D348">
        <v>346</v>
      </c>
      <c r="E348" t="s">
        <v>18</v>
      </c>
      <c r="F348" t="s">
        <v>347</v>
      </c>
      <c r="G348" t="s">
        <v>62</v>
      </c>
      <c r="H348" t="s">
        <v>7</v>
      </c>
      <c r="I348">
        <v>8</v>
      </c>
      <c r="J348" t="s">
        <v>412</v>
      </c>
      <c r="L348">
        <v>45</v>
      </c>
      <c r="M348">
        <v>0</v>
      </c>
      <c r="O348" t="s">
        <v>10</v>
      </c>
    </row>
    <row r="349" spans="4:15" x14ac:dyDescent="0.25">
      <c r="D349">
        <v>347</v>
      </c>
      <c r="E349" t="s">
        <v>18</v>
      </c>
      <c r="F349" t="s">
        <v>241</v>
      </c>
      <c r="G349" t="s">
        <v>6</v>
      </c>
      <c r="H349" t="s">
        <v>11</v>
      </c>
      <c r="I349">
        <v>4</v>
      </c>
      <c r="J349" t="s">
        <v>412</v>
      </c>
      <c r="L349">
        <v>295</v>
      </c>
      <c r="M349">
        <v>17.45</v>
      </c>
      <c r="O349" t="s">
        <v>8</v>
      </c>
    </row>
    <row r="350" spans="4:15" x14ac:dyDescent="0.25">
      <c r="D350">
        <v>348</v>
      </c>
      <c r="E350" t="s">
        <v>18</v>
      </c>
      <c r="F350" t="s">
        <v>348</v>
      </c>
      <c r="G350" t="s">
        <v>9</v>
      </c>
      <c r="H350" t="s">
        <v>7</v>
      </c>
      <c r="I350">
        <v>6</v>
      </c>
      <c r="J350" t="s">
        <v>423</v>
      </c>
      <c r="L350">
        <v>210</v>
      </c>
      <c r="M350">
        <v>0</v>
      </c>
      <c r="O350" t="s">
        <v>8</v>
      </c>
    </row>
    <row r="351" spans="4:15" x14ac:dyDescent="0.25">
      <c r="D351">
        <v>349</v>
      </c>
      <c r="E351" t="s">
        <v>18</v>
      </c>
      <c r="F351" t="s">
        <v>349</v>
      </c>
      <c r="G351" t="s">
        <v>6</v>
      </c>
      <c r="H351" t="s">
        <v>11</v>
      </c>
      <c r="I351">
        <f>2025-2016</f>
        <v>9</v>
      </c>
      <c r="O351" t="s">
        <v>10</v>
      </c>
    </row>
    <row r="352" spans="4:15" x14ac:dyDescent="0.25">
      <c r="D352">
        <v>350</v>
      </c>
      <c r="E352" t="s">
        <v>18</v>
      </c>
      <c r="F352" t="s">
        <v>350</v>
      </c>
      <c r="G352" t="s">
        <v>6</v>
      </c>
      <c r="H352" t="s">
        <v>11</v>
      </c>
      <c r="I352">
        <v>4</v>
      </c>
      <c r="O352" t="s">
        <v>8</v>
      </c>
    </row>
    <row r="353" spans="4:15" x14ac:dyDescent="0.25">
      <c r="D353">
        <v>351</v>
      </c>
      <c r="E353" t="s">
        <v>18</v>
      </c>
      <c r="F353" t="s">
        <v>351</v>
      </c>
      <c r="G353" t="s">
        <v>6</v>
      </c>
      <c r="H353" t="s">
        <v>11</v>
      </c>
      <c r="I353">
        <f>2025-2014</f>
        <v>11</v>
      </c>
      <c r="J353" t="s">
        <v>412</v>
      </c>
      <c r="L353">
        <v>295</v>
      </c>
      <c r="M353">
        <v>0</v>
      </c>
      <c r="O353" t="s">
        <v>8</v>
      </c>
    </row>
    <row r="354" spans="4:15" x14ac:dyDescent="0.25">
      <c r="D354">
        <v>352</v>
      </c>
      <c r="E354" t="s">
        <v>18</v>
      </c>
      <c r="F354" t="s">
        <v>69</v>
      </c>
      <c r="G354" t="s">
        <v>53</v>
      </c>
      <c r="H354" t="s">
        <v>11</v>
      </c>
      <c r="I354">
        <f>2025-2014</f>
        <v>11</v>
      </c>
      <c r="J354" t="s">
        <v>410</v>
      </c>
      <c r="L354">
        <v>370</v>
      </c>
      <c r="M354">
        <v>0</v>
      </c>
      <c r="O354" t="s">
        <v>8</v>
      </c>
    </row>
    <row r="355" spans="4:15" x14ac:dyDescent="0.25">
      <c r="D355">
        <v>353</v>
      </c>
      <c r="E355" t="s">
        <v>18</v>
      </c>
      <c r="F355" t="s">
        <v>211</v>
      </c>
      <c r="G355" t="s">
        <v>6</v>
      </c>
      <c r="H355" t="s">
        <v>11</v>
      </c>
      <c r="I355">
        <f>2025-2014</f>
        <v>11</v>
      </c>
      <c r="J355" t="s">
        <v>413</v>
      </c>
      <c r="L355">
        <v>155</v>
      </c>
      <c r="M355">
        <v>0</v>
      </c>
      <c r="O355" t="s">
        <v>8</v>
      </c>
    </row>
    <row r="356" spans="4:15" x14ac:dyDescent="0.25">
      <c r="D356">
        <v>354</v>
      </c>
      <c r="E356" t="s">
        <v>18</v>
      </c>
      <c r="F356" t="s">
        <v>352</v>
      </c>
      <c r="G356" t="s">
        <v>353</v>
      </c>
      <c r="H356" t="s">
        <v>7</v>
      </c>
      <c r="I356">
        <v>1</v>
      </c>
      <c r="J356" t="s">
        <v>421</v>
      </c>
      <c r="L356">
        <v>295</v>
      </c>
      <c r="M356">
        <v>2</v>
      </c>
      <c r="O356" t="s">
        <v>10</v>
      </c>
    </row>
    <row r="357" spans="4:15" x14ac:dyDescent="0.25">
      <c r="D357">
        <v>355</v>
      </c>
      <c r="E357" t="s">
        <v>18</v>
      </c>
      <c r="F357" t="s">
        <v>99</v>
      </c>
      <c r="G357" t="s">
        <v>15</v>
      </c>
      <c r="H357" t="s">
        <v>7</v>
      </c>
      <c r="I357">
        <v>5</v>
      </c>
      <c r="J357" t="s">
        <v>423</v>
      </c>
      <c r="L357">
        <v>70</v>
      </c>
      <c r="M357">
        <v>7.3</v>
      </c>
      <c r="O357" t="s">
        <v>8</v>
      </c>
    </row>
    <row r="358" spans="4:15" x14ac:dyDescent="0.25">
      <c r="D358">
        <v>356</v>
      </c>
      <c r="E358" t="s">
        <v>18</v>
      </c>
      <c r="F358" t="s">
        <v>36</v>
      </c>
      <c r="G358" t="s">
        <v>6</v>
      </c>
      <c r="H358" t="s">
        <v>7</v>
      </c>
      <c r="I358">
        <f>2025-2010</f>
        <v>15</v>
      </c>
      <c r="J358" t="s">
        <v>412</v>
      </c>
      <c r="L358">
        <v>370</v>
      </c>
      <c r="M358">
        <v>0</v>
      </c>
      <c r="O358" t="s">
        <v>10</v>
      </c>
    </row>
    <row r="359" spans="4:15" x14ac:dyDescent="0.25">
      <c r="D359">
        <v>357</v>
      </c>
      <c r="E359" t="s">
        <v>18</v>
      </c>
      <c r="F359" t="s">
        <v>354</v>
      </c>
      <c r="G359" t="s">
        <v>15</v>
      </c>
      <c r="H359" t="s">
        <v>11</v>
      </c>
      <c r="I359">
        <v>4</v>
      </c>
      <c r="J359" t="s">
        <v>423</v>
      </c>
      <c r="L359">
        <v>70</v>
      </c>
      <c r="M359">
        <v>0</v>
      </c>
      <c r="O359" t="s">
        <v>8</v>
      </c>
    </row>
    <row r="360" spans="4:15" x14ac:dyDescent="0.25">
      <c r="D360">
        <v>358</v>
      </c>
      <c r="E360" t="s">
        <v>18</v>
      </c>
      <c r="F360" t="s">
        <v>355</v>
      </c>
      <c r="G360" t="s">
        <v>6</v>
      </c>
      <c r="H360" t="s">
        <v>7</v>
      </c>
      <c r="I360">
        <v>15</v>
      </c>
      <c r="J360" t="s">
        <v>410</v>
      </c>
      <c r="L360">
        <v>295</v>
      </c>
      <c r="M360">
        <v>0</v>
      </c>
      <c r="O360" t="s">
        <v>8</v>
      </c>
    </row>
    <row r="361" spans="4:15" x14ac:dyDescent="0.25">
      <c r="D361">
        <v>359</v>
      </c>
      <c r="E361" t="s">
        <v>18</v>
      </c>
      <c r="F361" t="s">
        <v>356</v>
      </c>
      <c r="G361" t="s">
        <v>269</v>
      </c>
      <c r="H361" t="s">
        <v>7</v>
      </c>
      <c r="I361">
        <v>6</v>
      </c>
      <c r="J361" t="s">
        <v>413</v>
      </c>
      <c r="L361">
        <v>270</v>
      </c>
      <c r="M361">
        <v>0</v>
      </c>
      <c r="O361" t="s">
        <v>8</v>
      </c>
    </row>
    <row r="362" spans="4:15" x14ac:dyDescent="0.25">
      <c r="D362">
        <v>360</v>
      </c>
      <c r="E362" t="s">
        <v>18</v>
      </c>
      <c r="F362" t="s">
        <v>357</v>
      </c>
      <c r="G362" t="s">
        <v>53</v>
      </c>
      <c r="H362" t="s">
        <v>11</v>
      </c>
      <c r="I362">
        <v>10</v>
      </c>
      <c r="J362" t="s">
        <v>410</v>
      </c>
      <c r="L362">
        <v>670</v>
      </c>
      <c r="M362">
        <v>0</v>
      </c>
      <c r="O362" t="s">
        <v>10</v>
      </c>
    </row>
    <row r="363" spans="4:15" x14ac:dyDescent="0.25">
      <c r="D363">
        <v>361</v>
      </c>
      <c r="E363" t="s">
        <v>18</v>
      </c>
      <c r="F363" t="s">
        <v>343</v>
      </c>
      <c r="G363" t="s">
        <v>6</v>
      </c>
      <c r="H363" t="s">
        <v>7</v>
      </c>
      <c r="I363">
        <v>8</v>
      </c>
      <c r="J363" t="s">
        <v>410</v>
      </c>
      <c r="L363">
        <v>385</v>
      </c>
      <c r="M363">
        <v>0</v>
      </c>
      <c r="O363" t="s">
        <v>8</v>
      </c>
    </row>
    <row r="364" spans="4:15" x14ac:dyDescent="0.25">
      <c r="D364">
        <v>362</v>
      </c>
      <c r="E364" t="s">
        <v>18</v>
      </c>
      <c r="F364" t="s">
        <v>113</v>
      </c>
      <c r="G364" t="s">
        <v>177</v>
      </c>
      <c r="H364" t="s">
        <v>11</v>
      </c>
      <c r="I364">
        <f>2025-2012</f>
        <v>13</v>
      </c>
      <c r="J364" t="s">
        <v>410</v>
      </c>
      <c r="L364">
        <v>295</v>
      </c>
      <c r="M364">
        <v>0</v>
      </c>
      <c r="O364" t="s">
        <v>8</v>
      </c>
    </row>
    <row r="365" spans="4:15" x14ac:dyDescent="0.25">
      <c r="D365">
        <v>363</v>
      </c>
      <c r="E365" t="s">
        <v>18</v>
      </c>
      <c r="F365" t="s">
        <v>358</v>
      </c>
      <c r="G365" t="s">
        <v>133</v>
      </c>
      <c r="H365" t="s">
        <v>11</v>
      </c>
      <c r="I365">
        <v>5</v>
      </c>
      <c r="J365" t="s">
        <v>410</v>
      </c>
      <c r="L365">
        <v>200</v>
      </c>
      <c r="M365">
        <v>0</v>
      </c>
      <c r="O365" t="s">
        <v>10</v>
      </c>
    </row>
    <row r="366" spans="4:15" x14ac:dyDescent="0.25">
      <c r="D366">
        <v>364</v>
      </c>
      <c r="E366" t="s">
        <v>18</v>
      </c>
      <c r="F366" t="s">
        <v>359</v>
      </c>
      <c r="G366" t="s">
        <v>133</v>
      </c>
      <c r="H366" t="s">
        <v>7</v>
      </c>
      <c r="I366">
        <v>5</v>
      </c>
      <c r="J366" t="s">
        <v>412</v>
      </c>
      <c r="L366">
        <v>225</v>
      </c>
      <c r="M366">
        <v>2</v>
      </c>
      <c r="O366" t="s">
        <v>8</v>
      </c>
    </row>
    <row r="367" spans="4:15" x14ac:dyDescent="0.25">
      <c r="D367">
        <v>365</v>
      </c>
      <c r="E367" t="s">
        <v>18</v>
      </c>
      <c r="F367" t="s">
        <v>360</v>
      </c>
      <c r="G367" t="s">
        <v>6</v>
      </c>
      <c r="H367" t="s">
        <v>11</v>
      </c>
      <c r="I367">
        <f>2025-2012</f>
        <v>13</v>
      </c>
      <c r="J367" t="s">
        <v>413</v>
      </c>
      <c r="L367">
        <v>70</v>
      </c>
      <c r="M367">
        <v>2</v>
      </c>
      <c r="O367" t="s">
        <v>8</v>
      </c>
    </row>
    <row r="368" spans="4:15" x14ac:dyDescent="0.25">
      <c r="D368">
        <v>366</v>
      </c>
      <c r="E368" t="s">
        <v>18</v>
      </c>
      <c r="F368" t="s">
        <v>361</v>
      </c>
      <c r="G368" t="s">
        <v>6</v>
      </c>
      <c r="H368" t="s">
        <v>7</v>
      </c>
      <c r="I368">
        <f>2025-2016</f>
        <v>9</v>
      </c>
      <c r="J368" t="s">
        <v>416</v>
      </c>
      <c r="L368">
        <v>350</v>
      </c>
      <c r="M368">
        <v>0</v>
      </c>
      <c r="O368" t="s">
        <v>8</v>
      </c>
    </row>
    <row r="369" spans="4:15" x14ac:dyDescent="0.25">
      <c r="D369">
        <v>367</v>
      </c>
      <c r="E369" t="s">
        <v>18</v>
      </c>
      <c r="F369" t="s">
        <v>236</v>
      </c>
      <c r="G369" t="s">
        <v>155</v>
      </c>
      <c r="H369" t="s">
        <v>7</v>
      </c>
      <c r="I369">
        <v>10</v>
      </c>
      <c r="J369" t="s">
        <v>427</v>
      </c>
      <c r="L369">
        <f>70+45+300</f>
        <v>415</v>
      </c>
      <c r="M369">
        <v>0</v>
      </c>
      <c r="O369" t="s">
        <v>10</v>
      </c>
    </row>
    <row r="370" spans="4:15" x14ac:dyDescent="0.25">
      <c r="D370">
        <v>368</v>
      </c>
      <c r="E370" t="s">
        <v>18</v>
      </c>
      <c r="F370" t="s">
        <v>362</v>
      </c>
      <c r="G370" t="s">
        <v>6</v>
      </c>
      <c r="H370" t="s">
        <v>7</v>
      </c>
      <c r="I370">
        <v>3</v>
      </c>
      <c r="J370" t="s">
        <v>427</v>
      </c>
      <c r="L370">
        <v>240</v>
      </c>
      <c r="M370">
        <v>0</v>
      </c>
      <c r="O370" t="s">
        <v>8</v>
      </c>
    </row>
    <row r="371" spans="4:15" x14ac:dyDescent="0.25">
      <c r="D371">
        <v>369</v>
      </c>
      <c r="E371" t="s">
        <v>18</v>
      </c>
      <c r="F371" t="s">
        <v>363</v>
      </c>
      <c r="G371" t="s">
        <v>191</v>
      </c>
      <c r="H371" t="s">
        <v>7</v>
      </c>
      <c r="I371">
        <v>7</v>
      </c>
      <c r="J371" t="s">
        <v>416</v>
      </c>
      <c r="L371">
        <v>670</v>
      </c>
      <c r="M371">
        <v>4</v>
      </c>
      <c r="O371" t="s">
        <v>8</v>
      </c>
    </row>
    <row r="372" spans="4:15" x14ac:dyDescent="0.25">
      <c r="D372">
        <v>370</v>
      </c>
      <c r="E372" t="s">
        <v>18</v>
      </c>
      <c r="F372" t="s">
        <v>69</v>
      </c>
      <c r="G372" t="s">
        <v>15</v>
      </c>
      <c r="H372" t="s">
        <v>11</v>
      </c>
      <c r="I372">
        <v>2</v>
      </c>
      <c r="J372" t="s">
        <v>416</v>
      </c>
      <c r="L372">
        <v>355</v>
      </c>
      <c r="M372">
        <v>0</v>
      </c>
      <c r="O372" t="s">
        <v>10</v>
      </c>
    </row>
    <row r="373" spans="4:15" x14ac:dyDescent="0.25">
      <c r="D373">
        <v>371</v>
      </c>
      <c r="E373" t="s">
        <v>18</v>
      </c>
      <c r="F373" t="s">
        <v>222</v>
      </c>
      <c r="G373" t="s">
        <v>23</v>
      </c>
      <c r="H373" t="s">
        <v>11</v>
      </c>
      <c r="I373">
        <v>4</v>
      </c>
      <c r="J373" t="s">
        <v>412</v>
      </c>
      <c r="L373">
        <v>295</v>
      </c>
      <c r="M373">
        <v>0</v>
      </c>
      <c r="O373" t="s">
        <v>8</v>
      </c>
    </row>
    <row r="374" spans="4:15" x14ac:dyDescent="0.25">
      <c r="D374">
        <v>372</v>
      </c>
      <c r="E374" t="s">
        <v>18</v>
      </c>
      <c r="F374" t="s">
        <v>364</v>
      </c>
      <c r="G374" t="s">
        <v>155</v>
      </c>
      <c r="H374" t="s">
        <v>7</v>
      </c>
      <c r="I374">
        <v>10</v>
      </c>
      <c r="J374" t="s">
        <v>413</v>
      </c>
      <c r="L374">
        <v>70</v>
      </c>
      <c r="M374">
        <v>0</v>
      </c>
      <c r="O374" t="s">
        <v>10</v>
      </c>
    </row>
    <row r="375" spans="4:15" x14ac:dyDescent="0.25">
      <c r="D375">
        <v>373</v>
      </c>
      <c r="E375" t="s">
        <v>18</v>
      </c>
      <c r="F375" t="s">
        <v>365</v>
      </c>
      <c r="G375" t="s">
        <v>6</v>
      </c>
      <c r="H375" t="s">
        <v>7</v>
      </c>
      <c r="I375">
        <f>2025-2011</f>
        <v>14</v>
      </c>
      <c r="J375" t="s">
        <v>412</v>
      </c>
      <c r="L375">
        <v>670</v>
      </c>
      <c r="M375">
        <v>0</v>
      </c>
      <c r="O375" t="s">
        <v>10</v>
      </c>
    </row>
    <row r="376" spans="4:15" x14ac:dyDescent="0.25">
      <c r="D376">
        <v>374</v>
      </c>
      <c r="E376" t="s">
        <v>18</v>
      </c>
      <c r="F376" t="s">
        <v>366</v>
      </c>
      <c r="G376" t="s">
        <v>93</v>
      </c>
      <c r="H376" t="s">
        <v>11</v>
      </c>
      <c r="I376">
        <f>2025-2012</f>
        <v>13</v>
      </c>
      <c r="J376" t="s">
        <v>410</v>
      </c>
      <c r="L376">
        <v>295</v>
      </c>
      <c r="M376">
        <v>0</v>
      </c>
      <c r="O376" t="s">
        <v>8</v>
      </c>
    </row>
    <row r="377" spans="4:15" x14ac:dyDescent="0.25">
      <c r="D377">
        <v>375</v>
      </c>
      <c r="E377" t="s">
        <v>18</v>
      </c>
      <c r="F377" t="s">
        <v>367</v>
      </c>
      <c r="G377" t="s">
        <v>172</v>
      </c>
      <c r="H377" t="s">
        <v>11</v>
      </c>
      <c r="I377">
        <v>4</v>
      </c>
      <c r="J377" t="s">
        <v>412</v>
      </c>
      <c r="L377">
        <v>130</v>
      </c>
      <c r="M377">
        <v>0</v>
      </c>
      <c r="O377" t="s">
        <v>10</v>
      </c>
    </row>
    <row r="378" spans="4:15" x14ac:dyDescent="0.25">
      <c r="D378">
        <v>376</v>
      </c>
      <c r="E378" t="s">
        <v>18</v>
      </c>
      <c r="F378" t="s">
        <v>220</v>
      </c>
      <c r="G378" t="s">
        <v>73</v>
      </c>
      <c r="H378" t="s">
        <v>11</v>
      </c>
      <c r="I378">
        <v>10</v>
      </c>
      <c r="J378" t="s">
        <v>413</v>
      </c>
      <c r="L378">
        <v>520</v>
      </c>
      <c r="M378">
        <v>78.8</v>
      </c>
      <c r="O378" t="s">
        <v>10</v>
      </c>
    </row>
    <row r="379" spans="4:15" x14ac:dyDescent="0.25">
      <c r="D379">
        <v>377</v>
      </c>
      <c r="E379" t="s">
        <v>18</v>
      </c>
      <c r="F379" t="s">
        <v>368</v>
      </c>
      <c r="G379" t="s">
        <v>23</v>
      </c>
      <c r="H379" t="s">
        <v>11</v>
      </c>
      <c r="I379">
        <v>4</v>
      </c>
      <c r="J379" t="s">
        <v>412</v>
      </c>
      <c r="L379">
        <v>595</v>
      </c>
      <c r="M379">
        <v>0</v>
      </c>
      <c r="O379" t="s">
        <v>8</v>
      </c>
    </row>
    <row r="380" spans="4:15" x14ac:dyDescent="0.25">
      <c r="D380">
        <v>378</v>
      </c>
      <c r="E380" t="s">
        <v>18</v>
      </c>
      <c r="F380" t="s">
        <v>369</v>
      </c>
      <c r="G380" t="s">
        <v>228</v>
      </c>
      <c r="H380" t="s">
        <v>7</v>
      </c>
      <c r="I380">
        <v>15</v>
      </c>
      <c r="J380" t="s">
        <v>410</v>
      </c>
      <c r="L380">
        <v>105</v>
      </c>
      <c r="M380">
        <v>0</v>
      </c>
      <c r="O380" t="s">
        <v>8</v>
      </c>
    </row>
    <row r="381" spans="4:15" x14ac:dyDescent="0.25">
      <c r="D381">
        <v>379</v>
      </c>
      <c r="E381" t="s">
        <v>18</v>
      </c>
      <c r="F381" t="s">
        <v>370</v>
      </c>
      <c r="G381" t="s">
        <v>73</v>
      </c>
      <c r="H381" t="s">
        <v>11</v>
      </c>
      <c r="I381">
        <v>5</v>
      </c>
      <c r="J381" t="s">
        <v>413</v>
      </c>
      <c r="L381">
        <v>370</v>
      </c>
      <c r="M381">
        <v>0</v>
      </c>
      <c r="O381" t="s">
        <v>8</v>
      </c>
    </row>
    <row r="382" spans="4:15" x14ac:dyDescent="0.25">
      <c r="D382">
        <v>380</v>
      </c>
      <c r="E382" t="s">
        <v>18</v>
      </c>
      <c r="F382" t="s">
        <v>371</v>
      </c>
      <c r="G382" t="s">
        <v>21</v>
      </c>
      <c r="H382" t="s">
        <v>7</v>
      </c>
      <c r="I382">
        <v>7</v>
      </c>
      <c r="J382" t="s">
        <v>412</v>
      </c>
      <c r="L382">
        <v>70</v>
      </c>
      <c r="M382">
        <v>0</v>
      </c>
      <c r="O382" t="s">
        <v>8</v>
      </c>
    </row>
    <row r="383" spans="4:15" x14ac:dyDescent="0.25">
      <c r="D383">
        <v>381</v>
      </c>
      <c r="E383" t="s">
        <v>18</v>
      </c>
      <c r="F383" t="s">
        <v>372</v>
      </c>
      <c r="G383" t="s">
        <v>228</v>
      </c>
      <c r="H383" t="s">
        <v>11</v>
      </c>
      <c r="I383">
        <v>7</v>
      </c>
      <c r="J383" t="s">
        <v>423</v>
      </c>
      <c r="L383">
        <v>40</v>
      </c>
      <c r="M383">
        <v>8</v>
      </c>
      <c r="O383" t="s">
        <v>8</v>
      </c>
    </row>
    <row r="384" spans="4:15" x14ac:dyDescent="0.25">
      <c r="D384">
        <v>382</v>
      </c>
      <c r="E384" t="s">
        <v>18</v>
      </c>
      <c r="F384" t="s">
        <v>373</v>
      </c>
      <c r="G384" t="s">
        <v>6</v>
      </c>
      <c r="H384" t="s">
        <v>11</v>
      </c>
      <c r="I384">
        <v>8</v>
      </c>
      <c r="O384" t="s">
        <v>8</v>
      </c>
    </row>
    <row r="385" spans="4:15" x14ac:dyDescent="0.25">
      <c r="D385">
        <v>383</v>
      </c>
      <c r="E385" t="s">
        <v>18</v>
      </c>
      <c r="F385" t="s">
        <v>374</v>
      </c>
      <c r="G385" t="s">
        <v>6</v>
      </c>
      <c r="H385" t="s">
        <v>7</v>
      </c>
      <c r="I385">
        <f>2025-2013</f>
        <v>12</v>
      </c>
      <c r="J385" t="s">
        <v>412</v>
      </c>
      <c r="L385">
        <v>340</v>
      </c>
      <c r="M385">
        <v>17.45</v>
      </c>
      <c r="O385" t="s">
        <v>8</v>
      </c>
    </row>
    <row r="386" spans="4:15" x14ac:dyDescent="0.25">
      <c r="D386">
        <v>384</v>
      </c>
      <c r="E386" t="s">
        <v>18</v>
      </c>
      <c r="F386" t="s">
        <v>375</v>
      </c>
      <c r="G386" t="s">
        <v>6</v>
      </c>
      <c r="H386" t="s">
        <v>7</v>
      </c>
      <c r="I386">
        <v>10</v>
      </c>
      <c r="J386" t="s">
        <v>412</v>
      </c>
      <c r="L386">
        <v>70</v>
      </c>
      <c r="M386">
        <v>0</v>
      </c>
      <c r="O386" t="s">
        <v>8</v>
      </c>
    </row>
    <row r="387" spans="4:15" x14ac:dyDescent="0.25">
      <c r="D387">
        <v>385</v>
      </c>
      <c r="E387" t="s">
        <v>18</v>
      </c>
      <c r="F387" t="s">
        <v>376</v>
      </c>
      <c r="G387" t="s">
        <v>23</v>
      </c>
      <c r="H387" t="s">
        <v>11</v>
      </c>
      <c r="I387">
        <v>4</v>
      </c>
      <c r="J387" t="s">
        <v>412</v>
      </c>
      <c r="L387">
        <v>295</v>
      </c>
      <c r="M387">
        <v>0</v>
      </c>
      <c r="O387" t="s">
        <v>8</v>
      </c>
    </row>
    <row r="388" spans="4:15" x14ac:dyDescent="0.25">
      <c r="D388">
        <v>386</v>
      </c>
      <c r="E388" t="s">
        <v>18</v>
      </c>
      <c r="F388" t="s">
        <v>153</v>
      </c>
      <c r="G388" t="s">
        <v>53</v>
      </c>
      <c r="H388" t="s">
        <v>11</v>
      </c>
      <c r="I388">
        <f>2025-2016</f>
        <v>9</v>
      </c>
      <c r="J388" t="s">
        <v>410</v>
      </c>
      <c r="L388">
        <v>370</v>
      </c>
      <c r="M388">
        <v>0</v>
      </c>
      <c r="O388" t="s">
        <v>8</v>
      </c>
    </row>
    <row r="389" spans="4:15" x14ac:dyDescent="0.25">
      <c r="D389">
        <v>387</v>
      </c>
      <c r="E389" t="s">
        <v>18</v>
      </c>
      <c r="F389" t="s">
        <v>99</v>
      </c>
      <c r="G389" t="s">
        <v>93</v>
      </c>
      <c r="H389" t="s">
        <v>7</v>
      </c>
      <c r="I389">
        <f>3</f>
        <v>3</v>
      </c>
      <c r="J389" t="s">
        <v>416</v>
      </c>
      <c r="L389">
        <v>370</v>
      </c>
      <c r="M389">
        <v>0</v>
      </c>
      <c r="O389" t="s">
        <v>10</v>
      </c>
    </row>
    <row r="390" spans="4:15" x14ac:dyDescent="0.25">
      <c r="D390">
        <v>388</v>
      </c>
      <c r="E390" t="s">
        <v>18</v>
      </c>
      <c r="F390" t="s">
        <v>377</v>
      </c>
      <c r="G390" t="s">
        <v>6</v>
      </c>
      <c r="H390" t="s">
        <v>7</v>
      </c>
      <c r="I390">
        <v>9</v>
      </c>
      <c r="J390" t="s">
        <v>427</v>
      </c>
      <c r="L390">
        <v>80</v>
      </c>
      <c r="M390">
        <v>0</v>
      </c>
      <c r="O390" t="s">
        <v>10</v>
      </c>
    </row>
    <row r="391" spans="4:15" x14ac:dyDescent="0.25">
      <c r="D391">
        <v>389</v>
      </c>
      <c r="E391" t="s">
        <v>18</v>
      </c>
      <c r="F391" t="s">
        <v>378</v>
      </c>
      <c r="G391" t="s">
        <v>73</v>
      </c>
      <c r="H391" t="s">
        <v>11</v>
      </c>
      <c r="I391">
        <v>1</v>
      </c>
      <c r="J391" t="s">
        <v>416</v>
      </c>
      <c r="L391">
        <v>70</v>
      </c>
      <c r="M391">
        <v>0</v>
      </c>
      <c r="O391" t="s">
        <v>8</v>
      </c>
    </row>
    <row r="392" spans="4:15" x14ac:dyDescent="0.25">
      <c r="D392">
        <v>390</v>
      </c>
      <c r="E392" t="s">
        <v>18</v>
      </c>
      <c r="F392" t="s">
        <v>379</v>
      </c>
      <c r="G392" t="s">
        <v>6</v>
      </c>
      <c r="H392" t="s">
        <v>11</v>
      </c>
      <c r="I392">
        <v>7</v>
      </c>
      <c r="J392" t="s">
        <v>427</v>
      </c>
      <c r="L392">
        <v>370</v>
      </c>
      <c r="M392">
        <v>0</v>
      </c>
      <c r="O392" t="s">
        <v>8</v>
      </c>
    </row>
    <row r="393" spans="4:15" x14ac:dyDescent="0.25">
      <c r="D393">
        <v>391</v>
      </c>
      <c r="E393" t="s">
        <v>18</v>
      </c>
      <c r="F393" t="s">
        <v>380</v>
      </c>
      <c r="G393" t="s">
        <v>6</v>
      </c>
      <c r="H393" t="s">
        <v>11</v>
      </c>
      <c r="I393">
        <v>10</v>
      </c>
      <c r="J393" t="s">
        <v>412</v>
      </c>
      <c r="L393">
        <v>15</v>
      </c>
      <c r="M393">
        <v>0</v>
      </c>
      <c r="O393" t="s">
        <v>8</v>
      </c>
    </row>
    <row r="394" spans="4:15" x14ac:dyDescent="0.25">
      <c r="D394">
        <v>392</v>
      </c>
      <c r="E394" t="s">
        <v>19</v>
      </c>
      <c r="F394" t="s">
        <v>381</v>
      </c>
      <c r="G394" t="s">
        <v>16</v>
      </c>
      <c r="H394" t="s">
        <v>11</v>
      </c>
      <c r="I394">
        <f>2025-2009</f>
        <v>16</v>
      </c>
      <c r="J394" t="s">
        <v>410</v>
      </c>
      <c r="L394">
        <v>285</v>
      </c>
      <c r="M394">
        <v>0</v>
      </c>
      <c r="O394" t="s">
        <v>8</v>
      </c>
    </row>
    <row r="395" spans="4:15" x14ac:dyDescent="0.25">
      <c r="D395">
        <v>393</v>
      </c>
      <c r="E395" t="s">
        <v>18</v>
      </c>
      <c r="F395" t="s">
        <v>382</v>
      </c>
      <c r="G395" t="s">
        <v>12</v>
      </c>
      <c r="H395" t="s">
        <v>7</v>
      </c>
      <c r="I395">
        <f>2025-2007</f>
        <v>18</v>
      </c>
      <c r="J395" t="s">
        <v>410</v>
      </c>
      <c r="L395">
        <v>195</v>
      </c>
      <c r="M395">
        <v>0</v>
      </c>
      <c r="O395" t="s">
        <v>8</v>
      </c>
    </row>
    <row r="396" spans="4:15" x14ac:dyDescent="0.25">
      <c r="D396">
        <v>394</v>
      </c>
      <c r="E396" t="s">
        <v>18</v>
      </c>
      <c r="F396" t="s">
        <v>383</v>
      </c>
      <c r="G396" t="s">
        <v>98</v>
      </c>
      <c r="H396" t="s">
        <v>11</v>
      </c>
      <c r="I396">
        <v>1</v>
      </c>
      <c r="O396" t="s">
        <v>10</v>
      </c>
    </row>
    <row r="397" spans="4:15" x14ac:dyDescent="0.25">
      <c r="D397">
        <v>395</v>
      </c>
      <c r="E397" t="s">
        <v>18</v>
      </c>
      <c r="F397" t="s">
        <v>30</v>
      </c>
      <c r="G397" t="s">
        <v>62</v>
      </c>
      <c r="H397" t="s">
        <v>7</v>
      </c>
      <c r="I397">
        <v>9</v>
      </c>
      <c r="J397" t="s">
        <v>412</v>
      </c>
      <c r="L397">
        <v>295</v>
      </c>
      <c r="M397">
        <v>0</v>
      </c>
      <c r="O397" t="s">
        <v>10</v>
      </c>
    </row>
    <row r="398" spans="4:15" x14ac:dyDescent="0.25">
      <c r="D398">
        <v>396</v>
      </c>
      <c r="E398" t="s">
        <v>18</v>
      </c>
      <c r="F398" t="s">
        <v>384</v>
      </c>
      <c r="G398" t="s">
        <v>6</v>
      </c>
      <c r="H398" t="s">
        <v>7</v>
      </c>
      <c r="I398">
        <f>2025-2013</f>
        <v>12</v>
      </c>
      <c r="J398" t="s">
        <v>410</v>
      </c>
      <c r="L398">
        <v>70</v>
      </c>
      <c r="M398">
        <v>0</v>
      </c>
      <c r="O398" t="s">
        <v>8</v>
      </c>
    </row>
    <row r="399" spans="4:15" x14ac:dyDescent="0.25">
      <c r="D399">
        <v>397</v>
      </c>
      <c r="E399" t="s">
        <v>18</v>
      </c>
      <c r="F399" t="s">
        <v>236</v>
      </c>
      <c r="G399" t="s">
        <v>133</v>
      </c>
      <c r="H399" t="s">
        <v>7</v>
      </c>
      <c r="I399">
        <f>2025-2013</f>
        <v>12</v>
      </c>
      <c r="J399" t="s">
        <v>410</v>
      </c>
      <c r="L399">
        <v>40</v>
      </c>
      <c r="M399">
        <v>0</v>
      </c>
      <c r="O399" t="s">
        <v>8</v>
      </c>
    </row>
    <row r="400" spans="4:15" x14ac:dyDescent="0.25">
      <c r="D400">
        <v>398</v>
      </c>
      <c r="E400" t="s">
        <v>18</v>
      </c>
      <c r="F400" t="s">
        <v>385</v>
      </c>
      <c r="G400" t="s">
        <v>51</v>
      </c>
      <c r="H400" t="s">
        <v>11</v>
      </c>
      <c r="I400">
        <f>2025-2012</f>
        <v>13</v>
      </c>
      <c r="J400" t="s">
        <v>416</v>
      </c>
      <c r="L400">
        <v>70</v>
      </c>
      <c r="M400">
        <v>0</v>
      </c>
      <c r="O400" t="s">
        <v>8</v>
      </c>
    </row>
    <row r="401" spans="4:15" x14ac:dyDescent="0.25">
      <c r="D401">
        <v>399</v>
      </c>
      <c r="E401" t="s">
        <v>18</v>
      </c>
      <c r="F401" t="s">
        <v>386</v>
      </c>
      <c r="G401" t="s">
        <v>127</v>
      </c>
      <c r="H401" t="s">
        <v>7</v>
      </c>
      <c r="I401">
        <v>1</v>
      </c>
      <c r="O401" t="s">
        <v>8</v>
      </c>
    </row>
    <row r="402" spans="4:15" x14ac:dyDescent="0.25">
      <c r="D402">
        <v>400</v>
      </c>
      <c r="E402" t="s">
        <v>18</v>
      </c>
      <c r="F402" t="s">
        <v>387</v>
      </c>
      <c r="G402" t="s">
        <v>228</v>
      </c>
      <c r="H402" t="s">
        <v>7</v>
      </c>
      <c r="I402">
        <v>3</v>
      </c>
      <c r="J402" t="s">
        <v>412</v>
      </c>
      <c r="L402">
        <v>70</v>
      </c>
      <c r="M402">
        <v>0</v>
      </c>
      <c r="O402" t="s">
        <v>8</v>
      </c>
    </row>
    <row r="403" spans="4:15" x14ac:dyDescent="0.25">
      <c r="D403">
        <v>401</v>
      </c>
      <c r="E403" t="s">
        <v>18</v>
      </c>
      <c r="F403" t="s">
        <v>129</v>
      </c>
      <c r="G403" t="s">
        <v>191</v>
      </c>
      <c r="H403" t="s">
        <v>11</v>
      </c>
      <c r="I403">
        <v>8</v>
      </c>
      <c r="J403" t="s">
        <v>416</v>
      </c>
      <c r="L403">
        <v>370</v>
      </c>
      <c r="M403">
        <v>78.8</v>
      </c>
      <c r="O403" t="s">
        <v>8</v>
      </c>
    </row>
    <row r="404" spans="4:15" x14ac:dyDescent="0.25">
      <c r="D404">
        <v>402</v>
      </c>
      <c r="E404" t="s">
        <v>18</v>
      </c>
      <c r="F404" t="s">
        <v>388</v>
      </c>
      <c r="G404" t="s">
        <v>23</v>
      </c>
      <c r="H404" t="s">
        <v>7</v>
      </c>
      <c r="I404">
        <v>5</v>
      </c>
      <c r="J404" t="s">
        <v>412</v>
      </c>
      <c r="L404">
        <v>70</v>
      </c>
      <c r="M404">
        <v>0</v>
      </c>
      <c r="O404" t="s">
        <v>8</v>
      </c>
    </row>
    <row r="405" spans="4:15" x14ac:dyDescent="0.25">
      <c r="D405">
        <v>403</v>
      </c>
      <c r="E405" t="s">
        <v>18</v>
      </c>
      <c r="F405" t="s">
        <v>389</v>
      </c>
      <c r="G405" t="s">
        <v>6</v>
      </c>
      <c r="H405" t="s">
        <v>7</v>
      </c>
      <c r="I405">
        <f>2025-2011</f>
        <v>14</v>
      </c>
      <c r="J405" t="s">
        <v>410</v>
      </c>
      <c r="L405">
        <v>370</v>
      </c>
      <c r="M405">
        <v>0</v>
      </c>
      <c r="O405" t="s">
        <v>8</v>
      </c>
    </row>
    <row r="406" spans="4:15" x14ac:dyDescent="0.25">
      <c r="D406">
        <v>404</v>
      </c>
      <c r="E406" t="s">
        <v>18</v>
      </c>
      <c r="F406" t="s">
        <v>390</v>
      </c>
      <c r="G406" t="s">
        <v>117</v>
      </c>
      <c r="H406" t="s">
        <v>7</v>
      </c>
      <c r="I406">
        <v>1</v>
      </c>
      <c r="J406" t="s">
        <v>427</v>
      </c>
      <c r="L406">
        <v>370</v>
      </c>
      <c r="M406">
        <v>40</v>
      </c>
      <c r="O406" t="s">
        <v>8</v>
      </c>
    </row>
    <row r="407" spans="4:15" x14ac:dyDescent="0.25">
      <c r="D407">
        <v>405</v>
      </c>
      <c r="E407" t="s">
        <v>18</v>
      </c>
      <c r="F407" t="s">
        <v>240</v>
      </c>
      <c r="G407" t="s">
        <v>6</v>
      </c>
      <c r="H407" t="s">
        <v>7</v>
      </c>
      <c r="I407">
        <v>8</v>
      </c>
      <c r="J407" t="s">
        <v>413</v>
      </c>
      <c r="L407">
        <v>295</v>
      </c>
      <c r="M407">
        <v>0</v>
      </c>
      <c r="O407" t="s">
        <v>8</v>
      </c>
    </row>
    <row r="408" spans="4:15" x14ac:dyDescent="0.25">
      <c r="D408">
        <v>406</v>
      </c>
      <c r="E408" t="s">
        <v>18</v>
      </c>
      <c r="F408" t="s">
        <v>391</v>
      </c>
      <c r="G408" t="s">
        <v>15</v>
      </c>
      <c r="H408" t="s">
        <v>7</v>
      </c>
      <c r="I408">
        <v>4</v>
      </c>
      <c r="O408" t="s">
        <v>8</v>
      </c>
    </row>
    <row r="409" spans="4:15" x14ac:dyDescent="0.25">
      <c r="D409">
        <v>407</v>
      </c>
      <c r="E409" t="s">
        <v>18</v>
      </c>
      <c r="F409" t="s">
        <v>392</v>
      </c>
      <c r="G409" t="s">
        <v>213</v>
      </c>
      <c r="H409" t="s">
        <v>11</v>
      </c>
      <c r="I409">
        <v>1</v>
      </c>
      <c r="J409" t="s">
        <v>413</v>
      </c>
      <c r="L409">
        <v>70</v>
      </c>
      <c r="M409">
        <v>0</v>
      </c>
      <c r="O409" t="s">
        <v>8</v>
      </c>
    </row>
    <row r="410" spans="4:15" x14ac:dyDescent="0.25">
      <c r="D410">
        <v>408</v>
      </c>
      <c r="E410" t="s">
        <v>18</v>
      </c>
      <c r="F410" t="s">
        <v>393</v>
      </c>
      <c r="G410" t="s">
        <v>93</v>
      </c>
      <c r="H410" t="s">
        <v>7</v>
      </c>
      <c r="I410">
        <v>10</v>
      </c>
      <c r="O410" t="s">
        <v>8</v>
      </c>
    </row>
    <row r="411" spans="4:15" x14ac:dyDescent="0.25">
      <c r="D411">
        <v>409</v>
      </c>
      <c r="E411" t="s">
        <v>18</v>
      </c>
      <c r="F411" t="s">
        <v>200</v>
      </c>
      <c r="G411" t="s">
        <v>23</v>
      </c>
      <c r="H411" t="s">
        <v>11</v>
      </c>
      <c r="I411">
        <v>3</v>
      </c>
      <c r="J411" t="s">
        <v>412</v>
      </c>
      <c r="L411">
        <v>295</v>
      </c>
      <c r="M411">
        <v>4</v>
      </c>
      <c r="O411" t="s">
        <v>8</v>
      </c>
    </row>
    <row r="412" spans="4:15" x14ac:dyDescent="0.25">
      <c r="D412">
        <v>410</v>
      </c>
      <c r="E412" t="s">
        <v>18</v>
      </c>
      <c r="F412" t="s">
        <v>429</v>
      </c>
      <c r="G412" t="s">
        <v>6</v>
      </c>
      <c r="H412" t="s">
        <v>7</v>
      </c>
      <c r="I412">
        <v>10</v>
      </c>
      <c r="J412" t="s">
        <v>410</v>
      </c>
      <c r="L412">
        <v>295</v>
      </c>
      <c r="M412">
        <v>0</v>
      </c>
      <c r="O412" t="s">
        <v>8</v>
      </c>
    </row>
    <row r="413" spans="4:15" x14ac:dyDescent="0.25">
      <c r="D413">
        <v>411</v>
      </c>
      <c r="E413" t="s">
        <v>18</v>
      </c>
      <c r="F413" t="s">
        <v>394</v>
      </c>
      <c r="G413" t="s">
        <v>23</v>
      </c>
      <c r="H413" t="s">
        <v>7</v>
      </c>
      <c r="I413">
        <v>3</v>
      </c>
      <c r="J413" t="s">
        <v>412</v>
      </c>
      <c r="L413">
        <v>370</v>
      </c>
      <c r="M413">
        <v>14.95</v>
      </c>
      <c r="O413" t="s">
        <v>8</v>
      </c>
    </row>
    <row r="414" spans="4:15" x14ac:dyDescent="0.25">
      <c r="D414">
        <v>412</v>
      </c>
      <c r="E414" t="s">
        <v>18</v>
      </c>
      <c r="F414" t="s">
        <v>34</v>
      </c>
      <c r="G414" t="s">
        <v>6</v>
      </c>
      <c r="H414" t="s">
        <v>11</v>
      </c>
      <c r="I414">
        <v>15</v>
      </c>
      <c r="J414" t="s">
        <v>410</v>
      </c>
      <c r="L414">
        <v>70</v>
      </c>
      <c r="M414">
        <v>0</v>
      </c>
      <c r="O414" t="s">
        <v>10</v>
      </c>
    </row>
    <row r="415" spans="4:15" x14ac:dyDescent="0.25">
      <c r="D415">
        <v>413</v>
      </c>
      <c r="E415" t="s">
        <v>18</v>
      </c>
      <c r="F415" t="s">
        <v>395</v>
      </c>
      <c r="G415" t="s">
        <v>53</v>
      </c>
      <c r="H415" t="s">
        <v>7</v>
      </c>
      <c r="I415">
        <v>9</v>
      </c>
      <c r="J415" t="s">
        <v>427</v>
      </c>
      <c r="L415">
        <v>520</v>
      </c>
      <c r="M415">
        <v>0</v>
      </c>
      <c r="O415" t="s">
        <v>10</v>
      </c>
    </row>
    <row r="416" spans="4:15" x14ac:dyDescent="0.25">
      <c r="D416">
        <v>414</v>
      </c>
      <c r="E416" t="s">
        <v>18</v>
      </c>
      <c r="F416" t="s">
        <v>396</v>
      </c>
      <c r="G416" t="s">
        <v>6</v>
      </c>
      <c r="H416" t="s">
        <v>7</v>
      </c>
      <c r="I416">
        <v>3</v>
      </c>
      <c r="O416" t="s">
        <v>10</v>
      </c>
    </row>
    <row r="417" spans="4:15" x14ac:dyDescent="0.25">
      <c r="D417">
        <v>415</v>
      </c>
      <c r="E417" t="s">
        <v>18</v>
      </c>
      <c r="F417" t="s">
        <v>397</v>
      </c>
      <c r="G417" t="s">
        <v>6</v>
      </c>
      <c r="H417" t="s">
        <v>7</v>
      </c>
      <c r="I417">
        <v>5</v>
      </c>
      <c r="J417" t="s">
        <v>416</v>
      </c>
      <c r="L417">
        <v>70</v>
      </c>
      <c r="M417">
        <v>0</v>
      </c>
      <c r="O417" t="s">
        <v>10</v>
      </c>
    </row>
    <row r="418" spans="4:15" x14ac:dyDescent="0.25">
      <c r="D418">
        <v>416</v>
      </c>
      <c r="E418" t="s">
        <v>18</v>
      </c>
      <c r="F418" t="s">
        <v>398</v>
      </c>
      <c r="G418" t="s">
        <v>155</v>
      </c>
      <c r="H418" t="s">
        <v>11</v>
      </c>
      <c r="I418">
        <v>1</v>
      </c>
      <c r="O418" t="s">
        <v>8</v>
      </c>
    </row>
    <row r="419" spans="4:15" x14ac:dyDescent="0.25">
      <c r="D419">
        <v>417</v>
      </c>
      <c r="E419" t="s">
        <v>18</v>
      </c>
      <c r="F419" t="s">
        <v>399</v>
      </c>
      <c r="G419" t="s">
        <v>73</v>
      </c>
      <c r="H419" t="s">
        <v>7</v>
      </c>
      <c r="I419">
        <v>2</v>
      </c>
      <c r="J419" t="s">
        <v>416</v>
      </c>
      <c r="L419">
        <v>70</v>
      </c>
      <c r="M419">
        <v>0</v>
      </c>
      <c r="O419" t="s">
        <v>8</v>
      </c>
    </row>
    <row r="420" spans="4:15" x14ac:dyDescent="0.25">
      <c r="D420">
        <v>418</v>
      </c>
      <c r="E420" t="s">
        <v>18</v>
      </c>
      <c r="F420" t="s">
        <v>371</v>
      </c>
      <c r="G420" t="s">
        <v>23</v>
      </c>
      <c r="H420" t="s">
        <v>7</v>
      </c>
      <c r="I420">
        <v>4</v>
      </c>
      <c r="O420" t="s">
        <v>8</v>
      </c>
    </row>
    <row r="421" spans="4:15" x14ac:dyDescent="0.25">
      <c r="D421">
        <v>419</v>
      </c>
      <c r="E421" t="s">
        <v>18</v>
      </c>
      <c r="F421" t="s">
        <v>400</v>
      </c>
      <c r="G421" t="s">
        <v>53</v>
      </c>
      <c r="H421" t="s">
        <v>11</v>
      </c>
      <c r="I421">
        <v>9</v>
      </c>
      <c r="J421" t="s">
        <v>416</v>
      </c>
      <c r="L421">
        <v>70</v>
      </c>
      <c r="M421">
        <v>2</v>
      </c>
      <c r="O421" t="s">
        <v>8</v>
      </c>
    </row>
    <row r="422" spans="4:15" x14ac:dyDescent="0.25">
      <c r="D422">
        <v>420</v>
      </c>
      <c r="E422" t="s">
        <v>18</v>
      </c>
      <c r="F422" t="s">
        <v>401</v>
      </c>
      <c r="G422" t="s">
        <v>53</v>
      </c>
      <c r="H422" t="s">
        <v>7</v>
      </c>
      <c r="I422">
        <v>10</v>
      </c>
      <c r="J422" t="s">
        <v>417</v>
      </c>
      <c r="L422">
        <v>70</v>
      </c>
      <c r="M422">
        <v>0</v>
      </c>
      <c r="O4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2025-04-29T17:27:44Z</dcterms:created>
  <dcterms:modified xsi:type="dcterms:W3CDTF">2025-05-01T18:41:54Z</dcterms:modified>
</cp:coreProperties>
</file>