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0" yWindow="492" windowWidth="19416" windowHeight="11016" firstSheet="1" activeTab="1"/>
  </bookViews>
  <sheets>
    <sheet name="Лист1" sheetId="6" state="hidden" r:id="rId1"/>
    <sheet name="Автоматизированный расчет" sheetId="3" r:id="rId2"/>
    <sheet name="Summary Report" sheetId="5" r:id="rId3"/>
    <sheet name="Соответствие" sheetId="4" r:id="rId4"/>
    <sheet name="Шаблоны соотвествие профилю" sheetId="2" r:id="rId5"/>
  </sheets>
  <calcPr calcId="144525"/>
  <pivotCaches>
    <pivotCache cacheId="54" r:id="rId6"/>
  </pivotCaches>
</workbook>
</file>

<file path=xl/calcChain.xml><?xml version="1.0" encoding="utf-8"?>
<calcChain xmlns="http://schemas.openxmlformats.org/spreadsheetml/2006/main">
  <c r="D8" i="3" l="1"/>
  <c r="E8" i="3"/>
  <c r="F8" i="3" s="1"/>
  <c r="H8" i="3" l="1"/>
  <c r="A13" i="4"/>
  <c r="A12" i="4"/>
  <c r="A11" i="4"/>
  <c r="A10" i="4"/>
  <c r="A9" i="4"/>
  <c r="A8" i="4"/>
  <c r="A7" i="4"/>
  <c r="A6" i="4"/>
  <c r="A5" i="4"/>
  <c r="A4" i="4"/>
  <c r="A3" i="4"/>
  <c r="A2" i="4"/>
  <c r="E35" i="3" s="1"/>
  <c r="G35" i="3" s="1"/>
  <c r="E36" i="3" l="1"/>
  <c r="G36" i="3" s="1"/>
  <c r="E38" i="3"/>
  <c r="G38" i="3" s="1"/>
  <c r="E34" i="3"/>
  <c r="G34" i="3" s="1"/>
  <c r="E42" i="3"/>
  <c r="G42" i="3" s="1"/>
  <c r="E44" i="3"/>
  <c r="G44" i="3" s="1"/>
  <c r="E33" i="3"/>
  <c r="G33" i="3" s="1"/>
  <c r="E41" i="3"/>
  <c r="G41" i="3" s="1"/>
  <c r="E37" i="3"/>
  <c r="G37" i="3" s="1"/>
  <c r="E40" i="3"/>
  <c r="G40" i="3" s="1"/>
  <c r="E43" i="3"/>
  <c r="G43" i="3" s="1"/>
  <c r="E39" i="3"/>
  <c r="G39" i="3" s="1"/>
  <c r="E28" i="3"/>
  <c r="F28" i="3" s="1"/>
  <c r="D28" i="3"/>
  <c r="H28" i="3" l="1"/>
  <c r="D9" i="3"/>
  <c r="C37" i="3"/>
  <c r="F37" i="3" l="1"/>
  <c r="F22" i="3"/>
  <c r="E23" i="3"/>
  <c r="F23" i="3" s="1"/>
  <c r="E24" i="3"/>
  <c r="F24" i="3" s="1"/>
  <c r="D22" i="3"/>
  <c r="D23" i="3"/>
  <c r="D24" i="3"/>
  <c r="H23" i="3" l="1"/>
  <c r="H24" i="3"/>
  <c r="H22" i="3"/>
  <c r="E4" i="3"/>
  <c r="F4" i="3" s="1"/>
  <c r="D4" i="3"/>
  <c r="H4" i="3" l="1"/>
  <c r="W2" i="3"/>
  <c r="V6" i="3" s="1"/>
  <c r="D14" i="3"/>
  <c r="C35" i="3"/>
  <c r="C34" i="3"/>
  <c r="F35" i="3" l="1"/>
  <c r="H35" i="3" s="1"/>
  <c r="F34" i="3"/>
  <c r="D35" i="3"/>
  <c r="E9" i="3"/>
  <c r="F9" i="3" s="1"/>
  <c r="H9" i="3" s="1"/>
  <c r="E2" i="3"/>
  <c r="F2" i="3" s="1"/>
  <c r="D2" i="3"/>
  <c r="S6" i="3"/>
  <c r="U6" i="3" s="1"/>
  <c r="D50" i="3"/>
  <c r="D51" i="3"/>
  <c r="H50" i="3" s="1"/>
  <c r="D52" i="3"/>
  <c r="H51" i="3" s="1"/>
  <c r="D53" i="3"/>
  <c r="D49" i="3"/>
  <c r="B53" i="3"/>
  <c r="B51" i="3"/>
  <c r="B50" i="3"/>
  <c r="B52" i="3"/>
  <c r="B49" i="3"/>
  <c r="D20" i="3"/>
  <c r="D21" i="3"/>
  <c r="D25" i="3"/>
  <c r="C43" i="3"/>
  <c r="C36" i="3"/>
  <c r="C38" i="3"/>
  <c r="C42" i="3"/>
  <c r="C33" i="3"/>
  <c r="C39" i="3"/>
  <c r="C41" i="3"/>
  <c r="C40" i="3"/>
  <c r="C44" i="3"/>
  <c r="H2" i="3" l="1"/>
  <c r="F40" i="3"/>
  <c r="F33" i="3"/>
  <c r="F44" i="3"/>
  <c r="F36" i="3"/>
  <c r="F41" i="3"/>
  <c r="F42" i="3"/>
  <c r="H42" i="3" s="1"/>
  <c r="F38" i="3"/>
  <c r="F43" i="3"/>
  <c r="H43" i="3" s="1"/>
  <c r="F39" i="3"/>
  <c r="E20" i="3"/>
  <c r="F20" i="3" s="1"/>
  <c r="H20" i="3" s="1"/>
  <c r="F48" i="3"/>
  <c r="G48" i="3" s="1"/>
  <c r="E25" i="3"/>
  <c r="F25" i="3" s="1"/>
  <c r="H25" i="3" s="1"/>
  <c r="E21" i="3"/>
  <c r="F21" i="3" s="1"/>
  <c r="H21" i="3" s="1"/>
  <c r="F52" i="3"/>
  <c r="G52" i="3" s="1"/>
  <c r="F50" i="3"/>
  <c r="F51" i="3"/>
  <c r="I53" i="3"/>
  <c r="F49" i="3"/>
  <c r="G49" i="3" s="1"/>
  <c r="I52" i="3"/>
  <c r="B45" i="3"/>
  <c r="D10" i="3"/>
  <c r="D26" i="3"/>
  <c r="E26" i="3"/>
  <c r="F26" i="3" s="1"/>
  <c r="D16" i="3"/>
  <c r="I50" i="3" l="1"/>
  <c r="H48" i="3"/>
  <c r="H26" i="3"/>
  <c r="H49" i="3"/>
  <c r="I51" i="3" s="1"/>
  <c r="H52" i="3"/>
  <c r="I54" i="3" s="1"/>
  <c r="D42" i="3"/>
  <c r="D33" i="3"/>
  <c r="D43" i="3"/>
  <c r="D44" i="3"/>
  <c r="D17" i="3"/>
  <c r="D19" i="3"/>
  <c r="D18" i="3"/>
  <c r="D27" i="3"/>
  <c r="E3" i="3"/>
  <c r="F3" i="3" s="1"/>
  <c r="H41" i="3" l="1"/>
  <c r="E14" i="3"/>
  <c r="F14" i="3" s="1"/>
  <c r="H14" i="3" s="1"/>
  <c r="V3" i="3" l="1"/>
  <c r="E12" i="3"/>
  <c r="E10" i="3"/>
  <c r="F10" i="3" s="1"/>
  <c r="H10" i="3" s="1"/>
  <c r="D3" i="3"/>
  <c r="H3" i="3" s="1"/>
  <c r="V2" i="3"/>
  <c r="S2" i="3"/>
  <c r="U2" i="3" s="1"/>
  <c r="S5" i="3"/>
  <c r="S3" i="3"/>
  <c r="U3" i="3" s="1"/>
  <c r="D12" i="3" s="1"/>
  <c r="E16" i="3" l="1"/>
  <c r="F16" i="3" s="1"/>
  <c r="H16" i="3" s="1"/>
  <c r="S4" i="3"/>
  <c r="U4" i="3" s="1"/>
  <c r="H33" i="3"/>
  <c r="D34" i="3"/>
  <c r="U5" i="3"/>
  <c r="D6" i="3"/>
  <c r="H36" i="3"/>
  <c r="D5" i="3"/>
  <c r="D15" i="3"/>
  <c r="D11" i="3"/>
  <c r="D13" i="3"/>
  <c r="D7" i="3"/>
  <c r="E15" i="3"/>
  <c r="F15" i="3" s="1"/>
  <c r="E19" i="3"/>
  <c r="F19" i="3" s="1"/>
  <c r="H19" i="3" s="1"/>
  <c r="E13" i="3"/>
  <c r="F13" i="3" s="1"/>
  <c r="E7" i="3"/>
  <c r="F7" i="3" s="1"/>
  <c r="E27" i="3"/>
  <c r="E18" i="3"/>
  <c r="E6" i="3"/>
  <c r="F6" i="3" s="1"/>
  <c r="E17" i="3"/>
  <c r="F17" i="3" s="1"/>
  <c r="H17" i="3" s="1"/>
  <c r="E11" i="3"/>
  <c r="F11" i="3" s="1"/>
  <c r="E5" i="3"/>
  <c r="F5" i="3" s="1"/>
  <c r="D37" i="3"/>
  <c r="V4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5" i="3" l="1"/>
  <c r="H13" i="3"/>
  <c r="H11" i="3"/>
  <c r="H6" i="3"/>
  <c r="H7" i="3"/>
  <c r="H15" i="3"/>
  <c r="F27" i="3"/>
  <c r="H27" i="3" s="1"/>
  <c r="F12" i="3"/>
  <c r="H12" i="3" s="1"/>
  <c r="F18" i="3"/>
  <c r="H18" i="3" s="1"/>
  <c r="C45" i="3"/>
  <c r="H44" i="3" s="1"/>
  <c r="D40" i="3"/>
  <c r="H39" i="3"/>
  <c r="H40" i="3"/>
  <c r="D41" i="3"/>
  <c r="H34" i="3"/>
  <c r="D36" i="3"/>
  <c r="H37" i="3"/>
  <c r="D38" i="3"/>
  <c r="D39" i="3"/>
  <c r="H38" i="3"/>
  <c r="I40" i="2"/>
  <c r="I44" i="2"/>
  <c r="I41" i="2"/>
  <c r="I32" i="2"/>
  <c r="I31" i="2"/>
  <c r="I30" i="2"/>
  <c r="I29" i="2"/>
  <c r="I28" i="2"/>
  <c r="I27" i="2"/>
  <c r="I26" i="2"/>
  <c r="D45" i="3" l="1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<sst xmlns="http://schemas.openxmlformats.org/spreadsheetml/2006/main" count="273" uniqueCount="111">
  <si>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</si>
  <si>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</si>
  <si>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</si>
  <si>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</si>
  <si>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</si>
  <si>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</si>
  <si>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</si>
  <si>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</si>
  <si>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</si>
  <si>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</si>
  <si>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</si>
  <si>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</si>
  <si>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</si>
  <si>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</si>
  <si>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</si>
  <si>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</si>
  <si>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</si>
  <si>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</si>
  <si>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</si>
  <si>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</si>
  <si>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</si>
  <si>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</si>
  <si>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</si>
  <si>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</si>
  <si>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</si>
  <si>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</si>
  <si>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</si>
  <si>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</si>
  <si>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</si>
  <si>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</si>
  <si>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</si>
  <si>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</si>
  <si>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</si>
  <si>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</si>
  <si>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</si>
  <si>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</si>
  <si>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</si>
  <si>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</si>
  <si>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</si>
  <si>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</si>
  <si>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</si>
  <si>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</si>
  <si>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</si>
  <si>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</si>
  <si>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</si>
  <si>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</si>
  <si>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</si>
  <si>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</si>
  <si>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</si>
  <si>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</si>
  <si>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</si>
  <si>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</si>
  <si>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</si>
  <si>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</si>
  <si>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</si>
  <si>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</si>
  <si>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</si>
  <si>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</si>
  <si>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</si>
  <si>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</si>
  <si>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</si>
  <si>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</si>
  <si>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</si>
  <si>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</si>
  <si>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</si>
  <si>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</si>
  <si>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</si>
  <si>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</si>
  <si>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Покупка билет</t>
  </si>
  <si>
    <t>Логин и логоут</t>
  </si>
  <si>
    <t>Удаление юрони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</si>
  <si>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</si>
  <si>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</si>
  <si>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</si>
  <si>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</si>
  <si>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</si>
  <si>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</si>
  <si>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</si>
  <si>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</si>
  <si>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</si>
  <si>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</si>
  <si>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</si>
  <si>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Поиск билета без покупки</t>
  </si>
  <si>
    <t>Имя в статистике</t>
  </si>
  <si>
    <t>Имя в скрипте</t>
  </si>
  <si>
    <t>cancel_ticket</t>
  </si>
  <si>
    <t>SLA Status</t>
  </si>
  <si>
    <t>Minimum</t>
  </si>
  <si>
    <t>Average</t>
  </si>
  <si>
    <t>Maximum</t>
  </si>
  <si>
    <t>Std. Deviation</t>
  </si>
  <si>
    <t>90 Percent</t>
  </si>
  <si>
    <t>01_BuyTicket</t>
  </si>
  <si>
    <t>No Data</t>
  </si>
  <si>
    <t>02_RegistrationWebTours</t>
  </si>
  <si>
    <t>03_Cancel_Ticket</t>
  </si>
  <si>
    <t>04_Check_ticket_without_pay</t>
  </si>
  <si>
    <t>05_ViewingOrders</t>
  </si>
  <si>
    <t>Action_Transaction</t>
  </si>
  <si>
    <t>ScriptName</t>
  </si>
  <si>
    <t>check_destination</t>
  </si>
  <si>
    <t>choose_price</t>
  </si>
  <si>
    <t>click_flights</t>
  </si>
  <si>
    <t>customer_profile</t>
  </si>
  <si>
    <t>details</t>
  </si>
  <si>
    <t>itinerary</t>
  </si>
  <si>
    <t>log_in</t>
  </si>
  <si>
    <t>log_out</t>
  </si>
  <si>
    <t>open_webTours</t>
  </si>
  <si>
    <t>sing_up</t>
  </si>
  <si>
    <t>sucsess_continue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</si>
</sst>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name val="Calibri"/>
      <family val="2"/>
      <scheme val="minor"/>
    </font>
    <font>
      <b/>
      <sz val="18"/>
      <color theme="3"/>
      <name val="Calibri Light"/>
      <family val="2"/>
      <charset val="204"/>
      <scheme val="major"/>
    </font>
    <font>
      <sz val="11"/>
      <color rgb="FF9C6500"/>
      <name val="Calibri"/>
      <family val="2"/>
      <charset val="20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1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9" fillId="6" borderId="7" applyNumberFormat="0" applyAlignment="0" applyProtection="0"/>
    <xf numFmtId="0" fontId="20" fillId="7" borderId="8" applyNumberFormat="0" applyAlignment="0" applyProtection="0"/>
    <xf numFmtId="0" fontId="21" fillId="7" borderId="7" applyNumberFormat="0" applyAlignment="0" applyProtection="0"/>
    <xf numFmtId="0" fontId="22" fillId="0" borderId="9" applyNumberFormat="0" applyFill="0" applyAlignment="0" applyProtection="0"/>
    <xf numFmtId="0" fontId="23" fillId="8" borderId="10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26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6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6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6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6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6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11" applyNumberFormat="0" applyFont="0" applyAlignment="0" applyProtection="0"/>
    <xf numFmtId="9" fontId="27" fillId="0" borderId="0" applyFont="0" applyFill="0" applyBorder="0" applyAlignment="0" applyProtection="0"/>
    <xf numFmtId="0" fontId="2" fillId="0" borderId="0"/>
    <xf numFmtId="0" fontId="32" fillId="0" borderId="0" applyNumberFormat="0" applyFill="0" applyBorder="0" applyAlignment="0" applyProtection="0"/>
    <xf numFmtId="0" fontId="33" fillId="4" borderId="0" applyNumberFormat="0" applyBorder="0" applyAlignment="0" applyProtection="0"/>
    <xf numFmtId="0" fontId="2" fillId="9" borderId="11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6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6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6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6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6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6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1">
    <xf numFmtId="0" fontId="0" fillId="0" borderId="0" xfId="0"/>
    <xf numFmtId="0" fontId="12" fillId="5" borderId="2" xfId="0" applyFont="1" applyFill="1" applyBorder="1" applyAlignment="1">
      <alignment horizontal="center" vertical="top" wrapText="1"/>
    </xf>
    <xf numFmtId="0" fontId="13" fillId="0" borderId="3" xfId="0" applyFont="1" applyBorder="1" applyAlignment="1">
      <alignment horizontal="left" vertical="top" wrapText="1"/>
    </xf>
    <xf numFmtId="0" fontId="11" fillId="0" borderId="3" xfId="4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center" vertical="top"/>
    </xf>
    <xf numFmtId="10" fontId="14" fillId="0" borderId="3" xfId="0" applyNumberFormat="1" applyFont="1" applyBorder="1" applyAlignment="1">
      <alignment horizontal="center" vertical="top"/>
    </xf>
    <xf numFmtId="10" fontId="14" fillId="0" borderId="3" xfId="0" applyNumberFormat="1" applyFont="1" applyBorder="1" applyAlignment="1">
      <alignment horizontal="left" vertical="top"/>
    </xf>
    <xf numFmtId="0" fontId="12" fillId="5" borderId="3" xfId="0" applyFont="1" applyFill="1" applyBorder="1" applyAlignment="1">
      <alignment horizontal="left" vertical="top"/>
    </xf>
    <xf numFmtId="0" fontId="3" fillId="0" borderId="3" xfId="42" applyBorder="1"/>
    <xf numFmtId="0" fontId="12" fillId="0" borderId="3" xfId="0" applyFont="1" applyBorder="1" applyAlignment="1">
      <alignment horizontal="left" vertical="top"/>
    </xf>
    <xf numFmtId="10" fontId="12" fillId="0" borderId="3" xfId="0" applyNumberFormat="1" applyFont="1" applyBorder="1" applyAlignment="1">
      <alignment horizontal="left" vertical="top"/>
    </xf>
    <xf numFmtId="0" fontId="11" fillId="0" borderId="3" xfId="4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3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3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28" fillId="0" borderId="0" xfId="0" applyFont="1"/>
    <xf numFmtId="1" fontId="28" fillId="0" borderId="0" xfId="0" applyNumberFormat="1" applyFont="1"/>
    <xf numFmtId="0" fontId="0" fillId="36" borderId="3" xfId="0" applyFill="1" applyBorder="1"/>
    <xf numFmtId="0" fontId="0" fillId="37" borderId="3" xfId="0" applyFill="1" applyBorder="1"/>
    <xf numFmtId="9" fontId="0" fillId="38" borderId="3" xfId="44" applyFont="1" applyFill="1" applyBorder="1"/>
    <xf numFmtId="1" fontId="5" fillId="0" borderId="15" xfId="0" applyNumberFormat="1" applyFont="1" applyBorder="1" applyAlignment="1">
      <alignment horizontal="center" vertical="center" wrapText="1"/>
    </xf>
    <xf numFmtId="1" fontId="0" fillId="0" borderId="16" xfId="0" applyNumberFormat="1" applyBorder="1"/>
    <xf numFmtId="0" fontId="7" fillId="0" borderId="3" xfId="0" applyFont="1" applyBorder="1" applyAlignment="1">
      <alignment vertical="center" wrapText="1"/>
    </xf>
    <xf numFmtId="0" fontId="0" fillId="40" borderId="3" xfId="0" applyFill="1" applyBorder="1"/>
    <xf numFmtId="0" fontId="0" fillId="0" borderId="3" xfId="0" applyFill="1" applyBorder="1"/>
    <xf numFmtId="9" fontId="0" fillId="0" borderId="0" xfId="44" applyFont="1"/>
    <xf numFmtId="165" fontId="0" fillId="0" borderId="0" xfId="0" applyNumberFormat="1"/>
    <xf numFmtId="0" fontId="0" fillId="0" borderId="0" xfId="0" applyAlignment="1">
      <alignment horizontal="center"/>
    </xf>
    <xf numFmtId="165" fontId="0" fillId="41" borderId="3" xfId="0" applyNumberFormat="1" applyFill="1" applyBorder="1"/>
    <xf numFmtId="165" fontId="0" fillId="41" borderId="3" xfId="0" quotePrefix="1" applyNumberFormat="1" applyFill="1" applyBorder="1"/>
    <xf numFmtId="0" fontId="0" fillId="0" borderId="0" xfId="0" applyFont="1"/>
    <xf numFmtId="9" fontId="0" fillId="0" borderId="0" xfId="0" applyNumberFormat="1" applyFont="1"/>
    <xf numFmtId="1" fontId="0" fillId="35" borderId="3" xfId="0" applyNumberFormat="1" applyFill="1" applyBorder="1"/>
    <xf numFmtId="0" fontId="7" fillId="0" borderId="15" xfId="0" applyFont="1" applyBorder="1" applyAlignment="1">
      <alignment vertical="center" wrapText="1"/>
    </xf>
    <xf numFmtId="0" fontId="7" fillId="39" borderId="20" xfId="0" applyFont="1" applyFill="1" applyBorder="1" applyAlignment="1">
      <alignment vertical="center" wrapText="1"/>
    </xf>
    <xf numFmtId="0" fontId="7" fillId="39" borderId="21" xfId="0" applyFont="1" applyFill="1" applyBorder="1" applyAlignment="1">
      <alignment vertical="center" wrapText="1"/>
    </xf>
    <xf numFmtId="0" fontId="5" fillId="39" borderId="21" xfId="0" applyFont="1" applyFill="1" applyBorder="1" applyAlignment="1">
      <alignment horizontal="center" vertical="center" wrapText="1"/>
    </xf>
    <xf numFmtId="0" fontId="5" fillId="39" borderId="20" xfId="0" applyFont="1" applyFill="1" applyBorder="1" applyAlignment="1">
      <alignment horizontal="left" vertical="center" wrapText="1"/>
    </xf>
    <xf numFmtId="0" fontId="5" fillId="35" borderId="20" xfId="0" applyFont="1" applyFill="1" applyBorder="1" applyAlignment="1">
      <alignment horizontal="left" vertical="center" wrapText="1"/>
    </xf>
    <xf numFmtId="0" fontId="6" fillId="39" borderId="22" xfId="0" applyFont="1" applyFill="1" applyBorder="1" applyAlignment="1">
      <alignment horizontal="left" vertical="center" wrapText="1"/>
    </xf>
    <xf numFmtId="0" fontId="5" fillId="39" borderId="23" xfId="0" applyFont="1" applyFill="1" applyBorder="1" applyAlignment="1">
      <alignment horizontal="center" vertical="center" wrapText="1"/>
    </xf>
    <xf numFmtId="0" fontId="0" fillId="40" borderId="17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31" fillId="42" borderId="0" xfId="0" applyFont="1" applyFill="1"/>
    <xf numFmtId="0" fontId="11" fillId="0" borderId="0" xfId="0" applyFont="1"/>
    <xf numFmtId="9" fontId="0" fillId="0" borderId="27" xfId="44" applyFont="1" applyBorder="1"/>
    <xf numFmtId="0" fontId="7" fillId="0" borderId="3" xfId="0" applyFont="1" applyBorder="1" applyAlignment="1">
      <alignment wrapText="1"/>
    </xf>
    <xf numFmtId="9" fontId="0" fillId="0" borderId="28" xfId="44" applyFont="1" applyBorder="1"/>
    <xf numFmtId="0" fontId="7" fillId="0" borderId="27" xfId="0" applyFont="1" applyBorder="1" applyAlignment="1">
      <alignment vertical="center" wrapText="1"/>
    </xf>
    <xf numFmtId="0" fontId="0" fillId="36" borderId="15" xfId="0" applyFill="1" applyBorder="1"/>
    <xf numFmtId="0" fontId="0" fillId="0" borderId="3" xfId="0" applyBorder="1"/>
    <xf numFmtId="0" fontId="2" fillId="0" borderId="0" xfId="45"/>
    <xf numFmtId="0" fontId="2" fillId="0" borderId="0" xfId="45"/>
    <xf numFmtId="0" fontId="2" fillId="0" borderId="0" xfId="45"/>
    <xf numFmtId="0" fontId="2" fillId="0" borderId="0" xfId="45"/>
    <xf numFmtId="0" fontId="2" fillId="0" borderId="0" xfId="45"/>
    <xf numFmtId="0" fontId="2" fillId="0" borderId="0" xfId="45"/>
    <xf numFmtId="0" fontId="2" fillId="0" borderId="0" xfId="45"/>
    <xf numFmtId="0" fontId="2" fillId="0" borderId="0" xfId="45"/>
    <xf numFmtId="0" fontId="2" fillId="0" borderId="0" xfId="45"/>
    <xf numFmtId="0" fontId="2" fillId="0" borderId="0" xfId="45"/>
    <xf numFmtId="0" fontId="2" fillId="0" borderId="0" xfId="45"/>
    <xf numFmtId="0" fontId="2" fillId="0" borderId="0" xfId="45"/>
    <xf numFmtId="0" fontId="2" fillId="0" borderId="0" xfId="45"/>
    <xf numFmtId="0" fontId="2" fillId="0" borderId="0" xfId="45"/>
    <xf numFmtId="0" fontId="0" fillId="41" borderId="18" xfId="0" applyFill="1" applyBorder="1" applyAlignment="1">
      <alignment horizontal="center"/>
    </xf>
    <xf numFmtId="0" fontId="0" fillId="41" borderId="19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1" fillId="0" borderId="0" xfId="67"/>
  </cellXfs>
  <cellStyles count="81">
    <cellStyle name="20% - Акцент1" xfId="19" builtinId="30" customBuiltin="1"/>
    <cellStyle name="20% - Акцент1 2" xfId="49"/>
    <cellStyle name="20% - Акцент1 3" xfId="69"/>
    <cellStyle name="20% - Акцент2" xfId="23" builtinId="34" customBuiltin="1"/>
    <cellStyle name="20% - Акцент2 2" xfId="52"/>
    <cellStyle name="20% - Акцент2 3" xfId="71"/>
    <cellStyle name="20% - Акцент3" xfId="27" builtinId="38" customBuiltin="1"/>
    <cellStyle name="20% - Акцент3 2" xfId="55"/>
    <cellStyle name="20% - Акцент3 3" xfId="73"/>
    <cellStyle name="20% - Акцент4" xfId="31" builtinId="42" customBuiltin="1"/>
    <cellStyle name="20% - Акцент4 2" xfId="58"/>
    <cellStyle name="20% - Акцент4 3" xfId="75"/>
    <cellStyle name="20% - Акцент5" xfId="35" builtinId="46" customBuiltin="1"/>
    <cellStyle name="20% - Акцент5 2" xfId="61"/>
    <cellStyle name="20% - Акцент5 3" xfId="77"/>
    <cellStyle name="20% - Акцент6" xfId="39" builtinId="50" customBuiltin="1"/>
    <cellStyle name="20% - Акцент6 2" xfId="64"/>
    <cellStyle name="20% - Акцент6 3" xfId="79"/>
    <cellStyle name="40% - Акцент1" xfId="20" builtinId="31" customBuiltin="1"/>
    <cellStyle name="40% - Акцент1 2" xfId="50"/>
    <cellStyle name="40% - Акцент1 3" xfId="70"/>
    <cellStyle name="40% - Акцент2" xfId="24" builtinId="35" customBuiltin="1"/>
    <cellStyle name="40% - Акцент2 2" xfId="53"/>
    <cellStyle name="40% - Акцент2 3" xfId="72"/>
    <cellStyle name="40% - Акцент3" xfId="28" builtinId="39" customBuiltin="1"/>
    <cellStyle name="40% - Акцент3 2" xfId="56"/>
    <cellStyle name="40% - Акцент3 3" xfId="74"/>
    <cellStyle name="40% - Акцент4" xfId="32" builtinId="43" customBuiltin="1"/>
    <cellStyle name="40% - Акцент4 2" xfId="59"/>
    <cellStyle name="40% - Акцент4 3" xfId="76"/>
    <cellStyle name="40% - Акцент5" xfId="36" builtinId="47" customBuiltin="1"/>
    <cellStyle name="40% - Акцент5 2" xfId="62"/>
    <cellStyle name="40% - Акцент5 3" xfId="78"/>
    <cellStyle name="40% - Акцент6" xfId="40" builtinId="51" customBuiltin="1"/>
    <cellStyle name="40% - Акцент6 2" xfId="65"/>
    <cellStyle name="40% - Акцент6 3" xfId="80"/>
    <cellStyle name="60% - Акцент1" xfId="21" builtinId="32" customBuiltin="1"/>
    <cellStyle name="60% - Акцент1 2" xfId="51"/>
    <cellStyle name="60% - Акцент2" xfId="25" builtinId="36" customBuiltin="1"/>
    <cellStyle name="60% - Акцент2 2" xfId="54"/>
    <cellStyle name="60% - Акцент3" xfId="29" builtinId="40" customBuiltin="1"/>
    <cellStyle name="60% - Акцент3 2" xfId="57"/>
    <cellStyle name="60% - Акцент4" xfId="33" builtinId="44" customBuiltin="1"/>
    <cellStyle name="60% - Акцент4 2" xfId="60"/>
    <cellStyle name="60% - Акцент5" xfId="37" builtinId="48" customBuiltin="1"/>
    <cellStyle name="60% - Акцент5 2" xfId="63"/>
    <cellStyle name="60% - Акцент6" xfId="41" builtinId="52" customBuiltin="1"/>
    <cellStyle name="60% - Акцент6 2" xfId="66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азвание 2" xfId="46"/>
    <cellStyle name="Нейтральный" xfId="3" builtinId="28" customBuiltin="1"/>
    <cellStyle name="Нейтральный 2" xfId="47"/>
    <cellStyle name="Обычный" xfId="0" builtinId="0"/>
    <cellStyle name="Обычный 2" xfId="4"/>
    <cellStyle name="Обычный 3" xfId="42"/>
    <cellStyle name="Обычный 4" xfId="45"/>
    <cellStyle name="Обычный 5" xfId="67"/>
    <cellStyle name="Плохой" xfId="2" builtinId="27" customBuiltin="1"/>
    <cellStyle name="Пояснение" xfId="16" builtinId="53" customBuiltin="1"/>
    <cellStyle name="Примечание 2" xfId="43"/>
    <cellStyle name="Примечание 3" xfId="48"/>
    <cellStyle name="Примечание 4" xfId="68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Добрынин Сергей" refreshedDate="44740.003664004631" createdVersion="6" refreshedVersion="4" minRefreshableVersion="3" recordCount="27">
  <cacheSource type="worksheet">
    <worksheetSource ref="A1:H28" sheet="Автоматизированный расчет"/>
  </cacheSource>
  <cacheFields count="8">
    <cacheField name="Script name" numFmtId="0">
      <sharedItems/>
    </cacheField>
    <cacheField name="transaction rq" numFmtId="0">
      <sharedItems count="14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  <s v="Переход на страницу просмотра квитанций" u="1"/>
        <s v="Переход на страницу поиска билета" u="1"/>
      </sharedItems>
    </cacheField>
    <cacheField name="count" numFmtId="0">
      <sharedItems containsSemiMixedTypes="0" containsString="0" containsNumber="1" minValue="0.25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50" maxValue="83"/>
    </cacheField>
    <cacheField name="одним пользователем в минуту" numFmtId="2">
      <sharedItems containsSemiMixedTypes="0" containsString="0" containsNumber="1" minValue="0.18072289156626506" maxValue="1.2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7.2289156626506026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s v="Покупка билета"/>
    <x v="0"/>
    <n v="1"/>
    <n v="3"/>
    <n v="60"/>
    <n v="1"/>
    <n v="20"/>
    <n v="60"/>
  </r>
  <r>
    <s v="Покупка билета"/>
    <x v="1"/>
    <n v="1"/>
    <n v="3"/>
    <n v="60"/>
    <n v="1"/>
    <n v="20"/>
    <n v="60"/>
  </r>
  <r>
    <s v="Покупка билета"/>
    <x v="2"/>
    <n v="1"/>
    <n v="3"/>
    <n v="60"/>
    <n v="1"/>
    <n v="20"/>
    <n v="60"/>
  </r>
  <r>
    <s v="Покупка билета"/>
    <x v="3"/>
    <n v="1"/>
    <n v="3"/>
    <n v="60"/>
    <n v="1"/>
    <n v="20"/>
    <n v="60"/>
  </r>
  <r>
    <s v="Покупка билета"/>
    <x v="4"/>
    <n v="1"/>
    <n v="3"/>
    <n v="60"/>
    <n v="1"/>
    <n v="20"/>
    <n v="60"/>
  </r>
  <r>
    <s v="Покупка билета"/>
    <x v="5"/>
    <n v="1"/>
    <n v="3"/>
    <n v="60"/>
    <n v="1"/>
    <n v="20"/>
    <n v="60"/>
  </r>
  <r>
    <s v="Покупка билета"/>
    <x v="6"/>
    <n v="1"/>
    <n v="3"/>
    <n v="60"/>
    <n v="1"/>
    <n v="20"/>
    <n v="60"/>
  </r>
  <r>
    <s v="Покупка билета"/>
    <x v="7"/>
    <n v="1"/>
    <n v="3"/>
    <n v="60"/>
    <n v="1"/>
    <n v="20"/>
    <n v="60"/>
  </r>
  <r>
    <s v="Удаление бронирования "/>
    <x v="0"/>
    <n v="1"/>
    <n v="1"/>
    <n v="50"/>
    <n v="1.2"/>
    <n v="20"/>
    <n v="24"/>
  </r>
  <r>
    <s v="Удаление бронирования "/>
    <x v="1"/>
    <n v="1"/>
    <n v="1"/>
    <n v="50"/>
    <n v="1.2"/>
    <n v="20"/>
    <n v="24"/>
  </r>
  <r>
    <s v="Удаление бронирования "/>
    <x v="6"/>
    <n v="1"/>
    <n v="1"/>
    <n v="50"/>
    <n v="1.2"/>
    <n v="20"/>
    <n v="24"/>
  </r>
  <r>
    <s v="Удаление бронирования "/>
    <x v="8"/>
    <n v="1"/>
    <n v="1"/>
    <n v="50"/>
    <n v="1.2"/>
    <n v="20"/>
    <n v="24"/>
  </r>
  <r>
    <s v="Удаление бронирования "/>
    <x v="6"/>
    <n v="0.5"/>
    <n v="1"/>
    <n v="50"/>
    <n v="0.6"/>
    <n v="20"/>
    <n v="12"/>
  </r>
  <r>
    <s v="Удаление бронирования "/>
    <x v="7"/>
    <n v="0.5"/>
    <n v="1"/>
    <n v="50"/>
    <n v="0.6"/>
    <n v="20"/>
    <n v="12"/>
  </r>
  <r>
    <s v="Регистрация новых пользователей"/>
    <x v="0"/>
    <n v="1"/>
    <n v="2"/>
    <n v="75"/>
    <n v="0.8"/>
    <n v="20"/>
    <n v="32"/>
  </r>
  <r>
    <s v="Регистрация новых пользователей"/>
    <x v="9"/>
    <n v="1"/>
    <n v="2"/>
    <n v="75"/>
    <n v="0.8"/>
    <n v="20"/>
    <n v="32"/>
  </r>
  <r>
    <s v="Регистрация новых пользователей"/>
    <x v="10"/>
    <n v="1"/>
    <n v="2"/>
    <n v="75"/>
    <n v="0.8"/>
    <n v="20"/>
    <n v="32"/>
  </r>
  <r>
    <s v="Регистрация новых пользователей"/>
    <x v="11"/>
    <n v="1"/>
    <n v="2"/>
    <n v="75"/>
    <n v="0.8"/>
    <n v="20"/>
    <n v="32"/>
  </r>
  <r>
    <s v="Поиск билета без покупки"/>
    <x v="0"/>
    <n v="1"/>
    <n v="2"/>
    <n v="69"/>
    <n v="0.86956521739130432"/>
    <n v="20"/>
    <n v="34.782608695652172"/>
  </r>
  <r>
    <s v="Поиск билета без покупки"/>
    <x v="1"/>
    <n v="1"/>
    <n v="2"/>
    <n v="69"/>
    <n v="0.86956521739130432"/>
    <n v="20"/>
    <n v="34.782608695652172"/>
  </r>
  <r>
    <s v="Поиск билета без покупки"/>
    <x v="2"/>
    <n v="1"/>
    <n v="2"/>
    <n v="69"/>
    <n v="0.86956521739130432"/>
    <n v="20"/>
    <n v="34.782608695652172"/>
  </r>
  <r>
    <s v="Поиск билета без покупки"/>
    <x v="3"/>
    <n v="1"/>
    <n v="2"/>
    <n v="69"/>
    <n v="0.86956521739130432"/>
    <n v="20"/>
    <n v="34.782608695652172"/>
  </r>
  <r>
    <s v="Поиск билета без покупки"/>
    <x v="4"/>
    <n v="1"/>
    <n v="2"/>
    <n v="69"/>
    <n v="0.86956521739130432"/>
    <n v="20"/>
    <n v="34.782608695652172"/>
  </r>
  <r>
    <s v="Поиск билета без покупки"/>
    <x v="7"/>
    <n v="1"/>
    <n v="2"/>
    <n v="69"/>
    <n v="0.86956521739130432"/>
    <n v="20"/>
    <n v="34.782608695652172"/>
  </r>
  <r>
    <s v="Ознакомление с путевым листом"/>
    <x v="0"/>
    <n v="1"/>
    <n v="2"/>
    <n v="83"/>
    <n v="0.72289156626506024"/>
    <n v="20"/>
    <n v="28.91566265060241"/>
  </r>
  <r>
    <s v="Ознакомление с путевым листом"/>
    <x v="1"/>
    <n v="1"/>
    <n v="2"/>
    <n v="83"/>
    <n v="0.72289156626506024"/>
    <n v="20"/>
    <n v="28.91566265060241"/>
  </r>
  <r>
    <s v="Ознакомление с путевым листом"/>
    <x v="2"/>
    <n v="0.25"/>
    <n v="2"/>
    <n v="83"/>
    <n v="0.18072289156626506"/>
    <n v="20"/>
    <n v="7.22891566265060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54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5">
        <item x="1"/>
        <item x="4"/>
        <item x="7"/>
        <item x="3"/>
        <item x="5"/>
        <item x="8"/>
        <item x="6"/>
        <item x="0"/>
        <item x="9"/>
        <item x="10"/>
        <item x="11"/>
        <item m="1" x="13"/>
        <item m="1" x="12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Таблица1" displayName="Таблица1" ref="A1:H3" totalsRowShown="0">
  <autoFilter ref="A1:H3"/>
  <tableColumns count="8">
    <tableColumn id="1" name="Script name"/>
    <tableColumn id="2" name="transaction rq"/>
    <tableColumn id="3" name="count"/>
    <tableColumn id="4" name="VU"/>
    <tableColumn id="5" name="pacing"/>
    <tableColumn id="6" name="одним пользователем в минуту"/>
    <tableColumn id="7" name="Длительность ступени"/>
    <tableColumn id="8" name="Итого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sqref="A1:H3"/>
    </sheetView>
  </sheetViews>
  <sheetFormatPr defaultRowHeight="14.4" x14ac:dyDescent="0.3"/>
  <cols>
    <col min="1" max="1" width="12.88671875" customWidth="1"/>
    <col min="2" max="2" width="14.5546875" customWidth="1"/>
    <col min="6" max="6" width="31" customWidth="1"/>
    <col min="7" max="7" width="22.44140625" customWidth="1"/>
  </cols>
  <sheetData>
    <row r="1" spans="1:8" x14ac:dyDescent="0.3">
      <c r="A1" t="s">
        <v>37</v>
      </c>
      <c r="B1" t="s">
        <v>38</v>
      </c>
      <c r="C1" t="s">
        <v>39</v>
      </c>
      <c r="D1" t="s">
        <v>43</v>
      </c>
      <c r="E1" t="s">
        <v>53</v>
      </c>
      <c r="F1" t="s">
        <v>54</v>
      </c>
      <c r="G1" t="s">
        <v>55</v>
      </c>
      <c r="H1" t="s">
        <v>7</v>
      </c>
    </row>
    <row r="2" spans="1:8" x14ac:dyDescent="0.3">
      <c r="A2" t="s">
        <v>10</v>
      </c>
      <c r="B2" t="s">
        <v>4</v>
      </c>
      <c r="C2">
        <v>1</v>
      </c>
      <c r="D2">
        <v>2</v>
      </c>
      <c r="E2">
        <v>83</v>
      </c>
      <c r="F2">
        <v>0.72289156626506024</v>
      </c>
      <c r="G2">
        <v>20</v>
      </c>
      <c r="H2">
        <v>28.91566265060241</v>
      </c>
    </row>
    <row r="3" spans="1:8" x14ac:dyDescent="0.3">
      <c r="A3" t="s">
        <v>8</v>
      </c>
      <c r="B3" t="s">
        <v>4</v>
      </c>
      <c r="C3">
        <v>1</v>
      </c>
      <c r="D3">
        <v>3</v>
      </c>
      <c r="E3">
        <v>60</v>
      </c>
      <c r="F3">
        <v>1</v>
      </c>
      <c r="G3">
        <v>20</v>
      </c>
      <c r="H3">
        <v>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4"/>
  <sheetViews>
    <sheetView tabSelected="1" topLeftCell="A34" zoomScale="70" zoomScaleNormal="70" workbookViewId="0">
      <selection activeCell="C14" sqref="C14"/>
    </sheetView>
  </sheetViews>
  <sheetFormatPr defaultColWidth="11.44140625" defaultRowHeight="14.4" x14ac:dyDescent="0.3"/>
  <cols>
    <col min="1" max="1" width="22.6640625" customWidth="1"/>
    <col min="2" max="2" width="31.44140625" bestFit="1" customWidth="1"/>
    <col min="3" max="3" width="18.109375" customWidth="1"/>
    <col min="4" max="4" width="17.88671875" customWidth="1"/>
    <col min="5" max="5" width="19.88671875" customWidth="1"/>
    <col min="7" max="7" width="18.6640625" bestFit="1" customWidth="1"/>
    <col min="8" max="8" width="17" customWidth="1"/>
    <col min="9" max="9" width="46.33203125" customWidth="1"/>
    <col min="10" max="10" width="20.88671875" customWidth="1"/>
    <col min="11" max="11" width="18.6640625" customWidth="1"/>
    <col min="12" max="12" width="27.44140625" bestFit="1" customWidth="1"/>
    <col min="13" max="13" width="35.88671875" bestFit="1" customWidth="1"/>
    <col min="19" max="19" width="44" bestFit="1" customWidth="1"/>
  </cols>
  <sheetData>
    <row r="1" spans="1:24" x14ac:dyDescent="0.3">
      <c r="A1" t="s">
        <v>37</v>
      </c>
      <c r="B1" t="s">
        <v>38</v>
      </c>
      <c r="C1" t="s">
        <v>39</v>
      </c>
      <c r="D1" t="s">
        <v>43</v>
      </c>
      <c r="E1" t="s">
        <v>53</v>
      </c>
      <c r="F1" t="s">
        <v>54</v>
      </c>
      <c r="G1" t="s">
        <v>55</v>
      </c>
      <c r="H1" t="s">
        <v>7</v>
      </c>
      <c r="I1" s="16" t="s">
        <v>40</v>
      </c>
      <c r="J1" t="s">
        <v>52</v>
      </c>
      <c r="M1" t="s">
        <v>42</v>
      </c>
      <c r="N1" t="s">
        <v>44</v>
      </c>
      <c r="O1" t="s">
        <v>45</v>
      </c>
      <c r="P1" t="s">
        <v>56</v>
      </c>
      <c r="Q1" t="s">
        <v>46</v>
      </c>
      <c r="R1" t="s">
        <v>43</v>
      </c>
      <c r="S1" t="s">
        <v>47</v>
      </c>
      <c r="T1" s="25" t="s">
        <v>48</v>
      </c>
      <c r="U1" s="25" t="s">
        <v>49</v>
      </c>
      <c r="V1" s="40" t="s">
        <v>50</v>
      </c>
      <c r="X1" t="s">
        <v>51</v>
      </c>
    </row>
    <row r="2" spans="1:24" x14ac:dyDescent="0.3">
      <c r="A2" s="33" t="s">
        <v>8</v>
      </c>
      <c r="B2" s="33" t="s">
        <v>64</v>
      </c>
      <c r="C2">
        <v>1</v>
      </c>
      <c r="D2" s="23">
        <f t="shared" ref="D2:D9" si="0">VLOOKUP(A2,$M$1:$W$7,6,FALSE)</f>
        <v>3</v>
      </c>
      <c r="E2">
        <f t="shared" ref="E2:E21" si="1">VLOOKUP(A2,$M$1:$W$7,5,FALSE)</f>
        <v>60</v>
      </c>
      <c r="F2" s="21">
        <f>60/E2*C2</f>
        <v>1</v>
      </c>
      <c r="G2">
        <v>20</v>
      </c>
      <c r="H2" s="20">
        <f>D2*F2*G2</f>
        <v>60</v>
      </c>
      <c r="I2" s="17" t="s">
        <v>0</v>
      </c>
      <c r="J2" s="15">
        <v>147.69827134625459</v>
      </c>
      <c r="K2" s="15"/>
      <c r="M2" t="s">
        <v>8</v>
      </c>
      <c r="N2" s="28">
        <v>1.4672000000000001</v>
      </c>
      <c r="O2" s="28">
        <v>29.9739</v>
      </c>
      <c r="P2" s="34">
        <v>31.441099999999999</v>
      </c>
      <c r="Q2" s="42">
        <v>60</v>
      </c>
      <c r="R2" s="18">
        <v>3</v>
      </c>
      <c r="S2" s="19">
        <f>60/(Q2)</f>
        <v>1</v>
      </c>
      <c r="T2" s="25">
        <v>20</v>
      </c>
      <c r="U2" s="26">
        <f>ROUND(R2*S2*T2,0)</f>
        <v>60</v>
      </c>
      <c r="V2" s="41">
        <f>R2/W$2</f>
        <v>0.3</v>
      </c>
      <c r="W2">
        <f>SUM(R2:R6)</f>
        <v>10</v>
      </c>
    </row>
    <row r="3" spans="1:24" x14ac:dyDescent="0.3">
      <c r="A3" s="33" t="s">
        <v>8</v>
      </c>
      <c r="B3" s="33" t="s">
        <v>0</v>
      </c>
      <c r="C3">
        <v>1</v>
      </c>
      <c r="D3" s="23">
        <f t="shared" si="0"/>
        <v>3</v>
      </c>
      <c r="E3">
        <f t="shared" si="1"/>
        <v>60</v>
      </c>
      <c r="F3" s="21">
        <f>60/E3*C3</f>
        <v>1</v>
      </c>
      <c r="G3">
        <v>20</v>
      </c>
      <c r="H3" s="20">
        <f>D3*F3*G3</f>
        <v>60</v>
      </c>
      <c r="I3" s="17" t="s">
        <v>12</v>
      </c>
      <c r="J3" s="15">
        <v>94.782608695652172</v>
      </c>
      <c r="K3" s="15"/>
      <c r="M3" t="s">
        <v>9</v>
      </c>
      <c r="N3" s="28">
        <v>2.1549</v>
      </c>
      <c r="O3" s="28">
        <v>24.823799999999999</v>
      </c>
      <c r="P3" s="34">
        <v>26.9787</v>
      </c>
      <c r="Q3" s="42">
        <v>50</v>
      </c>
      <c r="R3" s="18">
        <v>1</v>
      </c>
      <c r="S3" s="19">
        <f t="shared" ref="S3:S4" si="2">60/(Q3)</f>
        <v>1.2</v>
      </c>
      <c r="T3" s="25">
        <v>20</v>
      </c>
      <c r="U3" s="26">
        <f t="shared" ref="U3:U4" si="3">ROUND(R3*S3*T3,0)</f>
        <v>24</v>
      </c>
      <c r="V3" s="41">
        <f>R3/W$2</f>
        <v>0.1</v>
      </c>
    </row>
    <row r="4" spans="1:24" x14ac:dyDescent="0.3">
      <c r="A4" s="33" t="s">
        <v>8</v>
      </c>
      <c r="B4" s="51" t="s">
        <v>79</v>
      </c>
      <c r="C4">
        <v>1</v>
      </c>
      <c r="D4" s="23">
        <f t="shared" si="0"/>
        <v>3</v>
      </c>
      <c r="E4">
        <f t="shared" si="1"/>
        <v>60</v>
      </c>
      <c r="F4" s="21">
        <f>60/E4*C4</f>
        <v>1</v>
      </c>
      <c r="G4">
        <v>20</v>
      </c>
      <c r="H4" s="20">
        <f>D4*F4*G4</f>
        <v>60</v>
      </c>
      <c r="I4" s="17" t="s">
        <v>6</v>
      </c>
      <c r="J4" s="15">
        <v>106.78260869565217</v>
      </c>
      <c r="K4" s="15"/>
      <c r="M4" t="s">
        <v>63</v>
      </c>
      <c r="N4" s="28">
        <v>0.91739999999999999</v>
      </c>
      <c r="O4" s="28">
        <v>15.025</v>
      </c>
      <c r="P4" s="34">
        <v>15.942399999999999</v>
      </c>
      <c r="Q4" s="42">
        <v>75</v>
      </c>
      <c r="R4" s="18">
        <v>2</v>
      </c>
      <c r="S4" s="19">
        <f t="shared" si="2"/>
        <v>0.8</v>
      </c>
      <c r="T4" s="25">
        <v>20</v>
      </c>
      <c r="U4" s="26">
        <f t="shared" si="3"/>
        <v>32</v>
      </c>
      <c r="V4" s="41">
        <f t="shared" ref="V4" si="4">R4/W$2</f>
        <v>0.2</v>
      </c>
    </row>
    <row r="5" spans="1:24" x14ac:dyDescent="0.3">
      <c r="A5" s="33" t="s">
        <v>8</v>
      </c>
      <c r="B5" s="51" t="s">
        <v>11</v>
      </c>
      <c r="C5" s="52">
        <v>1</v>
      </c>
      <c r="D5" s="23">
        <f t="shared" si="0"/>
        <v>3</v>
      </c>
      <c r="E5">
        <f t="shared" si="1"/>
        <v>60</v>
      </c>
      <c r="F5" s="21">
        <f t="shared" ref="F5:F27" si="5">60/E5*C5</f>
        <v>1</v>
      </c>
      <c r="G5">
        <v>20</v>
      </c>
      <c r="H5" s="20">
        <f t="shared" ref="H5:H28" si="6">D5*F5*G5</f>
        <v>60</v>
      </c>
      <c r="I5" s="17" t="s">
        <v>11</v>
      </c>
      <c r="J5" s="15">
        <v>94.782608695652172</v>
      </c>
      <c r="K5" s="15"/>
      <c r="M5" t="s">
        <v>10</v>
      </c>
      <c r="N5" s="28">
        <v>0.85170000000000001</v>
      </c>
      <c r="O5" s="28">
        <v>14.9389</v>
      </c>
      <c r="P5" s="34">
        <v>15.7906</v>
      </c>
      <c r="Q5" s="18">
        <v>83</v>
      </c>
      <c r="R5" s="18">
        <v>2</v>
      </c>
      <c r="S5" s="19">
        <f>60/(Q5)</f>
        <v>0.72289156626506024</v>
      </c>
      <c r="T5" s="25">
        <v>20</v>
      </c>
      <c r="U5" s="26">
        <f>ROUND(R5*S5*T5,0)</f>
        <v>29</v>
      </c>
      <c r="V5" s="41">
        <f>R5/W$2</f>
        <v>0.2</v>
      </c>
    </row>
    <row r="6" spans="1:24" x14ac:dyDescent="0.3">
      <c r="A6" s="33" t="s">
        <v>8</v>
      </c>
      <c r="B6" s="33" t="s">
        <v>12</v>
      </c>
      <c r="C6">
        <v>1</v>
      </c>
      <c r="D6" s="23">
        <f t="shared" si="0"/>
        <v>3</v>
      </c>
      <c r="E6">
        <f t="shared" si="1"/>
        <v>60</v>
      </c>
      <c r="F6" s="21">
        <f t="shared" si="5"/>
        <v>1</v>
      </c>
      <c r="G6">
        <v>20</v>
      </c>
      <c r="H6" s="20">
        <f t="shared" si="6"/>
        <v>60</v>
      </c>
      <c r="I6" s="17" t="s">
        <v>3</v>
      </c>
      <c r="J6" s="15">
        <v>60</v>
      </c>
      <c r="K6" s="15"/>
      <c r="M6" t="s">
        <v>82</v>
      </c>
      <c r="N6" s="28">
        <v>1.4016</v>
      </c>
      <c r="O6" s="28">
        <v>25.1952</v>
      </c>
      <c r="P6" s="54">
        <v>26.596800000000002</v>
      </c>
      <c r="Q6" s="18">
        <v>69</v>
      </c>
      <c r="R6" s="18">
        <v>2</v>
      </c>
      <c r="S6" s="19">
        <f>60/(Q6)</f>
        <v>0.86956521739130432</v>
      </c>
      <c r="T6" s="25">
        <v>20</v>
      </c>
      <c r="U6" s="26">
        <f>ROUND(R6*S6*T6,0)</f>
        <v>35</v>
      </c>
      <c r="V6" s="41">
        <f>R6/W$2</f>
        <v>0.2</v>
      </c>
    </row>
    <row r="7" spans="1:24" x14ac:dyDescent="0.3">
      <c r="A7" s="33" t="s">
        <v>8</v>
      </c>
      <c r="B7" s="33" t="s">
        <v>3</v>
      </c>
      <c r="C7">
        <v>1</v>
      </c>
      <c r="D7" s="23">
        <f t="shared" si="0"/>
        <v>3</v>
      </c>
      <c r="E7">
        <f t="shared" si="1"/>
        <v>60</v>
      </c>
      <c r="F7" s="21">
        <f t="shared" si="5"/>
        <v>1</v>
      </c>
      <c r="G7">
        <v>20</v>
      </c>
      <c r="H7" s="20">
        <f t="shared" si="6"/>
        <v>60</v>
      </c>
      <c r="I7" s="17" t="s">
        <v>13</v>
      </c>
      <c r="J7" s="15">
        <v>24</v>
      </c>
      <c r="K7" s="15"/>
      <c r="N7" s="53"/>
      <c r="O7" s="53"/>
      <c r="P7" s="53"/>
    </row>
    <row r="8" spans="1:24" x14ac:dyDescent="0.3">
      <c r="A8" s="33" t="s">
        <v>8</v>
      </c>
      <c r="B8" s="33" t="s">
        <v>4</v>
      </c>
      <c r="C8">
        <v>1</v>
      </c>
      <c r="D8" s="23">
        <f t="shared" si="0"/>
        <v>3</v>
      </c>
      <c r="E8">
        <f t="shared" si="1"/>
        <v>60</v>
      </c>
      <c r="F8" s="21">
        <f t="shared" si="5"/>
        <v>1</v>
      </c>
      <c r="G8">
        <v>20</v>
      </c>
      <c r="H8" s="20">
        <f t="shared" si="6"/>
        <v>60</v>
      </c>
      <c r="I8" s="17" t="s">
        <v>4</v>
      </c>
      <c r="J8" s="15">
        <v>96</v>
      </c>
      <c r="K8" s="15"/>
    </row>
    <row r="9" spans="1:24" ht="15" thickBot="1" x14ac:dyDescent="0.35">
      <c r="A9" s="33" t="s">
        <v>8</v>
      </c>
      <c r="B9" s="33" t="s">
        <v>6</v>
      </c>
      <c r="C9">
        <v>1</v>
      </c>
      <c r="D9" s="23">
        <f t="shared" si="0"/>
        <v>3</v>
      </c>
      <c r="E9">
        <f t="shared" si="1"/>
        <v>60</v>
      </c>
      <c r="F9" s="21">
        <f t="shared" ref="F9" si="7">60/E9*C9</f>
        <v>1</v>
      </c>
      <c r="G9">
        <v>20</v>
      </c>
      <c r="H9" s="20">
        <f t="shared" ref="H9" si="8">D9*F9*G9</f>
        <v>60</v>
      </c>
      <c r="I9" s="17" t="s">
        <v>64</v>
      </c>
      <c r="J9" s="15">
        <v>179.69827134625459</v>
      </c>
      <c r="K9" s="15"/>
    </row>
    <row r="10" spans="1:24" x14ac:dyDescent="0.3">
      <c r="A10" s="33" t="s">
        <v>9</v>
      </c>
      <c r="B10" s="33" t="s">
        <v>64</v>
      </c>
      <c r="C10">
        <v>1</v>
      </c>
      <c r="D10" s="22">
        <f t="shared" ref="D10:D28" si="9">VLOOKUP(A10,$M$1:$W$7,6,FALSE)</f>
        <v>1</v>
      </c>
      <c r="E10" s="20">
        <f t="shared" si="1"/>
        <v>50</v>
      </c>
      <c r="F10" s="21">
        <f t="shared" si="5"/>
        <v>1.2</v>
      </c>
      <c r="G10">
        <v>20</v>
      </c>
      <c r="H10" s="20">
        <f t="shared" ref="H10" si="10">D10*F10*G10</f>
        <v>24</v>
      </c>
      <c r="I10" s="17" t="s">
        <v>66</v>
      </c>
      <c r="J10" s="15">
        <v>32</v>
      </c>
    </row>
    <row r="11" spans="1:24" x14ac:dyDescent="0.3">
      <c r="A11" s="33" t="s">
        <v>9</v>
      </c>
      <c r="B11" s="33" t="s">
        <v>0</v>
      </c>
      <c r="C11">
        <v>1</v>
      </c>
      <c r="D11" s="23">
        <f t="shared" si="9"/>
        <v>1</v>
      </c>
      <c r="E11" s="20">
        <f t="shared" si="1"/>
        <v>50</v>
      </c>
      <c r="F11" s="21">
        <f t="shared" si="5"/>
        <v>1.2</v>
      </c>
      <c r="G11">
        <v>20</v>
      </c>
      <c r="H11" s="20">
        <f t="shared" si="6"/>
        <v>24</v>
      </c>
      <c r="I11" s="17" t="s">
        <v>65</v>
      </c>
      <c r="J11" s="15">
        <v>32</v>
      </c>
    </row>
    <row r="12" spans="1:24" x14ac:dyDescent="0.3">
      <c r="A12" s="33" t="s">
        <v>9</v>
      </c>
      <c r="B12" s="33" t="s">
        <v>4</v>
      </c>
      <c r="C12">
        <v>1</v>
      </c>
      <c r="D12" s="23">
        <f t="shared" si="9"/>
        <v>1</v>
      </c>
      <c r="E12" s="20">
        <f t="shared" si="1"/>
        <v>50</v>
      </c>
      <c r="F12" s="21">
        <f t="shared" si="5"/>
        <v>1.2</v>
      </c>
      <c r="G12">
        <v>20</v>
      </c>
      <c r="H12" s="20">
        <f t="shared" si="6"/>
        <v>24</v>
      </c>
      <c r="I12" s="17" t="s">
        <v>67</v>
      </c>
      <c r="J12" s="15">
        <v>32</v>
      </c>
    </row>
    <row r="13" spans="1:24" x14ac:dyDescent="0.3">
      <c r="A13" s="33" t="s">
        <v>9</v>
      </c>
      <c r="B13" s="33" t="s">
        <v>13</v>
      </c>
      <c r="C13">
        <v>1</v>
      </c>
      <c r="D13" s="23">
        <f t="shared" si="9"/>
        <v>1</v>
      </c>
      <c r="E13" s="20">
        <f t="shared" si="1"/>
        <v>50</v>
      </c>
      <c r="F13" s="21">
        <f t="shared" si="5"/>
        <v>1.2</v>
      </c>
      <c r="G13">
        <v>20</v>
      </c>
      <c r="H13" s="20">
        <f t="shared" si="6"/>
        <v>24</v>
      </c>
      <c r="I13" s="17" t="s">
        <v>79</v>
      </c>
      <c r="J13" s="15">
        <v>102.01152435830278</v>
      </c>
    </row>
    <row r="14" spans="1:24" x14ac:dyDescent="0.3">
      <c r="A14" s="33" t="s">
        <v>9</v>
      </c>
      <c r="B14" s="33" t="s">
        <v>4</v>
      </c>
      <c r="C14">
        <v>0.5</v>
      </c>
      <c r="D14" s="23">
        <f t="shared" si="9"/>
        <v>1</v>
      </c>
      <c r="E14" s="20">
        <f t="shared" si="1"/>
        <v>50</v>
      </c>
      <c r="F14" s="21">
        <f t="shared" ref="F14" si="11">60/E14*C14</f>
        <v>0.6</v>
      </c>
      <c r="G14">
        <v>20</v>
      </c>
      <c r="H14" s="20">
        <f t="shared" ref="H14" si="12">D14*F14*G14</f>
        <v>12</v>
      </c>
      <c r="I14" s="17" t="s">
        <v>41</v>
      </c>
      <c r="J14" s="15">
        <v>1001.7558931377685</v>
      </c>
    </row>
    <row r="15" spans="1:24" ht="15" thickBot="1" x14ac:dyDescent="0.35">
      <c r="A15" s="33" t="s">
        <v>9</v>
      </c>
      <c r="B15" s="33" t="s">
        <v>6</v>
      </c>
      <c r="C15">
        <v>0.5</v>
      </c>
      <c r="D15" s="24">
        <f t="shared" si="9"/>
        <v>1</v>
      </c>
      <c r="E15" s="20">
        <f t="shared" si="1"/>
        <v>50</v>
      </c>
      <c r="F15" s="21">
        <f t="shared" si="5"/>
        <v>0.6</v>
      </c>
      <c r="G15">
        <v>20</v>
      </c>
      <c r="H15" s="20">
        <f t="shared" si="6"/>
        <v>12</v>
      </c>
    </row>
    <row r="16" spans="1:24" x14ac:dyDescent="0.3">
      <c r="A16" s="33" t="s">
        <v>63</v>
      </c>
      <c r="B16" s="33" t="s">
        <v>64</v>
      </c>
      <c r="C16">
        <v>1</v>
      </c>
      <c r="D16" s="22">
        <f t="shared" si="9"/>
        <v>2</v>
      </c>
      <c r="E16" s="20">
        <f t="shared" si="1"/>
        <v>75</v>
      </c>
      <c r="F16" s="21">
        <f t="shared" si="5"/>
        <v>0.8</v>
      </c>
      <c r="G16">
        <v>20</v>
      </c>
      <c r="H16" s="20">
        <f t="shared" ref="H16" si="13">D16*F16*G16</f>
        <v>32</v>
      </c>
    </row>
    <row r="17" spans="1:8" x14ac:dyDescent="0.3">
      <c r="A17" s="33" t="s">
        <v>63</v>
      </c>
      <c r="B17" s="33" t="s">
        <v>66</v>
      </c>
      <c r="C17">
        <v>1</v>
      </c>
      <c r="D17" s="23">
        <f t="shared" si="9"/>
        <v>2</v>
      </c>
      <c r="E17" s="20">
        <f t="shared" si="1"/>
        <v>75</v>
      </c>
      <c r="F17" s="21">
        <f t="shared" si="5"/>
        <v>0.8</v>
      </c>
      <c r="G17">
        <v>20</v>
      </c>
      <c r="H17" s="20">
        <f t="shared" si="6"/>
        <v>32</v>
      </c>
    </row>
    <row r="18" spans="1:8" x14ac:dyDescent="0.3">
      <c r="A18" s="33" t="s">
        <v>63</v>
      </c>
      <c r="B18" s="33" t="s">
        <v>65</v>
      </c>
      <c r="C18">
        <v>1</v>
      </c>
      <c r="D18" s="23">
        <f t="shared" si="9"/>
        <v>2</v>
      </c>
      <c r="E18" s="20">
        <f t="shared" si="1"/>
        <v>75</v>
      </c>
      <c r="F18" s="21">
        <f t="shared" si="5"/>
        <v>0.8</v>
      </c>
      <c r="G18">
        <v>20</v>
      </c>
      <c r="H18" s="20">
        <f t="shared" si="6"/>
        <v>32</v>
      </c>
    </row>
    <row r="19" spans="1:8" x14ac:dyDescent="0.3">
      <c r="A19" s="33" t="s">
        <v>63</v>
      </c>
      <c r="B19" s="33" t="s">
        <v>67</v>
      </c>
      <c r="C19">
        <v>1</v>
      </c>
      <c r="D19" s="23">
        <f t="shared" si="9"/>
        <v>2</v>
      </c>
      <c r="E19" s="20">
        <f t="shared" si="1"/>
        <v>75</v>
      </c>
      <c r="F19" s="21">
        <f t="shared" si="5"/>
        <v>0.8</v>
      </c>
      <c r="G19">
        <v>20</v>
      </c>
      <c r="H19" s="20">
        <f t="shared" si="6"/>
        <v>32</v>
      </c>
    </row>
    <row r="20" spans="1:8" x14ac:dyDescent="0.3">
      <c r="A20" s="33" t="s">
        <v>82</v>
      </c>
      <c r="B20" s="33" t="s">
        <v>64</v>
      </c>
      <c r="C20">
        <v>1</v>
      </c>
      <c r="D20" s="23">
        <f t="shared" si="9"/>
        <v>2</v>
      </c>
      <c r="E20">
        <f t="shared" si="1"/>
        <v>69</v>
      </c>
      <c r="F20" s="21">
        <f t="shared" ref="F20:F25" si="14">60/E20*C20</f>
        <v>0.86956521739130432</v>
      </c>
      <c r="G20">
        <v>20</v>
      </c>
      <c r="H20" s="20">
        <f t="shared" ref="H20:H25" si="15">D20*F20*G20</f>
        <v>34.782608695652172</v>
      </c>
    </row>
    <row r="21" spans="1:8" x14ac:dyDescent="0.3">
      <c r="A21" s="33" t="s">
        <v>82</v>
      </c>
      <c r="B21" s="33" t="s">
        <v>0</v>
      </c>
      <c r="C21">
        <v>1</v>
      </c>
      <c r="D21" s="23">
        <f t="shared" si="9"/>
        <v>2</v>
      </c>
      <c r="E21">
        <f t="shared" si="1"/>
        <v>69</v>
      </c>
      <c r="F21" s="21">
        <f t="shared" si="14"/>
        <v>0.86956521739130432</v>
      </c>
      <c r="G21">
        <v>20</v>
      </c>
      <c r="H21" s="20">
        <f t="shared" si="15"/>
        <v>34.782608695652172</v>
      </c>
    </row>
    <row r="22" spans="1:8" x14ac:dyDescent="0.3">
      <c r="A22" s="33" t="s">
        <v>82</v>
      </c>
      <c r="B22" s="33" t="s">
        <v>79</v>
      </c>
      <c r="C22">
        <v>1</v>
      </c>
      <c r="D22" s="23">
        <f t="shared" si="9"/>
        <v>2</v>
      </c>
      <c r="E22" s="55">
        <v>69</v>
      </c>
      <c r="F22" s="21">
        <f t="shared" ref="F22:F24" si="16">60/E22*C22</f>
        <v>0.86956521739130432</v>
      </c>
      <c r="G22">
        <v>20</v>
      </c>
      <c r="H22" s="20">
        <f t="shared" ref="H22:H24" si="17">D22*F22*G22</f>
        <v>34.782608695652172</v>
      </c>
    </row>
    <row r="23" spans="1:8" x14ac:dyDescent="0.3">
      <c r="A23" s="33" t="s">
        <v>82</v>
      </c>
      <c r="B23" s="51" t="s">
        <v>11</v>
      </c>
      <c r="C23">
        <v>1</v>
      </c>
      <c r="D23" s="23">
        <f t="shared" si="9"/>
        <v>2</v>
      </c>
      <c r="E23">
        <f t="shared" ref="E23:E24" si="18">VLOOKUP(A23,$M$1:$W$7,5,FALSE)</f>
        <v>69</v>
      </c>
      <c r="F23" s="21">
        <f t="shared" si="16"/>
        <v>0.86956521739130432</v>
      </c>
      <c r="G23">
        <v>20</v>
      </c>
      <c r="H23" s="20">
        <f t="shared" si="17"/>
        <v>34.782608695652172</v>
      </c>
    </row>
    <row r="24" spans="1:8" x14ac:dyDescent="0.3">
      <c r="A24" s="33" t="s">
        <v>82</v>
      </c>
      <c r="B24" s="33" t="s">
        <v>12</v>
      </c>
      <c r="C24">
        <v>1</v>
      </c>
      <c r="D24" s="23">
        <f t="shared" si="9"/>
        <v>2</v>
      </c>
      <c r="E24">
        <f t="shared" si="18"/>
        <v>69</v>
      </c>
      <c r="F24" s="21">
        <f t="shared" si="16"/>
        <v>0.86956521739130432</v>
      </c>
      <c r="G24">
        <v>20</v>
      </c>
      <c r="H24" s="20">
        <f t="shared" si="17"/>
        <v>34.782608695652172</v>
      </c>
    </row>
    <row r="25" spans="1:8" ht="15" thickBot="1" x14ac:dyDescent="0.35">
      <c r="A25" s="33" t="s">
        <v>82</v>
      </c>
      <c r="B25" s="33" t="s">
        <v>6</v>
      </c>
      <c r="C25">
        <v>1</v>
      </c>
      <c r="D25" s="24">
        <f t="shared" si="9"/>
        <v>2</v>
      </c>
      <c r="E25">
        <f>VLOOKUP(A25,$M$1:$W$7,5,FALSE)</f>
        <v>69</v>
      </c>
      <c r="F25" s="21">
        <f t="shared" si="14"/>
        <v>0.86956521739130432</v>
      </c>
      <c r="G25">
        <v>20</v>
      </c>
      <c r="H25" s="20">
        <f t="shared" si="15"/>
        <v>34.782608695652172</v>
      </c>
    </row>
    <row r="26" spans="1:8" x14ac:dyDescent="0.3">
      <c r="A26" s="33" t="s">
        <v>10</v>
      </c>
      <c r="B26" s="33" t="s">
        <v>64</v>
      </c>
      <c r="C26">
        <v>1</v>
      </c>
      <c r="D26" s="22">
        <f t="shared" si="9"/>
        <v>2</v>
      </c>
      <c r="E26">
        <f>VLOOKUP(A26,$M$1:$W$7,5,FALSE)</f>
        <v>83</v>
      </c>
      <c r="F26" s="21">
        <f t="shared" si="5"/>
        <v>0.72289156626506024</v>
      </c>
      <c r="G26">
        <v>20</v>
      </c>
      <c r="H26" s="20">
        <f t="shared" ref="H26" si="19">D26*F26*G26</f>
        <v>28.91566265060241</v>
      </c>
    </row>
    <row r="27" spans="1:8" x14ac:dyDescent="0.3">
      <c r="A27" s="33" t="s">
        <v>10</v>
      </c>
      <c r="B27" s="33" t="s">
        <v>0</v>
      </c>
      <c r="C27">
        <v>1</v>
      </c>
      <c r="D27" s="23">
        <f t="shared" si="9"/>
        <v>2</v>
      </c>
      <c r="E27">
        <f>VLOOKUP(A27,$M$1:$W$7,5,FALSE)</f>
        <v>83</v>
      </c>
      <c r="F27" s="21">
        <f t="shared" si="5"/>
        <v>0.72289156626506024</v>
      </c>
      <c r="G27">
        <v>20</v>
      </c>
      <c r="H27" s="20">
        <f t="shared" si="6"/>
        <v>28.91566265060241</v>
      </c>
    </row>
    <row r="28" spans="1:8" ht="15" thickBot="1" x14ac:dyDescent="0.35">
      <c r="A28" s="33" t="s">
        <v>10</v>
      </c>
      <c r="B28" s="33" t="s">
        <v>79</v>
      </c>
      <c r="C28">
        <v>0.25</v>
      </c>
      <c r="D28" s="24">
        <f t="shared" si="9"/>
        <v>2</v>
      </c>
      <c r="E28">
        <f t="shared" ref="E28" si="20">VLOOKUP(A28,$M$1:$W$7,5,FALSE)</f>
        <v>83</v>
      </c>
      <c r="F28" s="21">
        <f t="shared" ref="F28" si="21">60/E28*C28</f>
        <v>0.18072289156626506</v>
      </c>
      <c r="G28">
        <v>20</v>
      </c>
      <c r="H28" s="20">
        <f t="shared" si="6"/>
        <v>7.2289156626506026</v>
      </c>
    </row>
    <row r="30" spans="1:8" ht="15" thickBot="1" x14ac:dyDescent="0.35"/>
    <row r="31" spans="1:8" x14ac:dyDescent="0.3">
      <c r="A31" s="77" t="s">
        <v>81</v>
      </c>
      <c r="B31" s="78"/>
    </row>
    <row r="32" spans="1:8" ht="108" x14ac:dyDescent="0.35">
      <c r="A32" s="44" t="s">
        <v>80</v>
      </c>
      <c r="B32" s="45" t="s">
        <v>60</v>
      </c>
      <c r="C32" s="43" t="s">
        <v>58</v>
      </c>
      <c r="D32" s="60" t="s">
        <v>59</v>
      </c>
      <c r="E32" s="58" t="s">
        <v>99</v>
      </c>
      <c r="F32" s="43" t="s">
        <v>57</v>
      </c>
      <c r="G32" s="32" t="s">
        <v>61</v>
      </c>
      <c r="H32" s="32" t="s">
        <v>62</v>
      </c>
    </row>
    <row r="33" spans="1:9" ht="36" x14ac:dyDescent="0.3">
      <c r="A33" s="44" t="s">
        <v>64</v>
      </c>
      <c r="B33" s="46">
        <v>520</v>
      </c>
      <c r="C33" s="31">
        <f>GETPIVOTDATA("Итого",$I$1,"transaction rq",A33)*3</f>
        <v>539.09481403876373</v>
      </c>
      <c r="D33" s="59">
        <f t="shared" ref="D33:D35" si="22">1-B33/C33</f>
        <v>3.5420140467889438E-2</v>
      </c>
      <c r="E33" s="62" t="str">
        <f>VLOOKUP(A33,Соответствие!A:B,2,FALSE)</f>
        <v>open_webTours</v>
      </c>
      <c r="F33" s="61">
        <f>C33/3</f>
        <v>179.69827134625459</v>
      </c>
      <c r="G33" s="27">
        <f>VLOOKUP(E33,'Summary Report'!A:J,8,FALSE)</f>
        <v>188</v>
      </c>
      <c r="H33" s="29">
        <f t="shared" ref="H33:H44" si="23">1-F33/G33</f>
        <v>4.4158131136943668E-2</v>
      </c>
    </row>
    <row r="34" spans="1:9" ht="18" x14ac:dyDescent="0.3">
      <c r="A34" s="47" t="s">
        <v>0</v>
      </c>
      <c r="B34" s="46">
        <v>422</v>
      </c>
      <c r="C34" s="31">
        <f>GETPIVOTDATA("Итого",$I$1,"transaction rq",A34)*3</f>
        <v>443.09481403876373</v>
      </c>
      <c r="D34" s="59">
        <f t="shared" si="22"/>
        <v>4.7607900996372909E-2</v>
      </c>
      <c r="E34" s="62" t="str">
        <f>VLOOKUP(A34,Соответствие!A:B,2,FALSE)</f>
        <v>log_in</v>
      </c>
      <c r="F34" s="61">
        <f>C34/3</f>
        <v>147.69827134625459</v>
      </c>
      <c r="G34" s="27">
        <f>VLOOKUP(E34,'Summary Report'!A:J,8,FALSE)</f>
        <v>154</v>
      </c>
      <c r="H34" s="29">
        <f t="shared" si="23"/>
        <v>4.0920315933411833E-2</v>
      </c>
    </row>
    <row r="35" spans="1:9" ht="54" x14ac:dyDescent="0.3">
      <c r="A35" s="48" t="s">
        <v>79</v>
      </c>
      <c r="B35" s="46">
        <v>305</v>
      </c>
      <c r="C35" s="31">
        <f>GETPIVOTDATA("Итого",$I$1,"transaction rq",A35)*3</f>
        <v>306.03457307490834</v>
      </c>
      <c r="D35" s="59">
        <f t="shared" si="22"/>
        <v>3.3805758104823447E-3</v>
      </c>
      <c r="E35" s="62" t="str">
        <f>VLOOKUP(A35,Соответствие!A:B,2,FALSE)</f>
        <v>click_flights</v>
      </c>
      <c r="F35" s="61">
        <f>C35/3</f>
        <v>102.01152435830278</v>
      </c>
      <c r="G35" s="27">
        <f>VLOOKUP(E35,'Summary Report'!A:J,8,FALSE)</f>
        <v>101</v>
      </c>
      <c r="H35" s="29">
        <f t="shared" si="23"/>
        <v>-1.0015092656463054E-2</v>
      </c>
    </row>
    <row r="36" spans="1:9" ht="36" x14ac:dyDescent="0.3">
      <c r="A36" s="47" t="s">
        <v>11</v>
      </c>
      <c r="B36" s="46">
        <v>282</v>
      </c>
      <c r="C36" s="31">
        <f t="shared" ref="C36:C44" si="24">GETPIVOTDATA("Итого",$I$1,"transaction rq",A36)*3</f>
        <v>284.3478260869565</v>
      </c>
      <c r="D36" s="57">
        <f t="shared" ref="D36:D45" si="25">1-B36/C36</f>
        <v>8.2568807339449268E-3</v>
      </c>
      <c r="E36" s="62" t="str">
        <f>VLOOKUP(A36,Соответствие!A:B,2,FALSE)</f>
        <v>check_destination</v>
      </c>
      <c r="F36" s="61">
        <f>C36/3</f>
        <v>94.782608695652172</v>
      </c>
      <c r="G36" s="27">
        <f>VLOOKUP(E36,'Summary Report'!A:J,8,FALSE)</f>
        <v>94</v>
      </c>
      <c r="H36" s="29">
        <f t="shared" si="23"/>
        <v>-8.3256244218317121E-3</v>
      </c>
    </row>
    <row r="37" spans="1:9" ht="36" x14ac:dyDescent="0.3">
      <c r="A37" s="47" t="s">
        <v>12</v>
      </c>
      <c r="B37" s="46">
        <v>270</v>
      </c>
      <c r="C37" s="31">
        <f>GETPIVOTDATA("Итого",$I$1,"transaction rq",A37)*3</f>
        <v>284.3478260869565</v>
      </c>
      <c r="D37" s="57">
        <f t="shared" si="25"/>
        <v>5.0458715596330195E-2</v>
      </c>
      <c r="E37" s="62" t="str">
        <f>VLOOKUP(A37,Соответствие!A:B,2,FALSE)</f>
        <v>choose_price</v>
      </c>
      <c r="F37" s="61">
        <f t="shared" ref="F37:F44" si="26">C37/3</f>
        <v>94.782608695652172</v>
      </c>
      <c r="G37" s="27">
        <f>VLOOKUP(E37,'Summary Report'!A:J,8,FALSE)</f>
        <v>94</v>
      </c>
      <c r="H37" s="29">
        <f t="shared" si="23"/>
        <v>-8.3256244218317121E-3</v>
      </c>
    </row>
    <row r="38" spans="1:9" ht="18" x14ac:dyDescent="0.3">
      <c r="A38" s="47" t="s">
        <v>3</v>
      </c>
      <c r="B38" s="46">
        <v>175</v>
      </c>
      <c r="C38" s="31">
        <f t="shared" si="24"/>
        <v>180</v>
      </c>
      <c r="D38" s="57">
        <f t="shared" si="25"/>
        <v>2.777777777777779E-2</v>
      </c>
      <c r="E38" s="62" t="str">
        <f>VLOOKUP(A38,Соответствие!A:B,2,FALSE)</f>
        <v>details</v>
      </c>
      <c r="F38" s="61">
        <f t="shared" si="26"/>
        <v>60</v>
      </c>
      <c r="G38" s="27">
        <f>VLOOKUP(E38,'Summary Report'!A:J,8,FALSE)</f>
        <v>60</v>
      </c>
      <c r="H38" s="29">
        <f t="shared" si="23"/>
        <v>0</v>
      </c>
    </row>
    <row r="39" spans="1:9" ht="36" x14ac:dyDescent="0.3">
      <c r="A39" s="47" t="s">
        <v>4</v>
      </c>
      <c r="B39" s="46">
        <v>280</v>
      </c>
      <c r="C39" s="31">
        <f t="shared" si="24"/>
        <v>288</v>
      </c>
      <c r="D39" s="57">
        <f t="shared" si="25"/>
        <v>2.777777777777779E-2</v>
      </c>
      <c r="E39" s="62" t="str">
        <f>VLOOKUP(A39,Соответствие!A:B,2,FALSE)</f>
        <v>itinerary</v>
      </c>
      <c r="F39" s="61">
        <f t="shared" si="26"/>
        <v>96</v>
      </c>
      <c r="G39" s="27">
        <f>VLOOKUP(E39,'Summary Report'!A:J,8,FALSE)</f>
        <v>93</v>
      </c>
      <c r="H39" s="29">
        <f t="shared" si="23"/>
        <v>-3.2258064516129004E-2</v>
      </c>
    </row>
    <row r="40" spans="1:9" ht="36" x14ac:dyDescent="0.3">
      <c r="A40" s="47" t="s">
        <v>13</v>
      </c>
      <c r="B40" s="46">
        <v>73</v>
      </c>
      <c r="C40" s="31">
        <f t="shared" si="24"/>
        <v>72</v>
      </c>
      <c r="D40" s="57">
        <f t="shared" si="25"/>
        <v>-1.388888888888884E-2</v>
      </c>
      <c r="E40" s="62" t="str">
        <f>VLOOKUP(A40,Соответствие!A:B,2,FALSE)</f>
        <v>cancel_ticket</v>
      </c>
      <c r="F40" s="61">
        <f t="shared" si="26"/>
        <v>24</v>
      </c>
      <c r="G40" s="27">
        <f>VLOOKUP(E40,'Summary Report'!A:J,8,FALSE)</f>
        <v>24</v>
      </c>
      <c r="H40" s="29">
        <f t="shared" si="23"/>
        <v>0</v>
      </c>
    </row>
    <row r="41" spans="1:9" ht="18" x14ac:dyDescent="0.3">
      <c r="A41" s="48" t="s">
        <v>6</v>
      </c>
      <c r="B41" s="46">
        <v>326</v>
      </c>
      <c r="C41" s="31">
        <f t="shared" si="24"/>
        <v>320.3478260869565</v>
      </c>
      <c r="D41" s="57">
        <f t="shared" si="25"/>
        <v>-1.7643865363735189E-2</v>
      </c>
      <c r="E41" s="62" t="str">
        <f>VLOOKUP(A41,Соответствие!A:B,2,FALSE)</f>
        <v>log_out</v>
      </c>
      <c r="F41" s="61">
        <f t="shared" si="26"/>
        <v>106.78260869565217</v>
      </c>
      <c r="G41" s="27">
        <f>VLOOKUP(E41,'Summary Report'!A:J,8,FALSE)</f>
        <v>105</v>
      </c>
      <c r="H41" s="29">
        <f t="shared" si="23"/>
        <v>-1.6977225672877738E-2</v>
      </c>
    </row>
    <row r="42" spans="1:9" ht="54" x14ac:dyDescent="0.3">
      <c r="A42" s="47" t="s">
        <v>66</v>
      </c>
      <c r="B42" s="46">
        <v>97</v>
      </c>
      <c r="C42" s="31">
        <f t="shared" si="24"/>
        <v>96</v>
      </c>
      <c r="D42" s="57">
        <f t="shared" si="25"/>
        <v>-1.0416666666666741E-2</v>
      </c>
      <c r="E42" s="62" t="str">
        <f>VLOOKUP(A42,Соответствие!A:B,2,FALSE)</f>
        <v>sing_up</v>
      </c>
      <c r="F42" s="61">
        <f t="shared" si="26"/>
        <v>32</v>
      </c>
      <c r="G42" s="27">
        <f>VLOOKUP(E42,'Summary Report'!A:J,8,FALSE)</f>
        <v>32</v>
      </c>
      <c r="H42" s="29">
        <f t="shared" si="23"/>
        <v>0</v>
      </c>
    </row>
    <row r="43" spans="1:9" ht="36" x14ac:dyDescent="0.3">
      <c r="A43" s="47" t="s">
        <v>65</v>
      </c>
      <c r="B43" s="46">
        <v>97</v>
      </c>
      <c r="C43" s="31">
        <f t="shared" si="24"/>
        <v>96</v>
      </c>
      <c r="D43" s="57">
        <f t="shared" si="25"/>
        <v>-1.0416666666666741E-2</v>
      </c>
      <c r="E43" s="62" t="str">
        <f>VLOOKUP(A43,Соответствие!A:B,2,FALSE)</f>
        <v>customer_profile</v>
      </c>
      <c r="F43" s="61">
        <f t="shared" si="26"/>
        <v>32</v>
      </c>
      <c r="G43" s="27">
        <f>VLOOKUP(E43,'Summary Report'!A:J,8,FALSE)</f>
        <v>32</v>
      </c>
      <c r="H43" s="29">
        <f t="shared" si="23"/>
        <v>0</v>
      </c>
    </row>
    <row r="44" spans="1:9" ht="54" x14ac:dyDescent="0.3">
      <c r="A44" s="47" t="s">
        <v>67</v>
      </c>
      <c r="B44" s="46">
        <v>97</v>
      </c>
      <c r="C44" s="31">
        <f t="shared" si="24"/>
        <v>96</v>
      </c>
      <c r="D44" s="57">
        <f t="shared" si="25"/>
        <v>-1.0416666666666741E-2</v>
      </c>
      <c r="E44" s="62" t="str">
        <f>VLOOKUP(A44,Соответствие!A:B,2,FALSE)</f>
        <v>sucsess_continue</v>
      </c>
      <c r="F44" s="61">
        <f t="shared" si="26"/>
        <v>32</v>
      </c>
      <c r="G44" s="27">
        <f>VLOOKUP(E44,'Summary Report'!A:J,8,FALSE)</f>
        <v>32</v>
      </c>
      <c r="H44" s="29">
        <f t="shared" si="23"/>
        <v>0</v>
      </c>
    </row>
    <row r="45" spans="1:9" ht="18.600000000000001" thickBot="1" x14ac:dyDescent="0.35">
      <c r="A45" s="49" t="s">
        <v>7</v>
      </c>
      <c r="B45" s="50">
        <f>SUM(B33:B44)</f>
        <v>2944</v>
      </c>
      <c r="C45" s="30">
        <f>SUM(C33:C44)</f>
        <v>3005.2676794133054</v>
      </c>
      <c r="D45" s="57">
        <f t="shared" si="25"/>
        <v>2.0386762827484972E-2</v>
      </c>
      <c r="E45" s="62"/>
    </row>
    <row r="46" spans="1:9" x14ac:dyDescent="0.3">
      <c r="F46" s="37"/>
      <c r="G46" s="37"/>
      <c r="H46" s="37"/>
    </row>
    <row r="47" spans="1:9" x14ac:dyDescent="0.3">
      <c r="C47" s="37" t="s">
        <v>78</v>
      </c>
      <c r="D47" s="37"/>
      <c r="E47" s="37"/>
      <c r="F47" t="s">
        <v>74</v>
      </c>
      <c r="G47" t="s">
        <v>76</v>
      </c>
    </row>
    <row r="48" spans="1:9" x14ac:dyDescent="0.3">
      <c r="C48" t="s">
        <v>77</v>
      </c>
      <c r="D48" t="s">
        <v>73</v>
      </c>
      <c r="E48" t="s">
        <v>75</v>
      </c>
      <c r="F48" s="36">
        <f>B49/(D49*E49)</f>
        <v>1.5500000000000003</v>
      </c>
      <c r="G48">
        <f>ROUND(F48,0)</f>
        <v>2</v>
      </c>
      <c r="H48">
        <f>G48*D49*E49</f>
        <v>53.333333333333329</v>
      </c>
      <c r="I48" s="37"/>
    </row>
    <row r="49" spans="1:9" x14ac:dyDescent="0.3">
      <c r="A49" t="s">
        <v>68</v>
      </c>
      <c r="B49" s="38">
        <f>124/3</f>
        <v>41.333333333333336</v>
      </c>
      <c r="C49" s="38">
        <v>45</v>
      </c>
      <c r="D49" s="38">
        <f>60/C49</f>
        <v>1.3333333333333333</v>
      </c>
      <c r="E49" s="38">
        <v>20</v>
      </c>
      <c r="F49" s="36">
        <f>B50/(D50*E50)</f>
        <v>0.83333333333333337</v>
      </c>
      <c r="G49">
        <f t="shared" ref="G49:G52" si="27">ROUND(F49,0)</f>
        <v>1</v>
      </c>
      <c r="H49">
        <f>G49*D50*E50</f>
        <v>60</v>
      </c>
    </row>
    <row r="50" spans="1:9" x14ac:dyDescent="0.3">
      <c r="A50" t="s">
        <v>69</v>
      </c>
      <c r="B50" s="38">
        <f>150/3</f>
        <v>50</v>
      </c>
      <c r="C50" s="38">
        <v>20</v>
      </c>
      <c r="D50" s="38">
        <f t="shared" ref="D50:D53" si="28">60/C50</f>
        <v>3</v>
      </c>
      <c r="E50" s="38">
        <v>20</v>
      </c>
      <c r="F50" s="36">
        <f>B51/(D51*E51)</f>
        <v>0.25</v>
      </c>
      <c r="G50">
        <v>1</v>
      </c>
      <c r="H50">
        <f>G50*D51*E51</f>
        <v>40</v>
      </c>
      <c r="I50" s="35">
        <f>1-B49/H48</f>
        <v>0.22499999999999987</v>
      </c>
    </row>
    <row r="51" spans="1:9" x14ac:dyDescent="0.3">
      <c r="A51" t="s">
        <v>70</v>
      </c>
      <c r="B51" s="39">
        <f>30/3</f>
        <v>10</v>
      </c>
      <c r="C51" s="39">
        <v>30</v>
      </c>
      <c r="D51" s="38">
        <f t="shared" si="28"/>
        <v>2</v>
      </c>
      <c r="E51" s="38">
        <v>20</v>
      </c>
      <c r="F51" s="36">
        <f>B52/(D52*E52)</f>
        <v>0.11111111111111112</v>
      </c>
      <c r="G51">
        <v>1</v>
      </c>
      <c r="H51">
        <f>G51*D52*E52</f>
        <v>60</v>
      </c>
      <c r="I51" s="35">
        <f>1-B50/H49</f>
        <v>0.16666666666666663</v>
      </c>
    </row>
    <row r="52" spans="1:9" x14ac:dyDescent="0.3">
      <c r="A52" t="s">
        <v>71</v>
      </c>
      <c r="B52" s="38">
        <f>20/3</f>
        <v>6.666666666666667</v>
      </c>
      <c r="C52" s="38">
        <v>20</v>
      </c>
      <c r="D52" s="38">
        <f t="shared" si="28"/>
        <v>3</v>
      </c>
      <c r="E52" s="38">
        <v>20</v>
      </c>
      <c r="F52" s="36">
        <f>B53/(D53*E53)</f>
        <v>1</v>
      </c>
      <c r="G52">
        <f t="shared" si="27"/>
        <v>1</v>
      </c>
      <c r="H52">
        <f>G52*D53*E53</f>
        <v>40</v>
      </c>
      <c r="I52" s="35">
        <f>1-B51/H50</f>
        <v>0.75</v>
      </c>
    </row>
    <row r="53" spans="1:9" x14ac:dyDescent="0.3">
      <c r="A53" t="s">
        <v>72</v>
      </c>
      <c r="B53" s="38">
        <f>120/3</f>
        <v>40</v>
      </c>
      <c r="C53" s="38">
        <v>30</v>
      </c>
      <c r="D53" s="38">
        <f t="shared" si="28"/>
        <v>2</v>
      </c>
      <c r="E53" s="38">
        <v>20</v>
      </c>
      <c r="I53" s="35">
        <f>1-B52/H51</f>
        <v>0.88888888888888884</v>
      </c>
    </row>
    <row r="54" spans="1:9" x14ac:dyDescent="0.3">
      <c r="I54" s="35">
        <f>1-B53/H52</f>
        <v>0</v>
      </c>
    </row>
  </sheetData>
  <mergeCells count="1">
    <mergeCell ref="A31:B31"/>
  </mergeCell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:J19"/>
    </sheetView>
  </sheetViews>
  <sheetFormatPr defaultRowHeight="14.4" x14ac:dyDescent="0.3"/>
  <sheetData>
    <row r="1" spans="1:10" x14ac:dyDescent="0.3">
      <c r="A1" s="75" t="s">
        <v>27</v>
      </c>
      <c r="B1" s="75" t="s">
        <v>86</v>
      </c>
      <c r="C1" s="75" t="s">
        <v>87</v>
      </c>
      <c r="D1" s="75" t="s">
        <v>88</v>
      </c>
      <c r="E1" s="75" t="s">
        <v>89</v>
      </c>
      <c r="F1" s="75" t="s">
        <v>90</v>
      </c>
      <c r="G1" s="75" t="s">
        <v>91</v>
      </c>
      <c r="H1" s="75" t="s">
        <v>28</v>
      </c>
      <c r="I1" s="75" t="s">
        <v>29</v>
      </c>
      <c r="J1" s="75" t="s">
        <v>30</v>
      </c>
    </row>
    <row r="2" spans="1:10" x14ac:dyDescent="0.3">
      <c r="A2" s="80" t="s">
        <v>92</v>
      </c>
      <c r="B2" s="80" t="s">
        <v>93</v>
      </c>
      <c r="C2" s="80">
        <v>0.93700000000000006</v>
      </c>
      <c r="D2" s="80">
        <v>1.0069999999999999</v>
      </c>
      <c r="E2" s="80">
        <v>1.2529999999999999</v>
      </c>
      <c r="F2" s="80">
        <v>6.4000000000000001E-2</v>
      </c>
      <c r="G2" s="80">
        <v>1.0840000000000001</v>
      </c>
      <c r="H2" s="80">
        <v>60</v>
      </c>
      <c r="I2" s="80">
        <v>0</v>
      </c>
      <c r="J2" s="80">
        <v>0</v>
      </c>
    </row>
    <row r="3" spans="1:10" x14ac:dyDescent="0.3">
      <c r="A3" s="80" t="s">
        <v>94</v>
      </c>
      <c r="B3" s="80" t="s">
        <v>93</v>
      </c>
      <c r="C3" s="80">
        <v>0.41699999999999998</v>
      </c>
      <c r="D3" s="80">
        <v>0.438</v>
      </c>
      <c r="E3" s="80">
        <v>0.53300000000000003</v>
      </c>
      <c r="F3" s="80">
        <v>2.5000000000000001E-2</v>
      </c>
      <c r="G3" s="80">
        <v>0.47099999999999997</v>
      </c>
      <c r="H3" s="80">
        <v>32</v>
      </c>
      <c r="I3" s="80">
        <v>0</v>
      </c>
      <c r="J3" s="80">
        <v>0</v>
      </c>
    </row>
    <row r="4" spans="1:10" x14ac:dyDescent="0.3">
      <c r="A4" s="80" t="s">
        <v>95</v>
      </c>
      <c r="B4" s="80" t="s">
        <v>93</v>
      </c>
      <c r="C4" s="80">
        <v>0.54400000000000004</v>
      </c>
      <c r="D4" s="80">
        <v>0.69899999999999995</v>
      </c>
      <c r="E4" s="80">
        <v>0.92</v>
      </c>
      <c r="F4" s="80">
        <v>9.7000000000000003E-2</v>
      </c>
      <c r="G4" s="80">
        <v>0.81499999999999995</v>
      </c>
      <c r="H4" s="80">
        <v>24</v>
      </c>
      <c r="I4" s="80">
        <v>0</v>
      </c>
      <c r="J4" s="80">
        <v>0</v>
      </c>
    </row>
    <row r="5" spans="1:10" x14ac:dyDescent="0.3">
      <c r="A5" s="80" t="s">
        <v>96</v>
      </c>
      <c r="B5" s="80" t="s">
        <v>93</v>
      </c>
      <c r="C5" s="80">
        <v>0.67700000000000005</v>
      </c>
      <c r="D5" s="80">
        <v>0.70799999999999996</v>
      </c>
      <c r="E5" s="80">
        <v>0.88200000000000001</v>
      </c>
      <c r="F5" s="80">
        <v>3.9E-2</v>
      </c>
      <c r="G5" s="80">
        <v>0.755</v>
      </c>
      <c r="H5" s="80">
        <v>34</v>
      </c>
      <c r="I5" s="80">
        <v>0</v>
      </c>
      <c r="J5" s="80">
        <v>0</v>
      </c>
    </row>
    <row r="6" spans="1:10" x14ac:dyDescent="0.3">
      <c r="A6" s="80" t="s">
        <v>97</v>
      </c>
      <c r="B6" s="80" t="s">
        <v>93</v>
      </c>
      <c r="C6" s="80">
        <v>0.26400000000000001</v>
      </c>
      <c r="D6" s="80">
        <v>0.30599999999999999</v>
      </c>
      <c r="E6" s="80">
        <v>0.502</v>
      </c>
      <c r="F6" s="80">
        <v>6.5000000000000002E-2</v>
      </c>
      <c r="G6" s="80">
        <v>0.41499999999999998</v>
      </c>
      <c r="H6" s="80">
        <v>35</v>
      </c>
      <c r="I6" s="80">
        <v>0</v>
      </c>
      <c r="J6" s="80">
        <v>0</v>
      </c>
    </row>
    <row r="7" spans="1:10" x14ac:dyDescent="0.3">
      <c r="A7" s="80" t="s">
        <v>98</v>
      </c>
      <c r="B7" s="80" t="s">
        <v>93</v>
      </c>
      <c r="C7" s="80">
        <v>0.26500000000000001</v>
      </c>
      <c r="D7" s="80">
        <v>0.68100000000000005</v>
      </c>
      <c r="E7" s="80">
        <v>1.2529999999999999</v>
      </c>
      <c r="F7" s="80">
        <v>0.27400000000000002</v>
      </c>
      <c r="G7" s="80">
        <v>1.0189999999999999</v>
      </c>
      <c r="H7" s="80">
        <v>185</v>
      </c>
      <c r="I7" s="80">
        <v>0</v>
      </c>
      <c r="J7" s="80">
        <v>0</v>
      </c>
    </row>
    <row r="8" spans="1:10" x14ac:dyDescent="0.3">
      <c r="A8" s="80" t="s">
        <v>85</v>
      </c>
      <c r="B8" s="80" t="s">
        <v>93</v>
      </c>
      <c r="C8" s="80">
        <v>0.1</v>
      </c>
      <c r="D8" s="80">
        <v>0.11899999999999999</v>
      </c>
      <c r="E8" s="80">
        <v>0.14699999999999999</v>
      </c>
      <c r="F8" s="80">
        <v>1.0999999999999999E-2</v>
      </c>
      <c r="G8" s="80">
        <v>0.13800000000000001</v>
      </c>
      <c r="H8" s="80">
        <v>24</v>
      </c>
      <c r="I8" s="80">
        <v>0</v>
      </c>
      <c r="J8" s="80">
        <v>0</v>
      </c>
    </row>
    <row r="9" spans="1:10" x14ac:dyDescent="0.3">
      <c r="A9" s="80" t="s">
        <v>100</v>
      </c>
      <c r="B9" s="80" t="s">
        <v>93</v>
      </c>
      <c r="C9" s="80">
        <v>7.3999999999999996E-2</v>
      </c>
      <c r="D9" s="80">
        <v>0.08</v>
      </c>
      <c r="E9" s="80">
        <v>0.27200000000000002</v>
      </c>
      <c r="F9" s="80">
        <v>2.1000000000000001E-2</v>
      </c>
      <c r="G9" s="80">
        <v>8.3000000000000004E-2</v>
      </c>
      <c r="H9" s="80">
        <v>94</v>
      </c>
      <c r="I9" s="80">
        <v>0</v>
      </c>
      <c r="J9" s="80">
        <v>0</v>
      </c>
    </row>
    <row r="10" spans="1:10" x14ac:dyDescent="0.3">
      <c r="A10" s="80" t="s">
        <v>101</v>
      </c>
      <c r="B10" s="80" t="s">
        <v>93</v>
      </c>
      <c r="C10" s="80">
        <v>7.4999999999999997E-2</v>
      </c>
      <c r="D10" s="80">
        <v>0.08</v>
      </c>
      <c r="E10" s="80">
        <v>0.13</v>
      </c>
      <c r="F10" s="80">
        <v>8.0000000000000002E-3</v>
      </c>
      <c r="G10" s="80">
        <v>8.3000000000000004E-2</v>
      </c>
      <c r="H10" s="80">
        <v>94</v>
      </c>
      <c r="I10" s="80">
        <v>0</v>
      </c>
      <c r="J10" s="80">
        <v>0</v>
      </c>
    </row>
    <row r="11" spans="1:10" x14ac:dyDescent="0.3">
      <c r="A11" s="80" t="s">
        <v>102</v>
      </c>
      <c r="B11" s="80" t="s">
        <v>93</v>
      </c>
      <c r="C11" s="80">
        <v>0.14199999999999999</v>
      </c>
      <c r="D11" s="80">
        <v>0.156</v>
      </c>
      <c r="E11" s="80">
        <v>0.214</v>
      </c>
      <c r="F11" s="80">
        <v>1.6E-2</v>
      </c>
      <c r="G11" s="80">
        <v>0.18</v>
      </c>
      <c r="H11" s="80">
        <v>101</v>
      </c>
      <c r="I11" s="80">
        <v>0</v>
      </c>
      <c r="J11" s="80">
        <v>0</v>
      </c>
    </row>
    <row r="12" spans="1:10" x14ac:dyDescent="0.3">
      <c r="A12" s="80" t="s">
        <v>103</v>
      </c>
      <c r="B12" s="80" t="s">
        <v>93</v>
      </c>
      <c r="C12" s="80">
        <v>6.7000000000000004E-2</v>
      </c>
      <c r="D12" s="80">
        <v>7.0999999999999994E-2</v>
      </c>
      <c r="E12" s="80">
        <v>0.10299999999999999</v>
      </c>
      <c r="F12" s="80">
        <v>7.0000000000000001E-3</v>
      </c>
      <c r="G12" s="80">
        <v>7.3999999999999996E-2</v>
      </c>
      <c r="H12" s="80">
        <v>32</v>
      </c>
      <c r="I12" s="80">
        <v>0</v>
      </c>
      <c r="J12" s="80">
        <v>0</v>
      </c>
    </row>
    <row r="13" spans="1:10" x14ac:dyDescent="0.3">
      <c r="A13" s="80" t="s">
        <v>104</v>
      </c>
      <c r="B13" s="80" t="s">
        <v>93</v>
      </c>
      <c r="C13" s="80">
        <v>7.8E-2</v>
      </c>
      <c r="D13" s="80">
        <v>8.3000000000000004E-2</v>
      </c>
      <c r="E13" s="80">
        <v>0.127</v>
      </c>
      <c r="F13" s="80">
        <v>8.0000000000000002E-3</v>
      </c>
      <c r="G13" s="80">
        <v>8.7999999999999995E-2</v>
      </c>
      <c r="H13" s="80">
        <v>60</v>
      </c>
      <c r="I13" s="80">
        <v>0</v>
      </c>
      <c r="J13" s="80">
        <v>0</v>
      </c>
    </row>
    <row r="14" spans="1:10" x14ac:dyDescent="0.3">
      <c r="A14" s="80" t="s">
        <v>105</v>
      </c>
      <c r="B14" s="80" t="s">
        <v>93</v>
      </c>
      <c r="C14" s="80">
        <v>0.16</v>
      </c>
      <c r="D14" s="80">
        <v>0.19</v>
      </c>
      <c r="E14" s="80">
        <v>0.246</v>
      </c>
      <c r="F14" s="80">
        <v>1.4999999999999999E-2</v>
      </c>
      <c r="G14" s="80">
        <v>0.20899999999999999</v>
      </c>
      <c r="H14" s="80">
        <v>93</v>
      </c>
      <c r="I14" s="80">
        <v>0</v>
      </c>
      <c r="J14" s="80">
        <v>0</v>
      </c>
    </row>
    <row r="15" spans="1:10" x14ac:dyDescent="0.3">
      <c r="A15" s="80" t="s">
        <v>106</v>
      </c>
      <c r="B15" s="80" t="s">
        <v>93</v>
      </c>
      <c r="C15" s="80">
        <v>0.13300000000000001</v>
      </c>
      <c r="D15" s="80">
        <v>0.15</v>
      </c>
      <c r="E15" s="80">
        <v>0.378</v>
      </c>
      <c r="F15" s="80">
        <v>2.5000000000000001E-2</v>
      </c>
      <c r="G15" s="80">
        <v>0.17599999999999999</v>
      </c>
      <c r="H15" s="80">
        <v>154</v>
      </c>
      <c r="I15" s="80">
        <v>0</v>
      </c>
      <c r="J15" s="80">
        <v>0</v>
      </c>
    </row>
    <row r="16" spans="1:10" x14ac:dyDescent="0.3">
      <c r="A16" s="80" t="s">
        <v>107</v>
      </c>
      <c r="B16" s="80" t="s">
        <v>93</v>
      </c>
      <c r="C16" s="80">
        <v>6.0999999999999999E-2</v>
      </c>
      <c r="D16" s="80">
        <v>0.123</v>
      </c>
      <c r="E16" s="80">
        <v>0.313</v>
      </c>
      <c r="F16" s="80">
        <v>2.8000000000000001E-2</v>
      </c>
      <c r="G16" s="80">
        <v>0.14000000000000001</v>
      </c>
      <c r="H16" s="80">
        <v>105</v>
      </c>
      <c r="I16" s="80">
        <v>0</v>
      </c>
      <c r="J16" s="80">
        <v>0</v>
      </c>
    </row>
    <row r="17" spans="1:10" x14ac:dyDescent="0.3">
      <c r="A17" s="80" t="s">
        <v>108</v>
      </c>
      <c r="B17" s="80" t="s">
        <v>93</v>
      </c>
      <c r="C17" s="80">
        <v>0.122</v>
      </c>
      <c r="D17" s="80">
        <v>0.13100000000000001</v>
      </c>
      <c r="E17" s="80">
        <v>0.17699999999999999</v>
      </c>
      <c r="F17" s="80">
        <v>8.9999999999999993E-3</v>
      </c>
      <c r="G17" s="80">
        <v>0.14199999999999999</v>
      </c>
      <c r="H17" s="80">
        <v>188</v>
      </c>
      <c r="I17" s="80">
        <v>0</v>
      </c>
      <c r="J17" s="80">
        <v>0</v>
      </c>
    </row>
    <row r="18" spans="1:10" x14ac:dyDescent="0.3">
      <c r="A18" s="80" t="s">
        <v>109</v>
      </c>
      <c r="B18" s="80" t="s">
        <v>93</v>
      </c>
      <c r="C18" s="80">
        <v>7.8E-2</v>
      </c>
      <c r="D18" s="80">
        <v>8.2000000000000003E-2</v>
      </c>
      <c r="E18" s="80">
        <v>0.10299999999999999</v>
      </c>
      <c r="F18" s="80">
        <v>5.0000000000000001E-3</v>
      </c>
      <c r="G18" s="80">
        <v>8.8999999999999996E-2</v>
      </c>
      <c r="H18" s="80">
        <v>32</v>
      </c>
      <c r="I18" s="80">
        <v>0</v>
      </c>
      <c r="J18" s="80">
        <v>0</v>
      </c>
    </row>
    <row r="19" spans="1:10" x14ac:dyDescent="0.3">
      <c r="A19" s="80" t="s">
        <v>110</v>
      </c>
      <c r="B19" s="80" t="s">
        <v>93</v>
      </c>
      <c r="C19" s="80">
        <v>0.13600000000000001</v>
      </c>
      <c r="D19" s="80">
        <v>0.14699999999999999</v>
      </c>
      <c r="E19" s="80">
        <v>0.20300000000000001</v>
      </c>
      <c r="F19" s="80">
        <v>1.4999999999999999E-2</v>
      </c>
      <c r="G19" s="80">
        <v>0.159</v>
      </c>
      <c r="H19" s="80">
        <v>32</v>
      </c>
      <c r="I19" s="80">
        <v>0</v>
      </c>
      <c r="J19" s="80">
        <v>0</v>
      </c>
    </row>
    <row r="20" spans="1:10" x14ac:dyDescent="0.3">
      <c r="A20" s="76"/>
      <c r="B20" s="76"/>
      <c r="C20" s="76"/>
      <c r="D20" s="76"/>
      <c r="E20" s="76"/>
      <c r="F20" s="76"/>
      <c r="G20" s="76"/>
      <c r="H20" s="76"/>
      <c r="I20" s="76"/>
      <c r="J20" s="7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B13"/>
    </sheetView>
  </sheetViews>
  <sheetFormatPr defaultRowHeight="14.4" x14ac:dyDescent="0.3"/>
  <cols>
    <col min="1" max="1" width="43.21875" customWidth="1"/>
    <col min="2" max="2" width="23.6640625" customWidth="1"/>
  </cols>
  <sheetData>
    <row r="1" spans="1:2" x14ac:dyDescent="0.3">
      <c r="A1" s="56" t="s">
        <v>83</v>
      </c>
      <c r="B1" s="56" t="s">
        <v>84</v>
      </c>
    </row>
    <row r="2" spans="1:2" x14ac:dyDescent="0.3">
      <c r="A2" t="str">
        <f>'Автоматизированный расчет'!A33</f>
        <v>Главная Welcome страница</v>
      </c>
      <c r="B2" s="63" t="s">
        <v>108</v>
      </c>
    </row>
    <row r="3" spans="1:2" x14ac:dyDescent="0.3">
      <c r="A3" t="str">
        <f>'Автоматизированный расчет'!A34</f>
        <v>Вход в систему</v>
      </c>
      <c r="B3" s="64" t="s">
        <v>106</v>
      </c>
    </row>
    <row r="4" spans="1:2" x14ac:dyDescent="0.3">
      <c r="A4" t="str">
        <f>'Автоматизированный расчет'!A35</f>
        <v>Переход на страницу поиска билетов</v>
      </c>
      <c r="B4" s="65" t="s">
        <v>102</v>
      </c>
    </row>
    <row r="5" spans="1:2" x14ac:dyDescent="0.3">
      <c r="A5" t="str">
        <f>'Автоматизированный расчет'!A36</f>
        <v xml:space="preserve">Заполнение полей для поиска билета </v>
      </c>
      <c r="B5" s="69" t="s">
        <v>100</v>
      </c>
    </row>
    <row r="6" spans="1:2" x14ac:dyDescent="0.3">
      <c r="A6" t="str">
        <f>'Автоматизированный расчет'!A37</f>
        <v xml:space="preserve">Выбор рейса из найденных </v>
      </c>
      <c r="B6" s="67" t="s">
        <v>101</v>
      </c>
    </row>
    <row r="7" spans="1:2" x14ac:dyDescent="0.3">
      <c r="A7" t="str">
        <f>'Автоматизированный расчет'!A38</f>
        <v>Оплата билета</v>
      </c>
      <c r="B7" s="68" t="s">
        <v>104</v>
      </c>
    </row>
    <row r="8" spans="1:2" x14ac:dyDescent="0.3">
      <c r="A8" t="str">
        <f>'Автоматизированный расчет'!A39</f>
        <v>Просмотр квитанций</v>
      </c>
      <c r="B8" s="66" t="s">
        <v>105</v>
      </c>
    </row>
    <row r="9" spans="1:2" x14ac:dyDescent="0.3">
      <c r="A9" t="str">
        <f>'Автоматизированный расчет'!A40</f>
        <v xml:space="preserve">Отмена бронирования </v>
      </c>
      <c r="B9" s="70" t="s">
        <v>85</v>
      </c>
    </row>
    <row r="10" spans="1:2" x14ac:dyDescent="0.3">
      <c r="A10" t="str">
        <f>'Автоматизированный расчет'!A41</f>
        <v>Выход из системы</v>
      </c>
      <c r="B10" s="71" t="s">
        <v>107</v>
      </c>
    </row>
    <row r="11" spans="1:2" x14ac:dyDescent="0.3">
      <c r="A11" t="str">
        <f>'Автоматизированный расчет'!A42</f>
        <v>Перход на страницу регистрации</v>
      </c>
      <c r="B11" s="72" t="s">
        <v>109</v>
      </c>
    </row>
    <row r="12" spans="1:2" x14ac:dyDescent="0.3">
      <c r="A12" t="str">
        <f>'Автоматизированный расчет'!A43</f>
        <v>Заполнение полей регистарции</v>
      </c>
      <c r="B12" s="73" t="s">
        <v>103</v>
      </c>
    </row>
    <row r="13" spans="1:2" x14ac:dyDescent="0.3">
      <c r="A13" t="str">
        <f>'Автоматизированный расчет'!A44</f>
        <v>Переход на следуюущий эран после регистарции</v>
      </c>
      <c r="B13" s="74" t="s">
        <v>110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workbookViewId="0">
      <selection activeCell="H17" sqref="H17"/>
    </sheetView>
  </sheetViews>
  <sheetFormatPr defaultColWidth="8.88671875" defaultRowHeight="14.4" x14ac:dyDescent="0.3"/>
  <cols>
    <col min="2" max="2" width="4.44140625" customWidth="1"/>
    <col min="3" max="4" width="9.109375" hidden="1" customWidth="1"/>
    <col min="5" max="5" width="20.44140625" customWidth="1"/>
    <col min="6" max="6" width="18.88671875" customWidth="1"/>
    <col min="7" max="7" width="15.33203125" customWidth="1"/>
    <col min="8" max="8" width="15.109375" customWidth="1"/>
    <col min="9" max="9" width="14" customWidth="1"/>
    <col min="11" max="11" width="1.44140625" customWidth="1"/>
    <col min="12" max="12" width="40.33203125" customWidth="1"/>
    <col min="13" max="13" width="6" bestFit="1" customWidth="1"/>
    <col min="14" max="14" width="4.109375" bestFit="1" customWidth="1"/>
    <col min="15" max="15" width="5" bestFit="1" customWidth="1"/>
    <col min="16" max="16" width="14.109375" bestFit="1" customWidth="1"/>
    <col min="17" max="17" width="19.44140625" bestFit="1" customWidth="1"/>
  </cols>
  <sheetData>
    <row r="9" spans="5:9" x14ac:dyDescent="0.3">
      <c r="E9" s="79" t="s">
        <v>33</v>
      </c>
      <c r="F9" s="79"/>
      <c r="G9" s="79"/>
      <c r="H9" s="79"/>
      <c r="I9" s="79"/>
    </row>
    <row r="11" spans="5:9" ht="27.6" x14ac:dyDescent="0.3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.6" x14ac:dyDescent="0.3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2" x14ac:dyDescent="0.3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2" x14ac:dyDescent="0.3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6" x14ac:dyDescent="0.3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2" x14ac:dyDescent="0.3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6.8" x14ac:dyDescent="0.3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6" x14ac:dyDescent="0.3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3">
      <c r="E23" s="79" t="s">
        <v>31</v>
      </c>
      <c r="F23" s="79"/>
      <c r="G23" s="79"/>
      <c r="H23" s="79"/>
      <c r="I23" s="79"/>
    </row>
    <row r="25" spans="5:9" x14ac:dyDescent="0.3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.6" x14ac:dyDescent="0.3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6" x14ac:dyDescent="0.3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6" x14ac:dyDescent="0.3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6" x14ac:dyDescent="0.3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6" x14ac:dyDescent="0.3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6" x14ac:dyDescent="0.3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6" x14ac:dyDescent="0.3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3">
      <c r="E35" s="79" t="s">
        <v>32</v>
      </c>
      <c r="F35" s="79"/>
      <c r="G35" s="79"/>
      <c r="H35" s="79"/>
      <c r="I35" s="79"/>
    </row>
    <row r="37" spans="5:15" x14ac:dyDescent="0.3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.6" x14ac:dyDescent="0.3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.6" x14ac:dyDescent="0.3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.6" x14ac:dyDescent="0.3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.6" x14ac:dyDescent="0.3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.6" x14ac:dyDescent="0.3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.6" x14ac:dyDescent="0.3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.6" x14ac:dyDescent="0.3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Автоматизированный расчет</vt:lpstr>
      <vt:lpstr>Summary Report</vt:lpstr>
      <vt:lpstr>Соответствие</vt:lpstr>
      <vt:lpstr>Шаблоны соотвествие профилю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Добрынин Сергей</cp:lastModifiedBy>
  <dcterms:created xsi:type="dcterms:W3CDTF">2015-06-05T18:19:34Z</dcterms:created>
  <dcterms:modified xsi:type="dcterms:W3CDTF">2022-06-27T21:44:49Z</dcterms:modified>
</cp:coreProperties>
</file>