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Лист 1 - Tаблица 1" sheetId="2" r:id="rId5"/>
    <sheet name="Лист 2 - Tаблица 1" sheetId="3" r:id="rId6"/>
    <sheet name="Лист 2 - Tаблица 3" sheetId="4" r:id="rId7"/>
    <sheet name="Лист 2 - Tаблица 2" sheetId="5" r:id="rId8"/>
  </sheets>
</workbook>
</file>

<file path=xl/sharedStrings.xml><?xml version="1.0" encoding="utf-8"?>
<sst xmlns="http://schemas.openxmlformats.org/spreadsheetml/2006/main" uniqueCount="57">
  <si>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</si>
  <si>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</si>
  <si>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</si>
  <si>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</si>
  <si>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Лист 1</t>
  </si>
  <si>
    <t>Tаблица 1</t>
  </si>
  <si>
    <t>Лист 1 - Tаблица 1</t>
  </si>
  <si>
    <t>x1</t>
  </si>
  <si>
    <t>№</t>
  </si>
  <si>
    <t>Кол-во колебаний</t>
  </si>
  <si>
    <t>Время</t>
  </si>
  <si>
    <t>Период</t>
  </si>
  <si>
    <t>mu=</t>
  </si>
  <si>
    <t>L=</t>
  </si>
  <si>
    <t>m=</t>
  </si>
  <si>
    <t>J=</t>
  </si>
  <si>
    <t>l=</t>
  </si>
  <si>
    <t>R=</t>
  </si>
  <si>
    <t>r=</t>
  </si>
  <si>
    <t>B=</t>
  </si>
  <si>
    <t>V=</t>
  </si>
  <si>
    <t>^1</t>
  </si>
  <si>
    <t>^2</t>
  </si>
  <si>
    <t>∂f/∂m</t>
  </si>
  <si>
    <t>o(m)</t>
  </si>
  <si>
    <t>∂f/∂l</t>
  </si>
  <si>
    <t>o(l)</t>
  </si>
  <si>
    <t>∂f/∂r</t>
  </si>
  <si>
    <t>o(r )</t>
  </si>
  <si>
    <t>o</t>
  </si>
  <si>
    <t>∂f/∂T</t>
  </si>
  <si>
    <t>∂f/∂R</t>
  </si>
  <si>
    <t>∂f/∂J</t>
  </si>
  <si>
    <t>∂f/∂L</t>
  </si>
  <si>
    <t>∂f/∂x</t>
  </si>
  <si>
    <t>Лист 2</t>
  </si>
  <si>
    <t>Лист 2 - Tаблица 1</t>
  </si>
  <si>
    <t>x2(1)</t>
  </si>
  <si>
    <t>x2(2)</t>
  </si>
  <si>
    <t>Tаблица 3</t>
  </si>
  <si>
    <t>Лист 2 - Tаблица 3</t>
  </si>
  <si>
    <t>R</t>
  </si>
  <si>
    <t>n</t>
  </si>
  <si>
    <t>N</t>
  </si>
  <si>
    <t>C</t>
  </si>
  <si>
    <t>Tаблица 2</t>
  </si>
  <si>
    <t>Лист 2 - Tаблица 2</t>
  </si>
  <si>
    <t>Iси</t>
  </si>
  <si>
    <t>Uси</t>
  </si>
  <si>
    <t>Iсгс</t>
  </si>
  <si>
    <t>Uсгс</t>
  </si>
  <si>
    <t>c</t>
  </si>
  <si>
    <t>Tn</t>
  </si>
  <si>
    <t>∂f/∂B0</t>
  </si>
  <si>
    <t>∂f/∂Tn</t>
  </si>
  <si>
    <t>oc</t>
  </si>
  <si>
    <t>ou</t>
  </si>
</sst>
</file>

<file path=xl/styles.xml><?xml version="1.0" encoding="utf-8"?>
<styleSheet xmlns="http://schemas.openxmlformats.org/spreadsheetml/2006/main">
  <numFmts count="3">
    <numFmt numFmtId="0" formatCode="General"/>
    <numFmt numFmtId="59" formatCode="[mm]:ss.000"/>
    <numFmt numFmtId="60" formatCode="[ss].000"/>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6">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0" fontId="0" borderId="2" applyNumberFormat="1" applyFont="1" applyFill="0" applyBorder="1" applyAlignment="1" applyProtection="0">
      <alignment vertical="top" wrapText="1"/>
    </xf>
    <xf numFmtId="0" fontId="0" borderId="2" applyNumberFormat="0" applyFont="1" applyFill="0" applyBorder="1" applyAlignment="1" applyProtection="0">
      <alignment vertical="top" wrapText="1"/>
    </xf>
    <xf numFmtId="0" fontId="0" borderId="3" applyNumberFormat="1" applyFont="1" applyFill="0" applyBorder="1" applyAlignment="1" applyProtection="0">
      <alignment vertical="top" wrapText="1"/>
    </xf>
    <xf numFmtId="0" fontId="0" borderId="3" applyNumberFormat="0" applyFont="1" applyFill="0" applyBorder="1" applyAlignment="1" applyProtection="0">
      <alignment vertical="top" wrapText="1"/>
    </xf>
    <xf numFmtId="49" fontId="0" borderId="3" applyNumberFormat="1" applyFont="1" applyFill="0" applyBorder="1" applyAlignment="1" applyProtection="0">
      <alignment vertical="top" wrapText="1"/>
    </xf>
    <xf numFmtId="59" fontId="0" borderId="3" applyNumberFormat="1" applyFont="1" applyFill="0" applyBorder="1" applyAlignment="1" applyProtection="0">
      <alignment vertical="top" wrapText="1"/>
    </xf>
    <xf numFmtId="60" fontId="0"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5" borderId="4" applyNumberFormat="1" applyFont="1" applyFill="1" applyBorder="1" applyAlignment="1" applyProtection="0">
      <alignment vertical="top" wrapText="1"/>
    </xf>
    <xf numFmtId="0" fontId="0"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4" applyNumberFormat="0" applyFont="1" applyFill="1" applyBorder="1" applyAlignment="1" applyProtection="0">
      <alignment vertical="top" wrapText="1"/>
    </xf>
    <xf numFmtId="0" fontId="0" borderId="5"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35</v>
      </c>
      <c r="C11" s="3"/>
      <c r="D11" s="3"/>
    </row>
    <row r="12">
      <c r="B12" s="4"/>
      <c r="C12" t="s" s="4">
        <v>5</v>
      </c>
      <c r="D12" t="s" s="5">
        <v>36</v>
      </c>
    </row>
    <row r="13">
      <c r="B13" s="4"/>
      <c r="C13" t="s" s="4">
        <v>39</v>
      </c>
      <c r="D13" t="s" s="5">
        <v>40</v>
      </c>
    </row>
    <row r="14">
      <c r="B14" s="4"/>
      <c r="C14" t="s" s="4">
        <v>45</v>
      </c>
      <c r="D14" t="s" s="5">
        <v>46</v>
      </c>
    </row>
  </sheetData>
  <mergeCells count="1">
    <mergeCell ref="B3:D3"/>
  </mergeCells>
  <hyperlinks>
    <hyperlink ref="D10" location="'Лист 1 - Tаблица 1'!R2C1" tooltip="" display="Лист 1 - Tаблица 1"/>
    <hyperlink ref="D12" location="'Лист 2 - Tаблица 1'!R2C1" tooltip="" display="Лист 2 - Tаблица 1"/>
    <hyperlink ref="D13" location="'Лист 2 - Tаблица 3'!R2C1" tooltip="" display="Лист 2 - Tаблица 3"/>
    <hyperlink ref="D14" location="'Лист 2 - Tаблица 2'!R2C1" tooltip="" display="Лист 2 - Tаблица 2"/>
  </hyperlinks>
</worksheet>
</file>

<file path=xl/worksheets/sheet2.xml><?xml version="1.0" encoding="utf-8"?>
<worksheet xmlns:r="http://schemas.openxmlformats.org/officeDocument/2006/relationships" xmlns="http://schemas.openxmlformats.org/spreadsheetml/2006/main">
  <sheetPr>
    <pageSetUpPr fitToPage="1"/>
  </sheetPr>
  <dimension ref="A2:H35"/>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8" width="16.3516" style="6" customWidth="1"/>
    <col min="9" max="256" width="16.3516" style="6" customWidth="1"/>
  </cols>
  <sheetData>
    <row r="1" ht="27.65" customHeight="1">
      <c r="A1" t="s" s="7">
        <v>5</v>
      </c>
      <c r="B1" s="7"/>
      <c r="C1" s="7"/>
      <c r="D1" s="7"/>
      <c r="E1" s="7"/>
      <c r="F1" s="7"/>
      <c r="G1" s="7"/>
      <c r="H1" s="7"/>
    </row>
    <row r="2" ht="20.25" customHeight="1">
      <c r="A2" s="8"/>
      <c r="B2" s="8"/>
      <c r="C2" s="8"/>
      <c r="D2" t="s" s="9">
        <v>7</v>
      </c>
      <c r="E2" s="8"/>
      <c r="F2" s="8"/>
      <c r="G2" s="8"/>
      <c r="H2" s="8"/>
    </row>
    <row r="3" ht="20.25" customHeight="1">
      <c r="A3" s="10">
        <v>1</v>
      </c>
      <c r="B3" s="10">
        <v>52</v>
      </c>
      <c r="C3" s="10">
        <v>139</v>
      </c>
      <c r="D3" s="10">
        <f>ABS(B3-C3)</f>
        <v>87</v>
      </c>
      <c r="E3" s="10">
        <f>D3-$D$7</f>
        <v>1.75</v>
      </c>
      <c r="F3" s="10">
        <f>E3^2</f>
        <v>3.0625</v>
      </c>
      <c r="G3" s="11"/>
      <c r="H3" s="11"/>
    </row>
    <row r="4" ht="20.05" customHeight="1">
      <c r="A4" s="12">
        <v>2</v>
      </c>
      <c r="B4" s="12">
        <v>50</v>
      </c>
      <c r="C4" s="12">
        <v>137</v>
      </c>
      <c r="D4" s="12">
        <f>ABS(B4-C4)</f>
        <v>87</v>
      </c>
      <c r="E4" s="12">
        <f>D4-$D$7</f>
        <v>1.75</v>
      </c>
      <c r="F4" s="12">
        <f>E4^2</f>
        <v>3.0625</v>
      </c>
      <c r="G4" s="13"/>
      <c r="H4" s="13"/>
    </row>
    <row r="5" ht="20.05" customHeight="1">
      <c r="A5" s="12">
        <v>3</v>
      </c>
      <c r="B5" s="12">
        <v>52</v>
      </c>
      <c r="C5" s="12">
        <v>-33</v>
      </c>
      <c r="D5" s="12">
        <f>ABS(B5-C5)</f>
        <v>85</v>
      </c>
      <c r="E5" s="12">
        <f>D5-$D$7</f>
        <v>-0.25</v>
      </c>
      <c r="F5" s="12">
        <f>E5^2</f>
        <v>0.0625</v>
      </c>
      <c r="G5" s="13"/>
      <c r="H5" s="13"/>
    </row>
    <row r="6" ht="20.05" customHeight="1">
      <c r="A6" s="12">
        <v>4</v>
      </c>
      <c r="B6" s="12">
        <v>50</v>
      </c>
      <c r="C6" s="12">
        <v>-32</v>
      </c>
      <c r="D6" s="12">
        <f>ABS(B6-C6)</f>
        <v>82</v>
      </c>
      <c r="E6" s="12">
        <f>D6-$D$7</f>
        <v>-3.25</v>
      </c>
      <c r="F6" s="12">
        <f>E6^2</f>
        <v>10.5625</v>
      </c>
      <c r="G6" s="13"/>
      <c r="H6" s="13"/>
    </row>
    <row r="7" ht="20.05" customHeight="1">
      <c r="A7" s="13"/>
      <c r="B7" s="13"/>
      <c r="C7" s="13"/>
      <c r="D7" s="12">
        <f>AVERAGE(D3:D6)</f>
        <v>85.25</v>
      </c>
      <c r="E7" s="13"/>
      <c r="F7" s="12">
        <f>SUM(F3:F6)</f>
        <v>16.75</v>
      </c>
      <c r="G7" s="12">
        <f>1/(MAX(A3:A6)-1)</f>
        <v>0.3333333333333333</v>
      </c>
      <c r="H7" s="13"/>
    </row>
    <row r="8" ht="20.05" customHeight="1">
      <c r="A8" s="13"/>
      <c r="B8" s="13"/>
      <c r="C8" s="13"/>
      <c r="D8" s="12">
        <f>D7/1000</f>
        <v>0.08525000000000001</v>
      </c>
      <c r="E8" s="13"/>
      <c r="F8" s="13"/>
      <c r="G8" s="12">
        <f>G7*F7</f>
        <v>5.583333333333333</v>
      </c>
      <c r="H8" s="12">
        <f>SQRT(G8)</f>
        <v>2.362907813126304</v>
      </c>
    </row>
    <row r="9" ht="20.05" customHeight="1">
      <c r="A9" s="13"/>
      <c r="B9" s="13"/>
      <c r="C9" s="13"/>
      <c r="D9" s="13"/>
      <c r="E9" s="13"/>
      <c r="F9" s="13"/>
      <c r="G9" s="13"/>
      <c r="H9" s="13"/>
    </row>
    <row r="10" ht="20.05" customHeight="1">
      <c r="A10" t="s" s="14">
        <v>8</v>
      </c>
      <c r="B10" t="s" s="14">
        <v>9</v>
      </c>
      <c r="C10" t="s" s="14">
        <v>10</v>
      </c>
      <c r="D10" t="s" s="14">
        <v>11</v>
      </c>
      <c r="E10" s="13"/>
      <c r="F10" s="13"/>
      <c r="G10" s="13"/>
      <c r="H10" s="13"/>
    </row>
    <row r="11" ht="20.05" customHeight="1">
      <c r="A11" s="12">
        <v>1</v>
      </c>
      <c r="B11" s="12">
        <v>40</v>
      </c>
      <c r="C11" s="15">
        <v>0.00287037037037037</v>
      </c>
      <c r="D11" s="16">
        <f>C11/B11</f>
        <v>7.175925925925926e-05</v>
      </c>
      <c r="E11" s="16">
        <f>D11-$D$14</f>
        <v>4.822530864197462e-07</v>
      </c>
      <c r="F11" s="12">
        <f>E11*86400^2</f>
        <v>0.001736111111111062</v>
      </c>
      <c r="G11" s="13"/>
      <c r="H11" s="13"/>
    </row>
    <row r="12" ht="20.05" customHeight="1">
      <c r="A12" s="12">
        <v>2</v>
      </c>
      <c r="B12" s="12">
        <v>40</v>
      </c>
      <c r="C12" s="15">
        <v>0.0028125</v>
      </c>
      <c r="D12" s="16">
        <f>C12/B12</f>
        <v>7.031250000000001e-05</v>
      </c>
      <c r="E12" s="16">
        <f>D12-$D$14</f>
        <v>-9.64506172839513e-07</v>
      </c>
      <c r="F12" s="12">
        <f>E12*86400^2</f>
        <v>0.006944444444444543</v>
      </c>
      <c r="G12" s="13"/>
      <c r="H12" s="13"/>
    </row>
    <row r="13" ht="20.05" customHeight="1">
      <c r="A13" s="12">
        <v>3</v>
      </c>
      <c r="B13" s="12">
        <v>40</v>
      </c>
      <c r="C13" s="15">
        <v>0.00287037037037037</v>
      </c>
      <c r="D13" s="16">
        <f>C13/B13</f>
        <v>7.175925925925926e-05</v>
      </c>
      <c r="E13" s="16">
        <f>D13-$D$14</f>
        <v>4.822530864197462e-07</v>
      </c>
      <c r="F13" s="12">
        <f>E13*86400^2</f>
        <v>0.001736111111111062</v>
      </c>
      <c r="G13" s="13"/>
      <c r="H13" s="13"/>
    </row>
    <row r="14" ht="20.05" customHeight="1">
      <c r="A14" s="13"/>
      <c r="B14" s="13"/>
      <c r="C14" s="13"/>
      <c r="D14" s="16">
        <v>7.127700617283952e-05</v>
      </c>
      <c r="E14" s="13"/>
      <c r="F14" s="12">
        <f>E14^2</f>
        <v>0</v>
      </c>
      <c r="G14" s="13"/>
      <c r="H14" s="13"/>
    </row>
    <row r="15" ht="20.05" customHeight="1">
      <c r="A15" t="s" s="14">
        <v>12</v>
      </c>
      <c r="B15" s="12">
        <f>1.25663706*10^(-6)</f>
        <v>1.25663706e-06</v>
      </c>
      <c r="C15" s="13"/>
      <c r="D15" s="13"/>
      <c r="E15" s="13"/>
      <c r="F15" s="12">
        <f>SUM(F11:F13)</f>
        <v>0.01041666666666667</v>
      </c>
      <c r="G15" s="12">
        <f>1/(MAX(A11:A14)-1)</f>
        <v>0.5</v>
      </c>
      <c r="H15" s="13"/>
    </row>
    <row r="16" ht="20.05" customHeight="1">
      <c r="A16" t="s" s="14">
        <v>13</v>
      </c>
      <c r="B16" s="12">
        <f>103.5/100</f>
        <v>1.035</v>
      </c>
      <c r="C16" t="s" s="14">
        <v>14</v>
      </c>
      <c r="D16" s="12">
        <f>5.9/1000</f>
        <v>0.005900000000000001</v>
      </c>
      <c r="E16" s="13"/>
      <c r="F16" s="13"/>
      <c r="G16" s="12">
        <f>G15*F15</f>
        <v>0.005208333333333333</v>
      </c>
      <c r="H16" s="12">
        <f>SQRT(G16)</f>
        <v>0.07216878364870322</v>
      </c>
    </row>
    <row r="17" ht="20.05" customHeight="1">
      <c r="A17" t="s" s="14">
        <v>15</v>
      </c>
      <c r="B17" s="12">
        <f>((D16*D17^2)/12)*(1+3*(D18/D17)^2)</f>
        <v>7.915919375000003e-07</v>
      </c>
      <c r="C17" t="s" s="14">
        <v>16</v>
      </c>
      <c r="D17" s="12">
        <f>3.99/100</f>
        <v>0.0399</v>
      </c>
      <c r="E17" s="13"/>
      <c r="F17" s="13"/>
      <c r="G17" s="13"/>
      <c r="H17" s="13"/>
    </row>
    <row r="18" ht="20.05" customHeight="1">
      <c r="A18" t="s" s="14">
        <v>17</v>
      </c>
      <c r="B18" s="12">
        <f>20/100</f>
        <v>0.2</v>
      </c>
      <c r="C18" t="s" s="14">
        <v>18</v>
      </c>
      <c r="D18" s="12">
        <f>4.9/2/1000</f>
        <v>0.00245</v>
      </c>
      <c r="E18" s="13"/>
      <c r="F18" s="13"/>
      <c r="G18" s="13"/>
      <c r="H18" s="13"/>
    </row>
    <row r="19" ht="20.05" customHeight="1">
      <c r="A19" t="s" s="14">
        <v>19</v>
      </c>
      <c r="B19" s="12">
        <f>2*PI()/(D14*86400*B18)*SQRT((B15*B17*B16)/(2*PI()*B18*D8))</f>
        <v>1.581467758176443e-05</v>
      </c>
      <c r="C19" s="12">
        <f>B19*10^6</f>
        <v>15.81467758176443</v>
      </c>
      <c r="D19" s="13"/>
      <c r="E19" s="13"/>
      <c r="F19" s="13"/>
      <c r="G19" s="13"/>
      <c r="H19" s="13"/>
    </row>
    <row r="20" ht="20.05" customHeight="1">
      <c r="A20" s="13"/>
      <c r="B20" s="13"/>
      <c r="C20" s="13"/>
      <c r="D20" s="13"/>
      <c r="E20" s="13"/>
      <c r="F20" s="13"/>
      <c r="G20" s="13"/>
      <c r="H20" s="13"/>
    </row>
    <row r="21" ht="20.05" customHeight="1">
      <c r="A21" t="s" s="14">
        <v>18</v>
      </c>
      <c r="B21" s="12">
        <f>0.43/2</f>
        <v>0.215</v>
      </c>
      <c r="C21" s="12">
        <f>B21/100</f>
        <v>0.00215</v>
      </c>
      <c r="D21" s="12">
        <f>D18</f>
        <v>0.00245</v>
      </c>
      <c r="E21" s="12">
        <f>F21/C23</f>
        <v>9881.550820416218</v>
      </c>
      <c r="F21" s="12">
        <f>2.87/1000</f>
        <v>0.00287</v>
      </c>
      <c r="G21" s="13"/>
      <c r="H21" s="13"/>
    </row>
    <row r="22" ht="20.05" customHeight="1">
      <c r="A22" t="s" s="14">
        <v>16</v>
      </c>
      <c r="B22" s="12">
        <v>2</v>
      </c>
      <c r="C22" s="12">
        <f>B22/100</f>
        <v>0.02</v>
      </c>
      <c r="D22" s="12">
        <f>D17</f>
        <v>0.0399</v>
      </c>
      <c r="E22" s="12">
        <f>E21*D23</f>
        <v>0.007434984126554898</v>
      </c>
      <c r="F22" s="13"/>
      <c r="G22" s="13"/>
      <c r="H22" s="13"/>
    </row>
    <row r="23" ht="20.05" customHeight="1">
      <c r="A23" t="s" s="14">
        <v>20</v>
      </c>
      <c r="B23" s="12">
        <f>PI()*B21^2*B22</f>
        <v>0.2904402408243764</v>
      </c>
      <c r="C23" s="12">
        <f>PI()*C21^2*C22</f>
        <v>2.904402408243764e-07</v>
      </c>
      <c r="D23" s="12">
        <f>PI()*D21^2*D22</f>
        <v>7.524106551365923e-07</v>
      </c>
      <c r="E23" s="13"/>
      <c r="F23" s="13"/>
      <c r="G23" s="13"/>
      <c r="H23" s="13"/>
    </row>
    <row r="24" ht="20.05" customHeight="1">
      <c r="A24" s="13"/>
      <c r="B24" t="s" s="14">
        <v>21</v>
      </c>
      <c r="C24" t="s" s="14">
        <v>22</v>
      </c>
      <c r="D24" s="13"/>
      <c r="E24" s="13"/>
      <c r="F24" s="13"/>
      <c r="G24" s="13"/>
      <c r="H24" s="13"/>
    </row>
    <row r="25" ht="20.05" customHeight="1">
      <c r="A25" t="s" s="14">
        <v>23</v>
      </c>
      <c r="B25" s="12">
        <f>D17^2/12+D18^2/4</f>
        <v>0.000134168125</v>
      </c>
      <c r="C25" s="12">
        <f>B25^2</f>
        <v>1.800108576601564e-08</v>
      </c>
      <c r="D25" t="s" s="14">
        <v>24</v>
      </c>
      <c r="E25" s="12">
        <v>0.0001</v>
      </c>
      <c r="F25" s="12">
        <f>E25^2</f>
        <v>1e-08</v>
      </c>
      <c r="G25" s="12">
        <f>C25*F25</f>
        <v>1.800108576601564e-16</v>
      </c>
      <c r="H25" s="13"/>
    </row>
    <row r="26" ht="20.05" customHeight="1">
      <c r="A26" t="s" s="14">
        <v>25</v>
      </c>
      <c r="B26" s="12">
        <f>D17*D16/6</f>
        <v>3.923500000000001e-05</v>
      </c>
      <c r="C26" s="12">
        <f>B26^2</f>
        <v>1.539385225000001e-09</v>
      </c>
      <c r="D26" t="s" s="14">
        <v>26</v>
      </c>
      <c r="E26" s="12">
        <f t="shared" si="58" ref="E26:E27">0.1/1000</f>
        <v>0.0001</v>
      </c>
      <c r="F26" s="12">
        <f>E26^2</f>
        <v>1e-08</v>
      </c>
      <c r="G26" s="12">
        <f>C26*F26</f>
        <v>1.539385225000001e-17</v>
      </c>
      <c r="H26" s="13"/>
    </row>
    <row r="27" ht="20.05" customHeight="1">
      <c r="A27" t="s" s="14">
        <v>27</v>
      </c>
      <c r="B27" s="12">
        <f>D16*D18/2</f>
        <v>7.227500000000002e-06</v>
      </c>
      <c r="C27" s="12">
        <f>B27^2</f>
        <v>5.223675625000002e-11</v>
      </c>
      <c r="D27" t="s" s="14">
        <v>28</v>
      </c>
      <c r="E27" s="12">
        <f t="shared" si="58"/>
        <v>0.0001</v>
      </c>
      <c r="F27" s="12">
        <f>E27^2</f>
        <v>1e-08</v>
      </c>
      <c r="G27" s="12">
        <f>C27*F27</f>
        <v>5.223675625000002e-19</v>
      </c>
      <c r="H27" s="13"/>
    </row>
    <row r="28" ht="20.05" customHeight="1">
      <c r="A28" s="13"/>
      <c r="B28" s="13"/>
      <c r="C28" s="13"/>
      <c r="D28" t="s" s="14">
        <v>29</v>
      </c>
      <c r="E28" s="13"/>
      <c r="F28" s="13"/>
      <c r="G28" s="12">
        <f>SUM(G25:G27)</f>
        <v>1.959270774726564e-16</v>
      </c>
      <c r="H28" s="12">
        <f>SQRT(G28)</f>
        <v>1.399739538173643e-08</v>
      </c>
    </row>
    <row r="29" ht="20.05" customHeight="1">
      <c r="A29" t="s" s="14">
        <v>30</v>
      </c>
      <c r="B29" s="12">
        <v>0</v>
      </c>
      <c r="C29" s="12">
        <f>B29^2</f>
        <v>0</v>
      </c>
      <c r="D29" s="12">
        <v>1</v>
      </c>
      <c r="E29" s="12">
        <f>D29^2</f>
        <v>1</v>
      </c>
      <c r="F29" s="12">
        <f>C29*E29</f>
        <v>0</v>
      </c>
      <c r="G29" s="13"/>
      <c r="H29" s="13"/>
    </row>
    <row r="30" ht="20.05" customHeight="1">
      <c r="A30" t="s" s="14">
        <v>31</v>
      </c>
      <c r="B30" s="12">
        <f>-(SQRT(PI()/2)*$B$17*$B$15*$B$16)/($B$18^2*$D$14*86400*$B$18*$D$7*SQRT($B$17*$B$15*$B$16/($B$18*$D$7)))</f>
        <v>-1.250260040489483e-06</v>
      </c>
      <c r="C30" s="12">
        <f>B30^2</f>
        <v>1.563150168844765e-12</v>
      </c>
      <c r="D30" s="12">
        <f t="shared" si="73" ref="D30:D32">0.05/1000</f>
        <v>5e-05</v>
      </c>
      <c r="E30" s="12">
        <f>D30^2</f>
        <v>2.5e-09</v>
      </c>
      <c r="F30" s="12">
        <f>C30*E30</f>
        <v>3.907875422111911e-21</v>
      </c>
      <c r="G30" s="13"/>
      <c r="H30" s="13"/>
    </row>
    <row r="31" ht="20.05" customHeight="1">
      <c r="A31" t="s" s="14">
        <v>32</v>
      </c>
      <c r="B31" s="12">
        <f>-(SQRT(PI()/2)*$B$15*$B$16)/($B$18*$D$14*86400*$B$18*$D$7*SQRT($B$17*$B$15*$B$16/($B$18*$D$7)))</f>
        <v>-0.3158849860037852</v>
      </c>
      <c r="C31" s="12">
        <f>B31^2</f>
        <v>0.09978332438261156</v>
      </c>
      <c r="D31" s="12">
        <f>H28</f>
        <v>1.399739538173643e-08</v>
      </c>
      <c r="E31" s="12">
        <f>D31^2</f>
        <v>1.959270774726564e-16</v>
      </c>
      <c r="F31" s="12">
        <f>C31*E31</f>
        <v>1.955025512679114e-17</v>
      </c>
      <c r="G31" s="13"/>
      <c r="H31" s="13"/>
    </row>
    <row r="32" ht="20.05" customHeight="1">
      <c r="A32" t="s" s="14">
        <v>33</v>
      </c>
      <c r="B32" s="12">
        <f>-(SQRT(PI()/2)*$B$15*B17)/($B$18*$D$14*86400*$B$18*$D$7*SQRT($B$17*$B$15*$B$16/($B$18*$D$7)))</f>
        <v>-2.415961430897553e-07</v>
      </c>
      <c r="C32" s="12">
        <f>B32^2</f>
        <v>5.836869635584554e-14</v>
      </c>
      <c r="D32" s="12">
        <f t="shared" si="73"/>
        <v>5e-05</v>
      </c>
      <c r="E32" s="12">
        <f>D32^2</f>
        <v>2.5e-09</v>
      </c>
      <c r="F32" s="12">
        <f>C32*E32</f>
        <v>1.459217408896138e-22</v>
      </c>
      <c r="G32" s="13"/>
      <c r="H32" s="13"/>
    </row>
    <row r="33" ht="20.05" customHeight="1">
      <c r="A33" t="s" s="14">
        <v>34</v>
      </c>
      <c r="B33" s="12">
        <f>-(SQRT(PI()/2)*$B$17*$B$15*$B$16)/($B$18*$D$14*86400*$B$18*$D$7^2*SQRT($B$17*$B$15*$B$16/($B$18*$D$7)))</f>
        <v>-2.933161385312571e-09</v>
      </c>
      <c r="C33" s="12">
        <f>B33^2</f>
        <v>8.603435712288761e-18</v>
      </c>
      <c r="D33" s="12">
        <f>0.5/1000</f>
        <v>0.0005</v>
      </c>
      <c r="E33" s="12">
        <f>D33^2</f>
        <v>2.5e-07</v>
      </c>
      <c r="F33" s="12">
        <f>C33*E33</f>
        <v>2.15085892807219e-24</v>
      </c>
      <c r="G33" s="13"/>
      <c r="H33" s="13"/>
    </row>
    <row r="34" ht="20.05" customHeight="1">
      <c r="A34" s="13"/>
      <c r="B34" s="13"/>
      <c r="C34" s="13"/>
      <c r="D34" s="13"/>
      <c r="E34" s="13"/>
      <c r="F34" s="12">
        <f>SUM(F29:F33)</f>
        <v>1.955431107481307e-17</v>
      </c>
      <c r="G34" s="12">
        <f>SQRT(F34)</f>
        <v>4.422025675503599e-09</v>
      </c>
      <c r="H34" s="13"/>
    </row>
    <row r="35" ht="20.05" customHeight="1">
      <c r="A35" s="13"/>
      <c r="B35" s="13"/>
      <c r="C35" s="13"/>
      <c r="D35" s="13"/>
      <c r="E35" s="13"/>
      <c r="F35" s="13"/>
      <c r="G35" s="13"/>
      <c r="H35" s="13"/>
    </row>
  </sheetData>
  <mergeCells count="1">
    <mergeCell ref="A1:H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C3"/>
  <sheetViews>
    <sheetView workbookViewId="0" showGridLines="0" defaultGridColor="1">
      <pane topLeftCell="B1" xSplit="1" ySplit="0" activePane="topRight" state="frozen"/>
    </sheetView>
  </sheetViews>
  <sheetFormatPr defaultColWidth="16.3333" defaultRowHeight="19.9" customHeight="1" outlineLevelRow="0" outlineLevelCol="0"/>
  <cols>
    <col min="1" max="3" width="16.3516" style="17" customWidth="1"/>
    <col min="4" max="256" width="16.3516" style="17" customWidth="1"/>
  </cols>
  <sheetData>
    <row r="1" ht="27.65" customHeight="1">
      <c r="A1" t="s" s="7">
        <v>5</v>
      </c>
      <c r="B1" s="7"/>
      <c r="C1" s="7"/>
    </row>
    <row r="2" ht="20.05" customHeight="1">
      <c r="A2" t="s" s="18">
        <v>37</v>
      </c>
      <c r="B2" s="19">
        <v>155</v>
      </c>
      <c r="C2" s="12">
        <f>ABS(61-B2)</f>
        <v>94</v>
      </c>
    </row>
    <row r="3" ht="20.05" customHeight="1">
      <c r="A3" t="s" s="18">
        <v>38</v>
      </c>
      <c r="B3" s="19">
        <v>-32</v>
      </c>
      <c r="C3" s="12">
        <f>ABS(61-B3)</f>
        <v>93</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D3"/>
  <sheetViews>
    <sheetView workbookViewId="0" showGridLines="0" defaultGridColor="1"/>
  </sheetViews>
  <sheetFormatPr defaultColWidth="16.3333" defaultRowHeight="19.9" customHeight="1" outlineLevelRow="0" outlineLevelCol="0"/>
  <cols>
    <col min="1" max="4" width="16.3516" style="20" customWidth="1"/>
    <col min="5" max="256" width="16.3516" style="20" customWidth="1"/>
  </cols>
  <sheetData>
    <row r="1" ht="27.65" customHeight="1">
      <c r="A1" t="s" s="7">
        <v>39</v>
      </c>
      <c r="B1" s="7"/>
      <c r="C1" s="7"/>
      <c r="D1" s="7"/>
    </row>
    <row r="2" ht="20.05" customHeight="1">
      <c r="A2" t="s" s="14">
        <v>41</v>
      </c>
      <c r="B2" t="s" s="14">
        <v>42</v>
      </c>
      <c r="C2" t="s" s="14">
        <v>43</v>
      </c>
      <c r="D2" t="s" s="14">
        <v>44</v>
      </c>
    </row>
    <row r="3" ht="20.05" customHeight="1">
      <c r="A3" s="12">
        <f>20/100</f>
        <v>0.2</v>
      </c>
      <c r="B3" s="12">
        <v>50</v>
      </c>
      <c r="C3" s="12">
        <v>44</v>
      </c>
      <c r="D3" s="12">
        <f>9*10^(5)</f>
        <v>900000</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G13"/>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1" customWidth="1"/>
    <col min="8" max="256" width="16.3516" style="21" customWidth="1"/>
  </cols>
  <sheetData>
    <row r="1" ht="27.65" customHeight="1">
      <c r="A1" t="s" s="7">
        <v>45</v>
      </c>
      <c r="B1" s="7"/>
      <c r="C1" s="7"/>
      <c r="D1" s="7"/>
      <c r="E1" s="7"/>
      <c r="F1" s="7"/>
      <c r="G1" s="7"/>
    </row>
    <row r="2" ht="20.05" customHeight="1">
      <c r="A2" t="s" s="18">
        <v>47</v>
      </c>
      <c r="B2" s="19">
        <f>(2*'Лист 1 - Tаблица 1'!B19*'Лист 1 - Tаблица 1'!B18)/('Лист 1 - Tаблица 1'!B15*'Лист 2 - Tаблица 3'!C3)*(AVERAGE('Лист 2 - Tаблица 1'!C2:C3)/1000/(2*'Лист 1 - Tаблица 1'!B16))</f>
        <v>0.005167721005810859</v>
      </c>
      <c r="C2" s="13"/>
      <c r="D2" t="s" s="14">
        <v>48</v>
      </c>
      <c r="E2" s="12">
        <v>90</v>
      </c>
      <c r="F2" s="13"/>
      <c r="G2" s="13"/>
    </row>
    <row r="3" ht="20.05" customHeight="1">
      <c r="A3" t="s" s="18">
        <v>49</v>
      </c>
      <c r="B3" s="19">
        <f>'Лист 2 - Tаблица 3'!D3*'Лист 2 - Tаблица 3'!B3*E3</f>
        <v>13500000</v>
      </c>
      <c r="C3" s="13"/>
      <c r="D3" t="s" s="14">
        <v>50</v>
      </c>
      <c r="E3" s="12">
        <f>E2/300</f>
        <v>0.3</v>
      </c>
      <c r="F3" s="13"/>
      <c r="G3" s="13"/>
    </row>
    <row r="4" ht="20.05" customHeight="1">
      <c r="A4" t="s" s="18">
        <v>51</v>
      </c>
      <c r="B4" s="19">
        <f>10*B3/B2</f>
        <v>26123701308.21669</v>
      </c>
      <c r="C4" s="12">
        <f>B4*10^-10</f>
        <v>2.612370130821669</v>
      </c>
      <c r="D4" s="13"/>
      <c r="E4" s="13"/>
      <c r="F4" s="13"/>
      <c r="G4" s="13"/>
    </row>
    <row r="5" ht="20.05" customHeight="1">
      <c r="A5" s="22"/>
      <c r="B5" s="19">
        <f>AVERAGE('Лист 2 - Tаблица 1'!C2:C3)/100/2/'Лист 1 - Tаблица 1'!B16</f>
        <v>0.4516908212560387</v>
      </c>
      <c r="C5" s="12">
        <f>G13*10^(-10)</f>
        <v>0.06352616641757894</v>
      </c>
      <c r="D5" s="13"/>
      <c r="E5" s="13"/>
      <c r="F5" s="13"/>
      <c r="G5" s="13"/>
    </row>
    <row r="6" ht="20.05" customHeight="1">
      <c r="A6" s="22"/>
      <c r="B6" s="23"/>
      <c r="C6" s="13"/>
      <c r="D6" t="s" s="14">
        <v>52</v>
      </c>
      <c r="E6" s="12">
        <f>AVERAGE('Лист 2 - Tаблица 1'!C2:C3)/1000/2/'Лист 1 - Tаблица 1'!B16</f>
        <v>0.04516908212560387</v>
      </c>
      <c r="F6" s="13"/>
      <c r="G6" s="13"/>
    </row>
    <row r="7" ht="20.05" customHeight="1">
      <c r="A7" t="s" s="18">
        <v>53</v>
      </c>
      <c r="B7" s="19">
        <f>2*'Лист 2 - Tаблица 3'!$A$3*$E$6/('Лист 1 - Tаблица 1'!$B$15*'Лист 2 - Tаблица 3'!$B$3)</f>
        <v>287.5553081371251</v>
      </c>
      <c r="C7" s="12">
        <f>B7^2</f>
        <v>82688.055237836932</v>
      </c>
      <c r="D7" s="12">
        <f>'Лист 1 - Tаблица 1'!G34</f>
        <v>4.422025675503599e-09</v>
      </c>
      <c r="E7" s="12">
        <f>D7^2</f>
        <v>1.955431107481306e-17</v>
      </c>
      <c r="F7" s="12">
        <f>C7*E7</f>
        <v>1.616907954291989e-12</v>
      </c>
      <c r="G7" s="13"/>
    </row>
    <row r="8" ht="20.05" customHeight="1">
      <c r="A8" t="s" s="18">
        <v>31</v>
      </c>
      <c r="B8" s="19">
        <f>2*'Лист 1 - Tаблица 1'!B19*$E$6/('Лист 1 - Tаблица 1'!$B$15*'Лист 2 - Tаблица 3'!$B$3)</f>
        <v>0.02273797242556777</v>
      </c>
      <c r="C8" s="12">
        <f>B8^2</f>
        <v>0.0005170153900258804</v>
      </c>
      <c r="D8" s="12">
        <f>'Лист 1 - Tаблица 1'!D30</f>
        <v>5e-05</v>
      </c>
      <c r="E8" s="12">
        <f>D8^2</f>
        <v>2.5e-09</v>
      </c>
      <c r="F8" s="12">
        <f>C8*E8</f>
        <v>1.292538475064701e-12</v>
      </c>
      <c r="G8" s="13"/>
    </row>
    <row r="9" ht="20.05" customHeight="1">
      <c r="A9" t="s" s="18">
        <v>54</v>
      </c>
      <c r="B9" s="19">
        <f>2*'Лист 1 - Tаблица 1'!B19*'Лист 2 - Tаблица 3'!A3/('Лист 1 - Tаблица 1'!B15*'Лист 2 - Tаблица 3'!B3)</f>
        <v>0.1006793645367386</v>
      </c>
      <c r="C9" s="12">
        <f>B9^2</f>
        <v>0.0101363344435215</v>
      </c>
      <c r="D9" s="12">
        <f>6.5*10^(-4)</f>
        <v>0.0006500000000000001</v>
      </c>
      <c r="E9" s="12">
        <f>D9^2</f>
        <v>4.225000000000001e-07</v>
      </c>
      <c r="F9" s="12">
        <f>C9*E9</f>
        <v>4.282601302387833e-09</v>
      </c>
      <c r="G9" s="13"/>
    </row>
    <row r="10" ht="20.05" customHeight="1">
      <c r="A10" s="22"/>
      <c r="B10" s="23"/>
      <c r="C10" s="13"/>
      <c r="D10" s="13"/>
      <c r="E10" s="13"/>
      <c r="F10" s="12">
        <f>SUM(F7:F9)</f>
        <v>4.285510748817189e-09</v>
      </c>
      <c r="G10" s="12">
        <f>SQRT(F10)</f>
        <v>6.546381251361083e-05</v>
      </c>
    </row>
    <row r="11" ht="20.05" customHeight="1">
      <c r="A11" s="22"/>
      <c r="B11" s="23"/>
      <c r="C11" s="13"/>
      <c r="D11" s="13"/>
      <c r="E11" s="13"/>
      <c r="F11" s="13"/>
      <c r="G11" s="13"/>
    </row>
    <row r="12" ht="20.05" customHeight="1">
      <c r="A12" t="s" s="18">
        <v>55</v>
      </c>
      <c r="B12" s="19">
        <f>0.18*10^5</f>
        <v>18000</v>
      </c>
      <c r="C12" s="13"/>
      <c r="D12" s="12">
        <f>B12/'Лист 2 - Tаблица 3'!D3</f>
        <v>0.02</v>
      </c>
      <c r="E12" s="13"/>
      <c r="F12" s="13"/>
      <c r="G12" s="13"/>
    </row>
    <row r="13" ht="20.05" customHeight="1">
      <c r="A13" t="s" s="18">
        <v>56</v>
      </c>
      <c r="B13" s="19">
        <v>0.5</v>
      </c>
      <c r="C13" s="13"/>
      <c r="D13" s="12">
        <f>B13/E2</f>
        <v>0.005555555555555556</v>
      </c>
      <c r="E13" s="12">
        <f>SQRT(D12^2+D13^2)*B3</f>
        <v>280223.1253840411</v>
      </c>
      <c r="F13" s="13"/>
      <c r="G13" s="12">
        <f>B4*SQRT((E13/B3)^2+(G10/B2)^2)</f>
        <v>635261664.1757894</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