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Основной эксперимент - Параметр" sheetId="2" r:id="rId5"/>
    <sheet name="Основной эксперимент - Результа" sheetId="3" r:id="rId6"/>
    <sheet name="Основной эксперимент - Результ1" sheetId="4" r:id="rId7"/>
    <sheet name="Основной эксперимент - Максимал" sheetId="5" r:id="rId8"/>
    <sheet name="Основной эксперимент - Tаблица " sheetId="6" r:id="rId9"/>
    <sheet name="Основной эксперимент - Tаблица1" sheetId="7" r:id="rId10"/>
    <sheet name="Основной эксперимент - Drawings" sheetId="8" r:id="rId11"/>
    <sheet name="Эксперимент 2 - 1" sheetId="9" r:id="rId12"/>
    <sheet name="Эксперимент 2 - 2" sheetId="10" r:id="rId13"/>
    <sheet name="Эксперимент 2 - 3" sheetId="11" r:id="rId14"/>
    <sheet name="Эксперимент 2 - 4" sheetId="12" r:id="rId15"/>
    <sheet name="Эксперимент 2 - 5" sheetId="13" r:id="rId16"/>
    <sheet name="Эксперимент 2 - 6" sheetId="14" r:id="rId17"/>
    <sheet name="Эксперимент 2 - Tаблица 1" sheetId="15" r:id="rId18"/>
    <sheet name="Эксперимент 2 - Drawings" sheetId="16" r:id="rId19"/>
    <sheet name="Эксперимент 3 - Tаблица 1" sheetId="17" r:id="rId20"/>
    <sheet name="Эксперимент 3 - Tаблица 2" sheetId="18" r:id="rId21"/>
    <sheet name="Эксперимент 3 - Tаблица 3" sheetId="19" r:id="rId22"/>
  </sheets>
</workbook>
</file>

<file path=xl/sharedStrings.xml><?xml version="1.0" encoding="utf-8"?>
<sst xmlns="http://schemas.openxmlformats.org/spreadsheetml/2006/main" uniqueCount="74">
  <si>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</si>
  <si>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</si>
  <si>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</si>
  <si>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</si>
  <si>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Основной эксперимент</t>
  </si>
  <si>
    <t>Параметры образца</t>
  </si>
  <si>
    <t>Основной эксперимент - Параметр</t>
  </si>
  <si>
    <t>a</t>
  </si>
  <si>
    <t>L35</t>
  </si>
  <si>
    <t>l</t>
  </si>
  <si>
    <t>Результаты измерений</t>
  </si>
  <si>
    <t>Основной эксперимент - Результа</t>
  </si>
  <si>
    <t>Ф</t>
  </si>
  <si>
    <t>I</t>
  </si>
  <si>
    <t>U</t>
  </si>
  <si>
    <t>B</t>
  </si>
  <si>
    <t>Результаты измерений-1</t>
  </si>
  <si>
    <t>Основной эксперимент - Результ1</t>
  </si>
  <si>
    <t>Максимальные измерения</t>
  </si>
  <si>
    <t>Основной эксперимент - Максимал</t>
  </si>
  <si>
    <t>Tаблица 1</t>
  </si>
  <si>
    <t xml:space="preserve">Основной эксперимент - Tаблица </t>
  </si>
  <si>
    <t>NS</t>
  </si>
  <si>
    <t>Tаблица 2</t>
  </si>
  <si>
    <t>Основной эксперимент - Tаблица1</t>
  </si>
  <si>
    <t>oa</t>
  </si>
  <si>
    <t>ob</t>
  </si>
  <si>
    <t>значения</t>
  </si>
  <si>
    <t>погрешности</t>
  </si>
  <si>
    <t>погрешность/знач</t>
  </si>
  <si>
    <t>“All Drawings from the Sheet”</t>
  </si>
  <si>
    <t>Основной эксперимент - Drawings</t>
  </si>
  <si>
    <t>Эксперимент 2</t>
  </si>
  <si>
    <t>1</t>
  </si>
  <si>
    <t>Эксперимент 2 - 1</t>
  </si>
  <si>
    <t>U0</t>
  </si>
  <si>
    <t>Iм</t>
  </si>
  <si>
    <t>Uм</t>
  </si>
  <si>
    <t>Ex</t>
  </si>
  <si>
    <t>2</t>
  </si>
  <si>
    <t>Эксперимент 2 - 2</t>
  </si>
  <si>
    <t>3</t>
  </si>
  <si>
    <t>Эксперимент 2 - 3</t>
  </si>
  <si>
    <t>4</t>
  </si>
  <si>
    <t>Эксперимент 2 - 4</t>
  </si>
  <si>
    <t>5</t>
  </si>
  <si>
    <t>Эксперимент 2 - 5</t>
  </si>
  <si>
    <t>6</t>
  </si>
  <si>
    <t>Эксперимент 2 - 6</t>
  </si>
  <si>
    <t>Эксперимент 2 - Tаблица 1</t>
  </si>
  <si>
    <t>x</t>
  </si>
  <si>
    <t>y</t>
  </si>
  <si>
    <t>Погрешность y</t>
  </si>
  <si>
    <t>Погрешность x</t>
  </si>
  <si>
    <t>k</t>
  </si>
  <si>
    <t>Rx</t>
  </si>
  <si>
    <t>Наклон</t>
  </si>
  <si>
    <t>Погрешность</t>
  </si>
  <si>
    <t>n</t>
  </si>
  <si>
    <t>Величина</t>
  </si>
  <si>
    <t>Эксперимент 2 - Drawings</t>
  </si>
  <si>
    <t>Эксперимент 3</t>
  </si>
  <si>
    <t>Эксперимент 3 - Tаблица 1</t>
  </si>
  <si>
    <t>U35</t>
  </si>
  <si>
    <t>I35</t>
  </si>
  <si>
    <t>Эксперимент 3 - Tаблица 2</t>
  </si>
  <si>
    <t>o</t>
  </si>
  <si>
    <t>b</t>
  </si>
  <si>
    <t>погрешность o</t>
  </si>
  <si>
    <t>погрешность b</t>
  </si>
  <si>
    <t>Tаблица 3</t>
  </si>
  <si>
    <t>Эксперимент 3 - Tаблица 3</t>
  </si>
  <si>
    <t>∂f/∂I</t>
  </si>
  <si>
    <t>∂f/∂U</t>
  </si>
</sst>
</file>

<file path=xl/styles.xml><?xml version="1.0" encoding="utf-8"?>
<styleSheet xmlns="http://schemas.openxmlformats.org/spreadsheetml/2006/main">
  <numFmts count="2">
    <numFmt numFmtId="0" formatCode="General"/>
    <numFmt numFmtId="59" formatCode="0.000000"/>
  </numFmts>
  <fonts count="11">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sz val="12"/>
      <color indexed="16"/>
      <name val="Helvetica Neue"/>
    </font>
    <font>
      <sz val="10"/>
      <color indexed="8"/>
      <name val="Times New Roman"/>
    </font>
    <font>
      <sz val="11"/>
      <color indexed="8"/>
      <name val="Helvetica Neue"/>
    </font>
    <font>
      <sz val="9"/>
      <color indexed="16"/>
      <name val="Helvetica Neue"/>
    </font>
    <font>
      <sz val="8"/>
      <color indexed="8"/>
      <name val="Helvetica Neue"/>
    </font>
    <font>
      <sz val="9"/>
      <color indexed="8"/>
      <name val="Helvetica Neue"/>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s>
  <borders count="6">
    <border>
      <left/>
      <right/>
      <top/>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37">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0" fontId="0" borderId="2"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4" fillId="5" borderId="3" applyNumberFormat="1" applyFont="1" applyFill="1" applyBorder="1" applyAlignment="1" applyProtection="0">
      <alignment vertical="top" wrapText="1"/>
    </xf>
    <xf numFmtId="0" fontId="4" fillId="5" borderId="3" applyNumberFormat="0" applyFont="1" applyFill="1" applyBorder="1" applyAlignment="1" applyProtection="0">
      <alignment vertical="top" wrapText="1"/>
    </xf>
    <xf numFmtId="0" fontId="0" borderId="4" applyNumberFormat="1" applyFont="1" applyFill="0" applyBorder="1" applyAlignment="1" applyProtection="0">
      <alignment vertical="top" wrapText="1"/>
    </xf>
    <xf numFmtId="2" fontId="0" borderId="4" applyNumberFormat="1" applyFont="1" applyFill="0" applyBorder="1" applyAlignment="1" applyProtection="0">
      <alignment vertical="top" wrapText="1"/>
    </xf>
    <xf numFmtId="0" fontId="0" borderId="5" applyNumberFormat="1" applyFont="1" applyFill="0" applyBorder="1" applyAlignment="1" applyProtection="0">
      <alignment vertical="top" wrapText="1"/>
    </xf>
    <xf numFmtId="2" fontId="0" borderId="5"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borderId="5"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0" borderId="2" applyNumberFormat="0" applyFont="1" applyFill="0" applyBorder="1" applyAlignment="1" applyProtection="0">
      <alignment vertical="top" wrapText="1"/>
    </xf>
    <xf numFmtId="0" fontId="0" applyNumberFormat="1" applyFont="1" applyFill="0" applyBorder="0" applyAlignment="1" applyProtection="0">
      <alignment vertical="top" wrapText="1"/>
    </xf>
    <xf numFmtId="49" fontId="0" borderId="5"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6" borderId="5" applyNumberFormat="1" applyFont="1" applyFill="1" applyBorder="1" applyAlignment="1" applyProtection="0">
      <alignment vertical="top" wrapText="1"/>
    </xf>
    <xf numFmtId="0" fontId="0" fillId="6" borderId="5"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7" borderId="5"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dbdbdb"/>
      <rgbColor rgb="ffa5a5a5"/>
      <rgbColor rgb="ff3f3f3f"/>
      <rgbColor rgb="ffbdc0bf"/>
      <rgbColor rgb="fffeffff"/>
      <rgbColor rgb="ffd5d5d5"/>
      <rgbColor rgb="fffae232"/>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894888"/>
          <c:y val="0.0288746"/>
          <c:w val="0.900079"/>
          <c:h val="0.86859"/>
        </c:manualLayout>
      </c:layout>
      <c:scatterChart>
        <c:scatterStyle val="lineMarker"/>
        <c:varyColors val="0"/>
        <c:ser>
          <c:idx val="0"/>
          <c:order val="0"/>
          <c:tx>
            <c:v>I</c:v>
          </c:tx>
          <c:spPr>
            <a:solidFill>
              <a:srgbClr val="000000"/>
            </a:solidFill>
            <a:ln w="12700" cap="flat">
              <a:noFill/>
              <a:prstDash val="solid"/>
              <a:miter lim="400000"/>
            </a:ln>
            <a:effectLst/>
          </c:spPr>
          <c:marker>
            <c:symbol val="circle"/>
            <c:size val="5"/>
            <c:spPr>
              <a:solidFill>
                <a:srgbClr val="000000"/>
              </a:solidFill>
              <a:ln w="25400" cap="flat">
                <a:noFill/>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trendline>
            <c:spPr>
              <a:noFill/>
              <a:ln w="3175" cap="flat">
                <a:solidFill>
                  <a:srgbClr val="000000"/>
                </a:solidFill>
                <a:prstDash val="solid"/>
                <a:miter lim="400000"/>
              </a:ln>
              <a:effectLst/>
            </c:spPr>
            <c:trendlineType val="linear"/>
            <c:forward val="0"/>
            <c:backward val="0"/>
            <c:dispRSqr val="0"/>
            <c:dispEq val="1"/>
          </c:trendline>
          <c:errBars>
            <c:errDir val="x"/>
            <c:errBarType val="both"/>
            <c:errValType val="cust"/>
            <c:noEndCap val="0"/>
            <c:plus>
              <c:numRef>
                <c:f>'Основной эксперимент - Результа'!$F$3:$F$9</c:f>
                <c:numCache>
                  <c:ptCount val="7"/>
                  <c:pt idx="0">
                    <c:v>0.006050</c:v>
                  </c:pt>
                  <c:pt idx="1">
                    <c:v>0.005800</c:v>
                  </c:pt>
                  <c:pt idx="2">
                    <c:v>0.005350</c:v>
                  </c:pt>
                  <c:pt idx="3">
                    <c:v>0.004650</c:v>
                  </c:pt>
                  <c:pt idx="4">
                    <c:v>0.003800</c:v>
                  </c:pt>
                  <c:pt idx="5">
                    <c:v>0.003250</c:v>
                  </c:pt>
                  <c:pt idx="6">
                    <c:v>0.002500</c:v>
                  </c:pt>
                </c:numCache>
              </c:numRef>
            </c:plus>
            <c:minus>
              <c:numRef>
                <c:f>'Основной эксперимент - Результа'!$F$3:$F$9</c:f>
                <c:numCache>
                  <c:ptCount val="7"/>
                  <c:pt idx="0">
                    <c:v>0.006050</c:v>
                  </c:pt>
                  <c:pt idx="1">
                    <c:v>0.005800</c:v>
                  </c:pt>
                  <c:pt idx="2">
                    <c:v>0.005350</c:v>
                  </c:pt>
                  <c:pt idx="3">
                    <c:v>0.004650</c:v>
                  </c:pt>
                  <c:pt idx="4">
                    <c:v>0.003800</c:v>
                  </c:pt>
                  <c:pt idx="5">
                    <c:v>0.003250</c:v>
                  </c:pt>
                  <c:pt idx="6">
                    <c:v>0.002500</c:v>
                  </c:pt>
                </c:numCache>
              </c:numRef>
            </c:minus>
            <c:val val="0"/>
            <c:spPr>
              <a:noFill/>
              <a:ln w="12700" cap="flat">
                <a:solidFill>
                  <a:srgbClr val="000000"/>
                </a:solidFill>
                <a:prstDash val="solid"/>
                <a:miter lim="400000"/>
              </a:ln>
              <a:effectLst/>
            </c:spPr>
          </c:errBars>
          <c:errBars>
            <c:errDir val="y"/>
            <c:errBarType val="both"/>
            <c:errValType val="percentage"/>
            <c:noEndCap val="0"/>
            <c:val val="5"/>
            <c:spPr>
              <a:noFill/>
              <a:ln w="12700" cap="flat">
                <a:solidFill>
                  <a:srgbClr val="000000"/>
                </a:solidFill>
                <a:prstDash val="solid"/>
                <a:miter lim="400000"/>
              </a:ln>
              <a:effectLst/>
            </c:spPr>
          </c:errBars>
          <c:xVal>
            <c:numRef>
              <c:f>'Основной эксперимент - Результа'!$B$3:$B$9</c:f>
              <c:numCache>
                <c:ptCount val="7"/>
                <c:pt idx="0">
                  <c:v>1.210000</c:v>
                </c:pt>
                <c:pt idx="1">
                  <c:v>1.160000</c:v>
                </c:pt>
                <c:pt idx="2">
                  <c:v>1.070000</c:v>
                </c:pt>
                <c:pt idx="3">
                  <c:v>0.930000</c:v>
                </c:pt>
                <c:pt idx="4">
                  <c:v>0.760000</c:v>
                </c:pt>
                <c:pt idx="5">
                  <c:v>0.650000</c:v>
                </c:pt>
                <c:pt idx="6">
                  <c:v>0.500000</c:v>
                </c:pt>
              </c:numCache>
            </c:numRef>
          </c:xVal>
          <c:yVal>
            <c:numRef>
              <c:f>'Основной эксперимент - Результа'!$D$3:$D$9</c:f>
              <c:numCache>
                <c:ptCount val="7"/>
                <c:pt idx="0">
                  <c:v>706.666667</c:v>
                </c:pt>
                <c:pt idx="1">
                  <c:v>680.000000</c:v>
                </c:pt>
                <c:pt idx="2">
                  <c:v>640.000000</c:v>
                </c:pt>
                <c:pt idx="3">
                  <c:v>573.333333</c:v>
                </c:pt>
                <c:pt idx="4">
                  <c:v>480.000000</c:v>
                </c:pt>
                <c:pt idx="5">
                  <c:v>413.333333</c:v>
                </c:pt>
                <c:pt idx="6">
                  <c:v>333.333333</c:v>
                </c:pt>
              </c:numCache>
            </c:numRef>
          </c:yVal>
          <c:smooth val="0"/>
        </c:ser>
        <c:ser>
          <c:idx val="1"/>
          <c:order val="1"/>
          <c:tx>
            <c:v>Новая 3</c:v>
          </c:tx>
          <c:spPr>
            <a:solidFill>
              <a:srgbClr val="FFFFFF"/>
            </a:solidFill>
            <a:ln w="12700" cap="flat">
              <a:noFill/>
              <a:prstDash val="solid"/>
              <a:miter lim="400000"/>
            </a:ln>
            <a:effectLst/>
          </c:spPr>
          <c:marker>
            <c:symbol val="none"/>
            <c:size val="8"/>
            <c:spPr>
              <a:solidFill>
                <a:srgbClr val="FFFFFF"/>
              </a:solidFill>
              <a:ln w="25400" cap="flat">
                <a:solidFill>
                  <a:schemeClr val="accent3"/>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trendline>
            <c:spPr>
              <a:noFill/>
              <a:ln w="9525" cap="flat">
                <a:solidFill>
                  <a:srgbClr val="000000"/>
                </a:solidFill>
                <a:prstDash val="solid"/>
                <a:miter lim="400000"/>
              </a:ln>
              <a:effectLst/>
            </c:spPr>
            <c:trendlineType val="poly"/>
            <c:order val="2"/>
            <c:forward val="0"/>
            <c:backward val="0"/>
            <c:dispRSqr val="0"/>
            <c:dispEq val="0"/>
          </c:trendline>
          <c:xVal>
            <c:numRef>
              <c:f>'Основной эксперимент - Результ1'!$A$2:$A$4</c:f>
              <c:numCache>
                <c:ptCount val="3"/>
                <c:pt idx="0">
                  <c:v>0.000000</c:v>
                </c:pt>
                <c:pt idx="1">
                  <c:v>1.500000</c:v>
                </c:pt>
                <c:pt idx="2">
                  <c:v>0.750000</c:v>
                </c:pt>
              </c:numCache>
            </c:numRef>
          </c:xVal>
          <c:yVal>
            <c:numRef>
              <c:f>'Основной эксперимент - Результ1'!$C$2:$C$4</c:f>
              <c:numCache>
                <c:ptCount val="3"/>
                <c:pt idx="0">
                  <c:v>75.104000</c:v>
                </c:pt>
                <c:pt idx="1">
                  <c:v>860.549000</c:v>
                </c:pt>
                <c:pt idx="2">
                  <c:v>467.826500</c:v>
                </c:pt>
              </c:numCache>
            </c:numRef>
          </c:yVal>
          <c:smooth val="0"/>
        </c:ser>
        <c:axId val="2094734552"/>
        <c:axId val="2094734553"/>
      </c:scatterChart>
      <c:valAx>
        <c:axId val="2094734552"/>
        <c:scaling>
          <c:orientation val="minMax"/>
          <c:max val="1.5"/>
        </c:scaling>
        <c:delete val="0"/>
        <c:axPos val="b"/>
        <c:majorGridlines>
          <c:spPr>
            <a:ln w="12700" cap="flat">
              <a:solidFill>
                <a:srgbClr val="000000"/>
              </a:solidFill>
              <a:prstDash val="solid"/>
              <a:miter lim="400000"/>
            </a:ln>
          </c:spPr>
        </c:majorGridlines>
        <c:minorGridlines>
          <c:spPr>
            <a:ln w="3175" cap="flat">
              <a:solidFill>
                <a:srgbClr val="000000"/>
              </a:solidFill>
              <a:prstDash val="solid"/>
              <a:miter lim="400000"/>
            </a:ln>
          </c:spPr>
        </c:minorGridlines>
        <c:title>
          <c:tx>
            <c:rich>
              <a:bodyPr rot="0"/>
              <a:lstStyle/>
              <a:p>
                <a:pPr>
                  <a:defRPr b="0" i="0" strike="noStrike" sz="1000" u="none">
                    <a:solidFill>
                      <a:srgbClr val="000000"/>
                    </a:solidFill>
                    <a:latin typeface="Times New Roman"/>
                  </a:defRPr>
                </a:pPr>
                <a:r>
                  <a:rPr b="0" i="0" strike="noStrike" sz="1000" u="none">
                    <a:solidFill>
                      <a:srgbClr val="000000"/>
                    </a:solidFill>
                    <a:latin typeface="Times New Roman"/>
                  </a:rPr>
                  <a:t>I, А</a:t>
                </a:r>
              </a:p>
            </c:rich>
          </c:tx>
          <c:layout/>
          <c:overlay val="1"/>
        </c:title>
        <c:numFmt formatCode="General" sourceLinked="1"/>
        <c:majorTickMark val="in"/>
        <c:minorTickMark val="in"/>
        <c:tickLblPos val="nextTo"/>
        <c:spPr>
          <a:ln w="12700" cap="flat">
            <a:solidFill>
              <a:srgbClr val="000000"/>
            </a:solidFill>
            <a:prstDash val="solid"/>
            <a:miter lim="400000"/>
          </a:ln>
        </c:spPr>
        <c:txPr>
          <a:bodyPr rot="0"/>
          <a:lstStyle/>
          <a:p>
            <a:pPr>
              <a:defRPr b="0" i="0" strike="noStrike" sz="1000" u="none">
                <a:solidFill>
                  <a:srgbClr val="000000"/>
                </a:solidFill>
                <a:latin typeface="Times New Roman"/>
              </a:defRPr>
            </a:pPr>
          </a:p>
        </c:txPr>
        <c:crossAx val="2094734553"/>
        <c:crosses val="autoZero"/>
        <c:crossBetween val="between"/>
        <c:majorUnit val="0.25"/>
        <c:minorUnit val="0.03125"/>
      </c:valAx>
      <c:valAx>
        <c:axId val="2094734553"/>
        <c:scaling>
          <c:orientation val="minMax"/>
        </c:scaling>
        <c:delete val="0"/>
        <c:axPos val="l"/>
        <c:majorGridlines>
          <c:spPr>
            <a:ln w="12700" cap="flat">
              <a:solidFill>
                <a:srgbClr val="000000"/>
              </a:solidFill>
              <a:prstDash val="solid"/>
              <a:miter lim="400000"/>
            </a:ln>
          </c:spPr>
        </c:majorGridlines>
        <c:minorGridlines>
          <c:spPr>
            <a:ln w="3175" cap="flat">
              <a:solidFill>
                <a:srgbClr val="000000"/>
              </a:solidFill>
              <a:prstDash val="solid"/>
              <a:miter lim="400000"/>
            </a:ln>
          </c:spPr>
        </c:minorGridlines>
        <c:title>
          <c:tx>
            <c:rich>
              <a:bodyPr rot="-5400000"/>
              <a:lstStyle/>
              <a:p>
                <a:pPr>
                  <a:defRPr b="0" i="0" strike="noStrike" sz="1000" u="none">
                    <a:solidFill>
                      <a:srgbClr val="000000"/>
                    </a:solidFill>
                    <a:latin typeface="Times New Roman"/>
                  </a:defRPr>
                </a:pPr>
                <a:r>
                  <a:rPr b="0" i="0" strike="noStrike" sz="1000" u="none">
                    <a:solidFill>
                      <a:srgbClr val="000000"/>
                    </a:solidFill>
                    <a:latin typeface="Times New Roman"/>
                  </a:rPr>
                  <a:t>B, мТл</a:t>
                </a:r>
              </a:p>
            </c:rich>
          </c:tx>
          <c:layout/>
          <c:overlay val="1"/>
        </c:title>
        <c:numFmt formatCode="General" sourceLinked="1"/>
        <c:majorTickMark val="in"/>
        <c:minorTickMark val="in"/>
        <c:tickLblPos val="nextTo"/>
        <c:spPr>
          <a:ln w="12700" cap="flat">
            <a:solidFill>
              <a:srgbClr val="000000"/>
            </a:solidFill>
            <a:prstDash val="solid"/>
            <a:miter lim="400000"/>
          </a:ln>
        </c:spPr>
        <c:txPr>
          <a:bodyPr rot="0"/>
          <a:lstStyle/>
          <a:p>
            <a:pPr>
              <a:defRPr b="0" i="0" strike="noStrike" sz="1000" u="none">
                <a:solidFill>
                  <a:srgbClr val="000000"/>
                </a:solidFill>
                <a:latin typeface="Times New Roman"/>
              </a:defRPr>
            </a:pPr>
          </a:p>
        </c:txPr>
        <c:crossAx val="2094734552"/>
        <c:crosses val="autoZero"/>
        <c:crossBetween val="between"/>
        <c:majorUnit val="225"/>
        <c:minorUnit val="37.5"/>
      </c:valAx>
      <c:spPr>
        <a:noFill/>
        <a:ln w="12700" cap="flat">
          <a:noFill/>
          <a:miter lim="400000"/>
        </a:ln>
        <a:effectLst/>
      </c:spPr>
    </c:plotArea>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970" u="none">
                <a:solidFill>
                  <a:srgbClr val="000000"/>
                </a:solidFill>
                <a:latin typeface="Helvetica Neue"/>
              </a:defRPr>
            </a:pPr>
            <a:r>
              <a:rPr b="0" i="0" strike="noStrike" sz="970" u="none">
                <a:solidFill>
                  <a:srgbClr val="000000"/>
                </a:solidFill>
                <a:latin typeface="Helvetica Neue"/>
              </a:rPr>
              <a:t>Title</a:t>
            </a:r>
          </a:p>
        </c:rich>
      </c:tx>
      <c:layout>
        <c:manualLayout>
          <c:xMode val="edge"/>
          <c:yMode val="edge"/>
          <c:x val="0.488315"/>
          <c:y val="0"/>
          <c:w val="0.0233702"/>
          <c:h val="0.0384572"/>
        </c:manualLayout>
      </c:layout>
      <c:overlay val="1"/>
      <c:spPr>
        <a:noFill/>
        <a:effectLst/>
      </c:spPr>
    </c:title>
    <c:autoTitleDeleted val="1"/>
    <c:plotArea>
      <c:layout>
        <c:manualLayout>
          <c:layoutTarget val="inner"/>
          <c:xMode val="edge"/>
          <c:yMode val="edge"/>
          <c:x val="0.0635116"/>
          <c:y val="0.0384572"/>
          <c:w val="0.927141"/>
          <c:h val="0.897174"/>
        </c:manualLayout>
      </c:layout>
      <c:scatterChart>
        <c:scatterStyle val="lineMarker"/>
        <c:varyColors val="0"/>
        <c:ser>
          <c:idx val="0"/>
          <c:order val="0"/>
          <c:tx>
            <c:strRef>
              <c:f>'Эксперимент 2 - 1'!$D$3</c:f>
              <c:strCache/>
            </c:strRef>
          </c:tx>
          <c:spPr>
            <a:solidFill>
              <a:srgbClr val="000000"/>
            </a:solidFill>
            <a:ln w="12700" cap="flat">
              <a:noFill/>
              <a:prstDash val="solid"/>
              <a:miter lim="400000"/>
            </a:ln>
            <a:effectLst/>
          </c:spPr>
          <c:marker>
            <c:symbol val="circle"/>
            <c:size val="8"/>
            <c:spPr>
              <a:solidFill>
                <a:srgbClr val="000000"/>
              </a:solidFill>
              <a:ln w="25400" cap="flat">
                <a:noFill/>
                <a:miter lim="400000"/>
              </a:ln>
              <a:effectLst/>
            </c:spPr>
          </c:marker>
          <c:dLbls>
            <c:numFmt formatCode="#,##0" sourceLinked="1"/>
            <c:txPr>
              <a:bodyPr/>
              <a:lstStyle/>
              <a:p>
                <a:pPr>
                  <a:defRPr b="0" i="0" strike="noStrike" sz="970" u="none">
                    <a:solidFill>
                      <a:srgbClr val="000000"/>
                    </a:solidFill>
                    <a:latin typeface="Helvetica Neue"/>
                  </a:defRPr>
                </a:pPr>
              </a:p>
            </c:txPr>
            <c:dLblPos val="b"/>
            <c:showLegendKey val="0"/>
            <c:showVal val="0"/>
            <c:showCatName val="0"/>
            <c:showSerName val="0"/>
            <c:showPercent val="0"/>
            <c:showBubbleSize val="0"/>
            <c:showLeaderLines val="0"/>
          </c:dLbls>
          <c:trendline>
            <c:spPr>
              <a:noFill/>
              <a:ln w="12700" cap="flat">
                <a:solidFill>
                  <a:srgbClr val="000000"/>
                </a:solidFill>
                <a:prstDash val="solid"/>
                <a:miter lim="400000"/>
              </a:ln>
              <a:effectLst/>
            </c:spPr>
            <c:trendlineType val="linear"/>
            <c:forward val="0"/>
            <c:backward val="0"/>
            <c:dispRSqr val="0"/>
            <c:dispEq val="1"/>
          </c:trendline>
          <c:errBars>
            <c:errDir val="x"/>
            <c:errBarType val="both"/>
            <c:errValType val="cust"/>
            <c:noEndCap val="0"/>
            <c:plus>
              <c:numRef>
                <c:f>'Эксперимент 2 - 1'!$E$6:$E$14</c:f>
                <c:numCache>
                  <c:ptCount val="9"/>
                  <c:pt idx="0">
                    <c:v>9.490651</c:v>
                  </c:pt>
                  <c:pt idx="1">
                    <c:v>9.729165</c:v>
                  </c:pt>
                  <c:pt idx="2">
                    <c:v>10.245542</c:v>
                  </c:pt>
                  <c:pt idx="3">
                    <c:v>11.349001</c:v>
                  </c:pt>
                  <c:pt idx="4">
                    <c:v>11.984371</c:v>
                  </c:pt>
                  <c:pt idx="5">
                    <c:v>13.005768</c:v>
                  </c:pt>
                  <c:pt idx="6">
                    <c:v>14.047878</c:v>
                  </c:pt>
                  <c:pt idx="7">
                    <c:v>14.779385</c:v>
                  </c:pt>
                  <c:pt idx="8">
                    <c:v>nan</c:v>
                  </c:pt>
                </c:numCache>
              </c:numRef>
            </c:plus>
            <c:minus>
              <c:numRef>
                <c:f>'Эксперимент 2 - 1'!$E$6:$E$14</c:f>
                <c:numCache>
                  <c:ptCount val="9"/>
                  <c:pt idx="0">
                    <c:v>9.490651</c:v>
                  </c:pt>
                  <c:pt idx="1">
                    <c:v>9.729165</c:v>
                  </c:pt>
                  <c:pt idx="2">
                    <c:v>10.245542</c:v>
                  </c:pt>
                  <c:pt idx="3">
                    <c:v>11.349001</c:v>
                  </c:pt>
                  <c:pt idx="4">
                    <c:v>11.984371</c:v>
                  </c:pt>
                  <c:pt idx="5">
                    <c:v>13.005768</c:v>
                  </c:pt>
                  <c:pt idx="6">
                    <c:v>14.047878</c:v>
                  </c:pt>
                  <c:pt idx="7">
                    <c:v>14.779385</c:v>
                  </c:pt>
                  <c:pt idx="8">
                    <c:v>nan</c:v>
                  </c:pt>
                </c:numCache>
              </c:numRef>
            </c:minus>
            <c:val val="0"/>
            <c:spPr>
              <a:noFill/>
              <a:ln w="12700" cap="flat">
                <a:solidFill>
                  <a:srgbClr val="000000"/>
                </a:solidFill>
                <a:prstDash val="solid"/>
                <a:miter lim="400000"/>
              </a:ln>
              <a:effectLst/>
            </c:spPr>
          </c:errBars>
          <c:errBars>
            <c:errDir val="y"/>
            <c:errBarType val="both"/>
            <c:errValType val="fixedVal"/>
            <c:noEndCap val="0"/>
            <c:val val="0.005"/>
            <c:spPr>
              <a:noFill/>
              <a:ln w="12700" cap="flat">
                <a:solidFill>
                  <a:srgbClr val="000000"/>
                </a:solidFill>
                <a:prstDash val="solid"/>
                <a:miter lim="400000"/>
              </a:ln>
              <a:effectLst/>
            </c:spPr>
          </c:errBars>
          <c:xVal>
            <c:numRef>
              <c:f>'Эксперимент 2 - 1'!$D$5:$D$13</c:f>
              <c:numCache>
                <c:ptCount val="9"/>
                <c:pt idx="0">
                  <c:v>75.104000</c:v>
                </c:pt>
                <c:pt idx="1">
                  <c:v>180.230000</c:v>
                </c:pt>
                <c:pt idx="2">
                  <c:v>232.793000</c:v>
                </c:pt>
                <c:pt idx="3">
                  <c:v>311.637500</c:v>
                </c:pt>
                <c:pt idx="4">
                  <c:v>432.532400</c:v>
                </c:pt>
                <c:pt idx="5">
                  <c:v>490.351700</c:v>
                </c:pt>
                <c:pt idx="6">
                  <c:v>574.452500</c:v>
                </c:pt>
                <c:pt idx="7">
                  <c:v>653.297000</c:v>
                </c:pt>
                <c:pt idx="8">
                  <c:v>705.860000</c:v>
                </c:pt>
              </c:numCache>
            </c:numRef>
          </c:xVal>
          <c:yVal>
            <c:numRef>
              <c:f>'Эксперимент 2 - 1'!$C$5:$C$13</c:f>
              <c:numCache>
                <c:ptCount val="9"/>
                <c:pt idx="0">
                  <c:v>0.000000</c:v>
                </c:pt>
                <c:pt idx="1">
                  <c:v>0.007000</c:v>
                </c:pt>
                <c:pt idx="2">
                  <c:v>0.011000</c:v>
                </c:pt>
                <c:pt idx="3">
                  <c:v>0.017000</c:v>
                </c:pt>
                <c:pt idx="4">
                  <c:v>0.026000</c:v>
                </c:pt>
                <c:pt idx="5">
                  <c:v>0.031000</c:v>
                </c:pt>
                <c:pt idx="6">
                  <c:v>0.036000</c:v>
                </c:pt>
                <c:pt idx="7">
                  <c:v>0.041000</c:v>
                </c:pt>
                <c:pt idx="8">
                  <c:v>0.044000</c:v>
                </c:pt>
              </c:numCache>
            </c:numRef>
          </c:yVal>
          <c:smooth val="0"/>
        </c:ser>
        <c:ser>
          <c:idx val="1"/>
          <c:order val="1"/>
          <c:tx>
            <c:strRef>
              <c:f>'Эксперимент 2 - 2'!$D$3</c:f>
              <c:strCache/>
            </c:strRef>
          </c:tx>
          <c:spPr>
            <a:solidFill>
              <a:srgbClr val="000000"/>
            </a:solidFill>
            <a:ln w="12700" cap="flat">
              <a:noFill/>
              <a:prstDash val="solid"/>
              <a:miter lim="400000"/>
            </a:ln>
            <a:effectLst/>
          </c:spPr>
          <c:marker>
            <c:symbol val="square"/>
            <c:size val="8"/>
            <c:spPr>
              <a:solidFill>
                <a:srgbClr val="000000"/>
              </a:solidFill>
              <a:ln w="25400" cap="flat">
                <a:noFill/>
                <a:miter lim="400000"/>
              </a:ln>
              <a:effectLst/>
            </c:spPr>
          </c:marker>
          <c:dLbls>
            <c:numFmt formatCode="#,##0" sourceLinked="1"/>
            <c:txPr>
              <a:bodyPr/>
              <a:lstStyle/>
              <a:p>
                <a:pPr>
                  <a:defRPr b="0" i="0" strike="noStrike" sz="970" u="none">
                    <a:solidFill>
                      <a:srgbClr val="000000"/>
                    </a:solidFill>
                    <a:latin typeface="Helvetica Neue"/>
                  </a:defRPr>
                </a:pPr>
              </a:p>
            </c:txPr>
            <c:dLblPos val="b"/>
            <c:showLegendKey val="0"/>
            <c:showVal val="0"/>
            <c:showCatName val="0"/>
            <c:showSerName val="0"/>
            <c:showPercent val="0"/>
            <c:showBubbleSize val="0"/>
            <c:showLeaderLines val="0"/>
          </c:dLbls>
          <c:trendline>
            <c:spPr>
              <a:noFill/>
              <a:ln w="12700" cap="flat">
                <a:solidFill>
                  <a:srgbClr val="000000"/>
                </a:solidFill>
                <a:prstDash val="solid"/>
                <a:miter lim="400000"/>
              </a:ln>
              <a:effectLst/>
            </c:spPr>
            <c:trendlineType val="linear"/>
            <c:forward val="0"/>
            <c:backward val="0"/>
            <c:dispRSqr val="0"/>
            <c:dispEq val="1"/>
          </c:trendline>
          <c:errBars>
            <c:errDir val="x"/>
            <c:errBarType val="both"/>
            <c:errValType val="cust"/>
            <c:noEndCap val="0"/>
            <c:plus>
              <c:numRef>
                <c:f>'Эксперимент 2 - 3'!$E$6:$E$14</c:f>
                <c:numCache>
                  <c:ptCount val="9"/>
                  <c:pt idx="0">
                    <c:v>9.531139</c:v>
                  </c:pt>
                  <c:pt idx="1">
                    <c:v>9.849049</c:v>
                  </c:pt>
                  <c:pt idx="2">
                    <c:v>10.286178</c:v>
                  </c:pt>
                  <c:pt idx="3">
                    <c:v>11.029436</c:v>
                  </c:pt>
                  <c:pt idx="4">
                    <c:v>11.805161</c:v>
                  </c:pt>
                  <c:pt idx="5">
                    <c:v>12.806503</c:v>
                  </c:pt>
                  <c:pt idx="6">
                    <c:v>13.413875</c:v>
                  </c:pt>
                  <c:pt idx="7">
                    <c:v>14.557179</c:v>
                  </c:pt>
                  <c:pt idx="8">
                    <c:v>nan</c:v>
                  </c:pt>
                </c:numCache>
              </c:numRef>
            </c:plus>
            <c:minus>
              <c:numRef>
                <c:f>'Эксперимент 2 - 3'!$E$6:$E$14</c:f>
                <c:numCache>
                  <c:ptCount val="9"/>
                  <c:pt idx="0">
                    <c:v>9.531139</c:v>
                  </c:pt>
                  <c:pt idx="1">
                    <c:v>9.849049</c:v>
                  </c:pt>
                  <c:pt idx="2">
                    <c:v>10.286178</c:v>
                  </c:pt>
                  <c:pt idx="3">
                    <c:v>11.029436</c:v>
                  </c:pt>
                  <c:pt idx="4">
                    <c:v>11.805161</c:v>
                  </c:pt>
                  <c:pt idx="5">
                    <c:v>12.806503</c:v>
                  </c:pt>
                  <c:pt idx="6">
                    <c:v>13.413875</c:v>
                  </c:pt>
                  <c:pt idx="7">
                    <c:v>14.557179</c:v>
                  </c:pt>
                  <c:pt idx="8">
                    <c:v>nan</c:v>
                  </c:pt>
                </c:numCache>
              </c:numRef>
            </c:minus>
            <c:val val="0"/>
            <c:spPr>
              <a:noFill/>
              <a:ln w="12700" cap="flat">
                <a:solidFill>
                  <a:srgbClr val="000000"/>
                </a:solidFill>
                <a:prstDash val="solid"/>
                <a:miter lim="400000"/>
              </a:ln>
              <a:effectLst/>
            </c:spPr>
          </c:errBars>
          <c:errBars>
            <c:errDir val="y"/>
            <c:errBarType val="both"/>
            <c:errValType val="fixedVal"/>
            <c:noEndCap val="0"/>
            <c:val val="0.005"/>
            <c:spPr>
              <a:noFill/>
              <a:ln w="12700" cap="flat">
                <a:solidFill>
                  <a:srgbClr val="000000"/>
                </a:solidFill>
                <a:prstDash val="solid"/>
                <a:miter lim="400000"/>
              </a:ln>
              <a:effectLst/>
            </c:spPr>
          </c:errBars>
          <c:xVal>
            <c:numRef>
              <c:f>'Эксперимент 2 - 2'!$D$5:$D$13</c:f>
              <c:numCache>
                <c:ptCount val="9"/>
                <c:pt idx="0">
                  <c:v>75.104000</c:v>
                </c:pt>
                <c:pt idx="1">
                  <c:v>190.742600</c:v>
                </c:pt>
                <c:pt idx="2">
                  <c:v>253.818200</c:v>
                </c:pt>
                <c:pt idx="3">
                  <c:v>316.893800</c:v>
                </c:pt>
                <c:pt idx="4">
                  <c:v>400.994600</c:v>
                </c:pt>
                <c:pt idx="5">
                  <c:v>474.582800</c:v>
                </c:pt>
                <c:pt idx="6">
                  <c:v>558.683600</c:v>
                </c:pt>
                <c:pt idx="7">
                  <c:v>605.990300</c:v>
                </c:pt>
                <c:pt idx="8">
                  <c:v>690.091100</c:v>
                </c:pt>
              </c:numCache>
            </c:numRef>
          </c:xVal>
          <c:yVal>
            <c:numRef>
              <c:f>'Эксперимент 2 - 2'!$C$5:$C$13</c:f>
              <c:numCache>
                <c:ptCount val="9"/>
                <c:pt idx="0">
                  <c:v>0.000000</c:v>
                </c:pt>
                <c:pt idx="1">
                  <c:v>0.011000</c:v>
                </c:pt>
                <c:pt idx="2">
                  <c:v>0.018000</c:v>
                </c:pt>
                <c:pt idx="3">
                  <c:v>0.024000</c:v>
                </c:pt>
                <c:pt idx="4">
                  <c:v>0.033000</c:v>
                </c:pt>
                <c:pt idx="5">
                  <c:v>0.040000</c:v>
                </c:pt>
                <c:pt idx="6">
                  <c:v>0.048000</c:v>
                </c:pt>
                <c:pt idx="7">
                  <c:v>0.052000</c:v>
                </c:pt>
                <c:pt idx="8">
                  <c:v>0.059000</c:v>
                </c:pt>
              </c:numCache>
            </c:numRef>
          </c:yVal>
          <c:smooth val="0"/>
        </c:ser>
        <c:ser>
          <c:idx val="2"/>
          <c:order val="2"/>
          <c:tx>
            <c:strRef>
              <c:f>'Эксперимент 2 - 3'!$D$3</c:f>
              <c:strCache/>
            </c:strRef>
          </c:tx>
          <c:spPr>
            <a:solidFill>
              <a:srgbClr val="000000"/>
            </a:solidFill>
            <a:ln w="12700" cap="flat">
              <a:noFill/>
              <a:prstDash val="solid"/>
              <a:miter lim="400000"/>
            </a:ln>
            <a:effectLst/>
          </c:spPr>
          <c:marker>
            <c:symbol val="diamond"/>
            <c:size val="8"/>
            <c:spPr>
              <a:solidFill>
                <a:srgbClr val="000000"/>
              </a:solidFill>
              <a:ln w="25400" cap="flat">
                <a:noFill/>
                <a:miter lim="400000"/>
              </a:ln>
              <a:effectLst/>
            </c:spPr>
          </c:marker>
          <c:dLbls>
            <c:numFmt formatCode="#,##0" sourceLinked="1"/>
            <c:txPr>
              <a:bodyPr/>
              <a:lstStyle/>
              <a:p>
                <a:pPr>
                  <a:defRPr b="0" i="0" strike="noStrike" sz="970" u="none">
                    <a:solidFill>
                      <a:srgbClr val="000000"/>
                    </a:solidFill>
                    <a:latin typeface="Helvetica Neue"/>
                  </a:defRPr>
                </a:pPr>
              </a:p>
            </c:txPr>
            <c:dLblPos val="b"/>
            <c:showLegendKey val="0"/>
            <c:showVal val="0"/>
            <c:showCatName val="0"/>
            <c:showSerName val="0"/>
            <c:showPercent val="0"/>
            <c:showBubbleSize val="0"/>
            <c:showLeaderLines val="0"/>
          </c:dLbls>
          <c:trendline>
            <c:spPr>
              <a:noFill/>
              <a:ln w="12700" cap="flat">
                <a:solidFill>
                  <a:srgbClr val="000000"/>
                </a:solidFill>
                <a:prstDash val="solid"/>
                <a:miter lim="400000"/>
              </a:ln>
              <a:effectLst/>
            </c:spPr>
            <c:trendlineType val="linear"/>
            <c:forward val="0"/>
            <c:backward val="0"/>
            <c:dispRSqr val="0"/>
            <c:dispEq val="1"/>
          </c:trendline>
          <c:errBars>
            <c:errDir val="x"/>
            <c:errBarType val="both"/>
            <c:errValType val="cust"/>
            <c:noEndCap val="0"/>
            <c:plus>
              <c:numRef>
                <c:f>'Эксперимент 2 - 5'!$E$6:$E$14</c:f>
                <c:numCache>
                  <c:ptCount val="9"/>
                  <c:pt idx="0">
                    <c:v>9.510434</c:v>
                  </c:pt>
                  <c:pt idx="1">
                    <c:v>10.017497</c:v>
                  </c:pt>
                  <c:pt idx="2">
                    <c:v>10.369624</c:v>
                  </c:pt>
                  <c:pt idx="3">
                    <c:v>10.731134</c:v>
                  </c:pt>
                  <c:pt idx="4">
                    <c:v>11.864426</c:v>
                  </c:pt>
                  <c:pt idx="5">
                    <c:v>12.292168</c:v>
                  </c:pt>
                  <c:pt idx="6">
                    <c:v>12.938979</c:v>
                  </c:pt>
                  <c:pt idx="7">
                    <c:v>14.119812</c:v>
                  </c:pt>
                  <c:pt idx="8">
                    <c:v>nan</c:v>
                  </c:pt>
                </c:numCache>
              </c:numRef>
            </c:plus>
            <c:minus>
              <c:numRef>
                <c:f>'Эксперимент 2 - 5'!$E$6:$E$14</c:f>
                <c:numCache>
                  <c:ptCount val="9"/>
                  <c:pt idx="0">
                    <c:v>9.510434</c:v>
                  </c:pt>
                  <c:pt idx="1">
                    <c:v>10.017497</c:v>
                  </c:pt>
                  <c:pt idx="2">
                    <c:v>10.369624</c:v>
                  </c:pt>
                  <c:pt idx="3">
                    <c:v>10.731134</c:v>
                  </c:pt>
                  <c:pt idx="4">
                    <c:v>11.864426</c:v>
                  </c:pt>
                  <c:pt idx="5">
                    <c:v>12.292168</c:v>
                  </c:pt>
                  <c:pt idx="6">
                    <c:v>12.938979</c:v>
                  </c:pt>
                  <c:pt idx="7">
                    <c:v>14.119812</c:v>
                  </c:pt>
                  <c:pt idx="8">
                    <c:v>nan</c:v>
                  </c:pt>
                </c:numCache>
              </c:numRef>
            </c:minus>
            <c:val val="0"/>
            <c:spPr>
              <a:noFill/>
              <a:ln w="12700" cap="flat">
                <a:solidFill>
                  <a:srgbClr val="000000"/>
                </a:solidFill>
                <a:prstDash val="solid"/>
                <a:miter lim="400000"/>
              </a:ln>
              <a:effectLst/>
            </c:spPr>
          </c:errBars>
          <c:errBars>
            <c:errDir val="y"/>
            <c:errBarType val="both"/>
            <c:errValType val="fixedVal"/>
            <c:noEndCap val="0"/>
            <c:val val="0.005"/>
            <c:spPr>
              <a:noFill/>
              <a:ln w="12700" cap="flat">
                <a:solidFill>
                  <a:srgbClr val="000000"/>
                </a:solidFill>
                <a:prstDash val="solid"/>
                <a:miter lim="400000"/>
              </a:ln>
              <a:effectLst/>
            </c:spPr>
          </c:errBars>
          <c:xVal>
            <c:numRef>
              <c:f>'Эксперимент 2 - 3'!$D$5:$D$13</c:f>
              <c:numCache>
                <c:ptCount val="9"/>
                <c:pt idx="0">
                  <c:v>75.104000</c:v>
                </c:pt>
                <c:pt idx="1">
                  <c:v>185.486300</c:v>
                </c:pt>
                <c:pt idx="2">
                  <c:v>280.099700</c:v>
                </c:pt>
                <c:pt idx="3">
                  <c:v>327.406400</c:v>
                </c:pt>
                <c:pt idx="4">
                  <c:v>369.456800</c:v>
                </c:pt>
                <c:pt idx="5">
                  <c:v>479.839100</c:v>
                </c:pt>
                <c:pt idx="6">
                  <c:v>516.633200</c:v>
                </c:pt>
                <c:pt idx="7">
                  <c:v>569.196200</c:v>
                </c:pt>
                <c:pt idx="8">
                  <c:v>658.553300</c:v>
                </c:pt>
              </c:numCache>
            </c:numRef>
          </c:xVal>
          <c:yVal>
            <c:numRef>
              <c:f>'Эксперимент 2 - 3'!$C$5:$C$13</c:f>
              <c:numCache>
                <c:ptCount val="9"/>
                <c:pt idx="0">
                  <c:v>0.000000</c:v>
                </c:pt>
                <c:pt idx="1">
                  <c:v>0.013000</c:v>
                </c:pt>
                <c:pt idx="2">
                  <c:v>0.025000</c:v>
                </c:pt>
                <c:pt idx="3">
                  <c:v>0.033000</c:v>
                </c:pt>
                <c:pt idx="4">
                  <c:v>0.037000</c:v>
                </c:pt>
                <c:pt idx="5">
                  <c:v>0.050000</c:v>
                </c:pt>
                <c:pt idx="6">
                  <c:v>0.055000</c:v>
                </c:pt>
                <c:pt idx="7">
                  <c:v>0.060000</c:v>
                </c:pt>
                <c:pt idx="8">
                  <c:v>0.071000</c:v>
                </c:pt>
              </c:numCache>
            </c:numRef>
          </c:yVal>
          <c:smooth val="0"/>
        </c:ser>
        <c:ser>
          <c:idx val="3"/>
          <c:order val="3"/>
          <c:tx>
            <c:strRef>
              <c:f>'Эксперимент 2 - 4'!$D$3</c:f>
              <c:strCache/>
            </c:strRef>
          </c:tx>
          <c:spPr>
            <a:solidFill>
              <a:srgbClr val="000000"/>
            </a:solidFill>
            <a:ln w="12700" cap="flat">
              <a:noFill/>
              <a:prstDash val="solid"/>
              <a:miter lim="400000"/>
            </a:ln>
            <a:effectLst/>
          </c:spPr>
          <c:marker>
            <c:symbol val="x"/>
            <c:size val="10"/>
            <c:spPr>
              <a:solidFill>
                <a:srgbClr val="000000"/>
              </a:solidFill>
              <a:ln w="25400" cap="flat">
                <a:solidFill>
                  <a:srgbClr val="000000"/>
                </a:solidFill>
                <a:prstDash val="solid"/>
                <a:miter lim="400000"/>
              </a:ln>
              <a:effectLst/>
            </c:spPr>
          </c:marker>
          <c:dLbls>
            <c:numFmt formatCode="#,##0" sourceLinked="1"/>
            <c:txPr>
              <a:bodyPr/>
              <a:lstStyle/>
              <a:p>
                <a:pPr>
                  <a:defRPr b="0" i="0" strike="noStrike" sz="970" u="none">
                    <a:solidFill>
                      <a:srgbClr val="000000"/>
                    </a:solidFill>
                    <a:latin typeface="Helvetica Neue"/>
                  </a:defRPr>
                </a:pPr>
              </a:p>
            </c:txPr>
            <c:dLblPos val="b"/>
            <c:showLegendKey val="0"/>
            <c:showVal val="0"/>
            <c:showCatName val="0"/>
            <c:showSerName val="0"/>
            <c:showPercent val="0"/>
            <c:showBubbleSize val="0"/>
            <c:showLeaderLines val="0"/>
          </c:dLbls>
          <c:trendline>
            <c:spPr>
              <a:noFill/>
              <a:ln w="12700" cap="flat">
                <a:solidFill>
                  <a:srgbClr val="000000"/>
                </a:solidFill>
                <a:prstDash val="solid"/>
                <a:miter lim="400000"/>
              </a:ln>
              <a:effectLst/>
            </c:spPr>
            <c:trendlineType val="linear"/>
            <c:forward val="0"/>
            <c:backward val="0"/>
            <c:dispRSqr val="0"/>
            <c:dispEq val="1"/>
          </c:trendline>
          <c:errBars>
            <c:errDir val="x"/>
            <c:errBarType val="both"/>
            <c:errValType val="cust"/>
            <c:noEndCap val="0"/>
            <c:plus>
              <c:numLit>
                <c:ptCount val="9"/>
                <c:pt idx="0">
                  <c:v>9.471794</c:v>
                </c:pt>
                <c:pt idx="1">
                  <c:v>9.849049</c:v>
                </c:pt>
                <c:pt idx="2">
                  <c:v>10.286178</c:v>
                </c:pt>
                <c:pt idx="3">
                  <c:v>10.779298</c:v>
                </c:pt>
                <c:pt idx="4">
                  <c:v>11.688084</c:v>
                </c:pt>
                <c:pt idx="5">
                  <c:v>12.292168</c:v>
                </c:pt>
                <c:pt idx="6">
                  <c:v>13.072917</c:v>
                </c:pt>
                <c:pt idx="7">
                  <c:v>14.192027</c:v>
                </c:pt>
                <c:pt idx="8">
                  <c:v>nan</c:v>
                </c:pt>
              </c:numLit>
            </c:plus>
            <c:minus>
              <c:numLit>
                <c:ptCount val="9"/>
                <c:pt idx="0">
                  <c:v>9.471794</c:v>
                </c:pt>
                <c:pt idx="1">
                  <c:v>9.849049</c:v>
                </c:pt>
                <c:pt idx="2">
                  <c:v>10.286178</c:v>
                </c:pt>
                <c:pt idx="3">
                  <c:v>10.779298</c:v>
                </c:pt>
                <c:pt idx="4">
                  <c:v>11.688084</c:v>
                </c:pt>
                <c:pt idx="5">
                  <c:v>12.292168</c:v>
                </c:pt>
                <c:pt idx="6">
                  <c:v>13.072917</c:v>
                </c:pt>
                <c:pt idx="7">
                  <c:v>14.192027</c:v>
                </c:pt>
                <c:pt idx="8">
                  <c:v>nan</c:v>
                </c:pt>
              </c:numLit>
            </c:minus>
            <c:val val="0"/>
            <c:spPr>
              <a:noFill/>
              <a:ln w="12700" cap="flat">
                <a:solidFill>
                  <a:srgbClr val="000000"/>
                </a:solidFill>
                <a:prstDash val="solid"/>
                <a:miter lim="400000"/>
              </a:ln>
              <a:effectLst/>
            </c:spPr>
          </c:errBars>
          <c:errBars>
            <c:errDir val="y"/>
            <c:errBarType val="both"/>
            <c:errValType val="fixedVal"/>
            <c:noEndCap val="0"/>
            <c:val val="0.005"/>
            <c:spPr>
              <a:noFill/>
              <a:ln w="12700" cap="flat">
                <a:solidFill>
                  <a:srgbClr val="000000"/>
                </a:solidFill>
                <a:prstDash val="solid"/>
                <a:miter lim="400000"/>
              </a:ln>
              <a:effectLst/>
            </c:spPr>
          </c:errBars>
          <c:xVal>
            <c:numRef>
              <c:f>'Эксперимент 2 - 4'!$D$5:$D$13</c:f>
              <c:numCache>
                <c:ptCount val="9"/>
                <c:pt idx="0">
                  <c:v>75.104000</c:v>
                </c:pt>
                <c:pt idx="1">
                  <c:v>174.973700</c:v>
                </c:pt>
                <c:pt idx="2">
                  <c:v>253.818200</c:v>
                </c:pt>
                <c:pt idx="3">
                  <c:v>316.893800</c:v>
                </c:pt>
                <c:pt idx="4">
                  <c:v>374.713100</c:v>
                </c:pt>
                <c:pt idx="5">
                  <c:v>464.070200</c:v>
                </c:pt>
                <c:pt idx="6">
                  <c:v>516.633200</c:v>
                </c:pt>
                <c:pt idx="7">
                  <c:v>579.708800</c:v>
                </c:pt>
                <c:pt idx="8">
                  <c:v>663.809600</c:v>
                </c:pt>
              </c:numCache>
            </c:numRef>
          </c:xVal>
          <c:yVal>
            <c:numRef>
              <c:f>'Эксперимент 2 - 4'!$C$5:$C$13</c:f>
              <c:numCache>
                <c:ptCount val="9"/>
                <c:pt idx="0">
                  <c:v>0.000000</c:v>
                </c:pt>
                <c:pt idx="1">
                  <c:v>0.014000</c:v>
                </c:pt>
                <c:pt idx="2">
                  <c:v>0.026000</c:v>
                </c:pt>
                <c:pt idx="3">
                  <c:v>0.036000</c:v>
                </c:pt>
                <c:pt idx="4">
                  <c:v>0.044000</c:v>
                </c:pt>
                <c:pt idx="5">
                  <c:v>0.057000</c:v>
                </c:pt>
                <c:pt idx="6">
                  <c:v>0.064000</c:v>
                </c:pt>
                <c:pt idx="7">
                  <c:v>0.072000</c:v>
                </c:pt>
                <c:pt idx="8">
                  <c:v>0.082000</c:v>
                </c:pt>
              </c:numCache>
            </c:numRef>
          </c:yVal>
          <c:smooth val="0"/>
        </c:ser>
        <c:ser>
          <c:idx val="4"/>
          <c:order val="4"/>
          <c:tx>
            <c:strRef>
              <c:f>'Эксперимент 2 - 5'!$D$3</c:f>
              <c:strCache/>
            </c:strRef>
          </c:tx>
          <c:spPr>
            <a:solidFill>
              <a:srgbClr val="000000"/>
            </a:solidFill>
            <a:ln w="12700" cap="flat">
              <a:noFill/>
              <a:prstDash val="solid"/>
              <a:miter lim="400000"/>
            </a:ln>
            <a:effectLst/>
          </c:spPr>
          <c:marker>
            <c:symbol val="triangle"/>
            <c:size val="8"/>
            <c:spPr>
              <a:solidFill>
                <a:srgbClr val="000000"/>
              </a:solidFill>
              <a:ln w="25400" cap="flat">
                <a:noFill/>
                <a:miter lim="400000"/>
              </a:ln>
              <a:effectLst/>
            </c:spPr>
          </c:marker>
          <c:dLbls>
            <c:numFmt formatCode="#,##0" sourceLinked="1"/>
            <c:txPr>
              <a:bodyPr/>
              <a:lstStyle/>
              <a:p>
                <a:pPr>
                  <a:defRPr b="0" i="0" strike="noStrike" sz="970" u="none">
                    <a:solidFill>
                      <a:srgbClr val="000000"/>
                    </a:solidFill>
                    <a:latin typeface="Helvetica Neue"/>
                  </a:defRPr>
                </a:pPr>
              </a:p>
            </c:txPr>
            <c:dLblPos val="b"/>
            <c:showLegendKey val="0"/>
            <c:showVal val="0"/>
            <c:showCatName val="0"/>
            <c:showSerName val="0"/>
            <c:showPercent val="0"/>
            <c:showBubbleSize val="0"/>
            <c:showLeaderLines val="0"/>
          </c:dLbls>
          <c:trendline>
            <c:spPr>
              <a:noFill/>
              <a:ln w="12700" cap="flat">
                <a:solidFill>
                  <a:srgbClr val="000000"/>
                </a:solidFill>
                <a:prstDash val="solid"/>
                <a:miter lim="400000"/>
              </a:ln>
              <a:effectLst/>
            </c:spPr>
            <c:trendlineType val="linear"/>
            <c:forward val="0"/>
            <c:backward val="0"/>
            <c:dispRSqr val="0"/>
            <c:dispEq val="1"/>
          </c:trendline>
          <c:errBars>
            <c:errDir val="x"/>
            <c:errBarType val="both"/>
            <c:errValType val="cust"/>
            <c:noEndCap val="0"/>
            <c:plus>
              <c:numLit>
                <c:ptCount val="9"/>
                <c:pt idx="0">
                  <c:v>9.490651</c:v>
                </c:pt>
                <c:pt idx="1">
                  <c:v>10.053584</c:v>
                </c:pt>
                <c:pt idx="2">
                  <c:v>11.294339</c:v>
                </c:pt>
                <c:pt idx="3">
                  <c:v>11.924165</c:v>
                </c:pt>
                <c:pt idx="4">
                  <c:v>12.355034</c:v>
                </c:pt>
                <c:pt idx="5">
                  <c:v>12.675536</c:v>
                </c:pt>
                <c:pt idx="6">
                  <c:v>13.276471</c:v>
                </c:pt>
                <c:pt idx="7">
                  <c:v>14.410320</c:v>
                </c:pt>
                <c:pt idx="8">
                  <c:v>nan</c:v>
                </c:pt>
              </c:numLit>
            </c:plus>
            <c:minus>
              <c:numLit>
                <c:ptCount val="9"/>
                <c:pt idx="0">
                  <c:v>9.490651</c:v>
                </c:pt>
                <c:pt idx="1">
                  <c:v>10.053584</c:v>
                </c:pt>
                <c:pt idx="2">
                  <c:v>11.294339</c:v>
                </c:pt>
                <c:pt idx="3">
                  <c:v>11.924165</c:v>
                </c:pt>
                <c:pt idx="4">
                  <c:v>12.355034</c:v>
                </c:pt>
                <c:pt idx="5">
                  <c:v>12.675536</c:v>
                </c:pt>
                <c:pt idx="6">
                  <c:v>13.276471</c:v>
                </c:pt>
                <c:pt idx="7">
                  <c:v>14.410320</c:v>
                </c:pt>
                <c:pt idx="8">
                  <c:v>nan</c:v>
                </c:pt>
              </c:numLit>
            </c:minus>
            <c:val val="0"/>
            <c:spPr>
              <a:noFill/>
              <a:ln w="12700" cap="flat">
                <a:solidFill>
                  <a:srgbClr val="000000"/>
                </a:solidFill>
                <a:prstDash val="solid"/>
                <a:miter lim="400000"/>
              </a:ln>
              <a:effectLst/>
            </c:spPr>
          </c:errBars>
          <c:errBars>
            <c:errDir val="y"/>
            <c:errBarType val="both"/>
            <c:errValType val="fixedVal"/>
            <c:noEndCap val="0"/>
            <c:val val="0.005"/>
            <c:spPr>
              <a:noFill/>
              <a:ln w="12700" cap="flat">
                <a:solidFill>
                  <a:srgbClr val="000000"/>
                </a:solidFill>
                <a:prstDash val="solid"/>
                <a:miter lim="400000"/>
              </a:ln>
              <a:effectLst/>
            </c:spPr>
          </c:errBars>
          <c:xVal>
            <c:numRef>
              <c:f>'Эксперимент 2 - 5'!$D$5:$D$13</c:f>
              <c:numCache>
                <c:ptCount val="9"/>
                <c:pt idx="0">
                  <c:v>75.104000</c:v>
                </c:pt>
                <c:pt idx="1">
                  <c:v>180.230000</c:v>
                </c:pt>
                <c:pt idx="2">
                  <c:v>285.356000</c:v>
                </c:pt>
                <c:pt idx="3">
                  <c:v>427.276100</c:v>
                </c:pt>
                <c:pt idx="4">
                  <c:v>485.095400</c:v>
                </c:pt>
                <c:pt idx="5">
                  <c:v>521.889500</c:v>
                </c:pt>
                <c:pt idx="6">
                  <c:v>548.171000</c:v>
                </c:pt>
                <c:pt idx="7">
                  <c:v>595.477700</c:v>
                </c:pt>
                <c:pt idx="8">
                  <c:v>679.578500</c:v>
                </c:pt>
              </c:numCache>
            </c:numRef>
          </c:xVal>
          <c:yVal>
            <c:numRef>
              <c:f>'Эксперимент 2 - 5'!$C$5:$C$13</c:f>
              <c:numCache>
                <c:ptCount val="9"/>
                <c:pt idx="0">
                  <c:v>0.000000</c:v>
                </c:pt>
                <c:pt idx="1">
                  <c:v>0.017000</c:v>
                </c:pt>
                <c:pt idx="2">
                  <c:v>0.036000</c:v>
                </c:pt>
                <c:pt idx="3">
                  <c:v>0.061000</c:v>
                </c:pt>
                <c:pt idx="4">
                  <c:v>0.070000</c:v>
                </c:pt>
                <c:pt idx="5">
                  <c:v>0.076000</c:v>
                </c:pt>
                <c:pt idx="6">
                  <c:v>0.080000</c:v>
                </c:pt>
                <c:pt idx="7">
                  <c:v>0.087000</c:v>
                </c:pt>
                <c:pt idx="8">
                  <c:v>0.099000</c:v>
                </c:pt>
              </c:numCache>
            </c:numRef>
          </c:yVal>
          <c:smooth val="0"/>
        </c:ser>
        <c:ser>
          <c:idx val="5"/>
          <c:order val="5"/>
          <c:tx>
            <c:strRef>
              <c:f>'Эксперимент 2 - 6'!$D$3</c:f>
              <c:strCache/>
            </c:strRef>
          </c:tx>
          <c:spPr>
            <a:solidFill>
              <a:srgbClr val="000000"/>
            </a:solidFill>
            <a:ln w="12700" cap="flat">
              <a:noFill/>
              <a:prstDash val="solid"/>
              <a:miter lim="400000"/>
            </a:ln>
            <a:effectLst/>
          </c:spPr>
          <c:marker>
            <c:symbol val="star"/>
            <c:size val="8"/>
            <c:spPr>
              <a:solidFill>
                <a:srgbClr val="000000"/>
              </a:solidFill>
              <a:ln w="25400" cap="flat">
                <a:noFill/>
                <a:miter lim="400000"/>
              </a:ln>
              <a:effectLst/>
            </c:spPr>
          </c:marker>
          <c:dLbls>
            <c:numFmt formatCode="#,##0" sourceLinked="1"/>
            <c:txPr>
              <a:bodyPr/>
              <a:lstStyle/>
              <a:p>
                <a:pPr>
                  <a:defRPr b="0" i="0" strike="noStrike" sz="970" u="none">
                    <a:solidFill>
                      <a:srgbClr val="000000"/>
                    </a:solidFill>
                    <a:latin typeface="Helvetica Neue"/>
                  </a:defRPr>
                </a:pPr>
              </a:p>
            </c:txPr>
            <c:dLblPos val="b"/>
            <c:showLegendKey val="0"/>
            <c:showVal val="0"/>
            <c:showCatName val="0"/>
            <c:showSerName val="0"/>
            <c:showPercent val="0"/>
            <c:showBubbleSize val="0"/>
            <c:showLeaderLines val="0"/>
          </c:dLbls>
          <c:trendline>
            <c:spPr>
              <a:noFill/>
              <a:ln w="12700" cap="flat">
                <a:solidFill>
                  <a:srgbClr val="000000"/>
                </a:solidFill>
                <a:prstDash val="solid"/>
                <a:miter lim="400000"/>
              </a:ln>
              <a:effectLst/>
            </c:spPr>
            <c:trendlineType val="linear"/>
            <c:forward val="0"/>
            <c:backward val="0"/>
            <c:dispRSqr val="0"/>
            <c:dispEq val="1"/>
          </c:trendline>
          <c:errBars>
            <c:errDir val="x"/>
            <c:errBarType val="both"/>
            <c:errValType val="cust"/>
            <c:noEndCap val="0"/>
            <c:plus>
              <c:numLit>
                <c:ptCount val="9"/>
                <c:pt idx="0">
                  <c:v>9.531139</c:v>
                </c:pt>
                <c:pt idx="1">
                  <c:v>9.729165</c:v>
                </c:pt>
                <c:pt idx="2">
                  <c:v>10.053584</c:v>
                </c:pt>
                <c:pt idx="3">
                  <c:v>10.544974</c:v>
                </c:pt>
                <c:pt idx="4">
                  <c:v>11.186672</c:v>
                </c:pt>
                <c:pt idx="5">
                  <c:v>11.688084</c:v>
                </c:pt>
                <c:pt idx="6">
                  <c:v>12.872555</c:v>
                </c:pt>
                <c:pt idx="7">
                  <c:v>14.119812</c:v>
                </c:pt>
                <c:pt idx="8">
                  <c:v>nan</c:v>
                </c:pt>
              </c:numLit>
            </c:plus>
            <c:minus>
              <c:numLit>
                <c:ptCount val="9"/>
                <c:pt idx="0">
                  <c:v>9.531139</c:v>
                </c:pt>
                <c:pt idx="1">
                  <c:v>9.729165</c:v>
                </c:pt>
                <c:pt idx="2">
                  <c:v>10.053584</c:v>
                </c:pt>
                <c:pt idx="3">
                  <c:v>10.544974</c:v>
                </c:pt>
                <c:pt idx="4">
                  <c:v>11.186672</c:v>
                </c:pt>
                <c:pt idx="5">
                  <c:v>11.688084</c:v>
                </c:pt>
                <c:pt idx="6">
                  <c:v>12.872555</c:v>
                </c:pt>
                <c:pt idx="7">
                  <c:v>14.119812</c:v>
                </c:pt>
                <c:pt idx="8">
                  <c:v>nan</c:v>
                </c:pt>
              </c:numLit>
            </c:minus>
            <c:val val="0"/>
            <c:spPr>
              <a:noFill/>
              <a:ln w="12700" cap="flat">
                <a:solidFill>
                  <a:srgbClr val="000000"/>
                </a:solidFill>
                <a:prstDash val="solid"/>
                <a:miter lim="400000"/>
              </a:ln>
              <a:effectLst/>
            </c:spPr>
          </c:errBars>
          <c:errBars>
            <c:errDir val="y"/>
            <c:errBarType val="both"/>
            <c:errValType val="fixedVal"/>
            <c:noEndCap val="0"/>
            <c:val val="0.005"/>
            <c:spPr>
              <a:noFill/>
              <a:ln w="12700" cap="flat">
                <a:solidFill>
                  <a:srgbClr val="000000"/>
                </a:solidFill>
                <a:prstDash val="solid"/>
                <a:miter lim="400000"/>
              </a:ln>
              <a:effectLst/>
            </c:spPr>
          </c:errBars>
          <c:xVal>
            <c:numRef>
              <c:f>'Эксперимент 2 - 6'!$D$5:$D$13</c:f>
              <c:numCache>
                <c:ptCount val="9"/>
                <c:pt idx="0">
                  <c:v>75.104000</c:v>
                </c:pt>
                <c:pt idx="1">
                  <c:v>190.742600</c:v>
                </c:pt>
                <c:pt idx="2">
                  <c:v>232.793000</c:v>
                </c:pt>
                <c:pt idx="3">
                  <c:v>285.356000</c:v>
                </c:pt>
                <c:pt idx="4">
                  <c:v>348.431600</c:v>
                </c:pt>
                <c:pt idx="5">
                  <c:v>416.763500</c:v>
                </c:pt>
                <c:pt idx="6">
                  <c:v>464.070200</c:v>
                </c:pt>
                <c:pt idx="7">
                  <c:v>563.939900</c:v>
                </c:pt>
                <c:pt idx="8">
                  <c:v>658.553300</c:v>
                </c:pt>
              </c:numCache>
            </c:numRef>
          </c:xVal>
          <c:yVal>
            <c:numRef>
              <c:f>'Эксперимент 2 - 6'!$C$5:$C$13</c:f>
              <c:numCache>
                <c:ptCount val="9"/>
                <c:pt idx="0">
                  <c:v>0.000000</c:v>
                </c:pt>
                <c:pt idx="1">
                  <c:v>0.022000</c:v>
                </c:pt>
                <c:pt idx="2">
                  <c:v>0.031000</c:v>
                </c:pt>
                <c:pt idx="3">
                  <c:v>0.041000</c:v>
                </c:pt>
                <c:pt idx="4">
                  <c:v>0.054000</c:v>
                </c:pt>
                <c:pt idx="5">
                  <c:v>0.067000</c:v>
                </c:pt>
                <c:pt idx="6">
                  <c:v>0.077000</c:v>
                </c:pt>
                <c:pt idx="7">
                  <c:v>0.095000</c:v>
                </c:pt>
                <c:pt idx="8">
                  <c:v>0.111000</c:v>
                </c:pt>
              </c:numCache>
            </c:numRef>
          </c:yVal>
          <c:smooth val="0"/>
        </c:ser>
        <c:axId val="2094734552"/>
        <c:axId val="2094734553"/>
      </c:scatterChart>
      <c:valAx>
        <c:axId val="2094734552"/>
        <c:scaling>
          <c:orientation val="minMax"/>
        </c:scaling>
        <c:delete val="0"/>
        <c:axPos val="b"/>
        <c:majorGridlines>
          <c:spPr>
            <a:ln w="12700" cap="flat">
              <a:solidFill>
                <a:srgbClr val="000000"/>
              </a:solidFill>
              <a:prstDash val="solid"/>
              <a:miter lim="400000"/>
            </a:ln>
          </c:spPr>
        </c:majorGridlines>
        <c:minorGridlines>
          <c:spPr>
            <a:ln w="3175" cap="flat">
              <a:solidFill>
                <a:srgbClr val="000000"/>
              </a:solidFill>
              <a:prstDash val="solid"/>
              <a:miter lim="400000"/>
            </a:ln>
          </c:spPr>
        </c:minorGridlines>
        <c:title>
          <c:tx>
            <c:rich>
              <a:bodyPr rot="0"/>
              <a:lstStyle/>
              <a:p>
                <a:pPr>
                  <a:defRPr b="0" i="0" strike="noStrike" sz="810" u="none">
                    <a:solidFill>
                      <a:srgbClr val="000000"/>
                    </a:solidFill>
                    <a:latin typeface="Helvetica Neue"/>
                  </a:defRPr>
                </a:pPr>
                <a:r>
                  <a:rPr b="0" i="0" strike="noStrike" sz="810" u="none">
                    <a:solidFill>
                      <a:srgbClr val="000000"/>
                    </a:solidFill>
                    <a:latin typeface="Helvetica Neue"/>
                  </a:rPr>
                  <a:t>B, мТл</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810" u="none">
                <a:solidFill>
                  <a:srgbClr val="000000"/>
                </a:solidFill>
                <a:latin typeface="Helvetica Neue"/>
              </a:defRPr>
            </a:pPr>
          </a:p>
        </c:txPr>
        <c:crossAx val="2094734553"/>
        <c:crosses val="autoZero"/>
        <c:crossBetween val="between"/>
        <c:majorUnit val="100"/>
        <c:minorUnit val="12.5"/>
      </c:valAx>
      <c:valAx>
        <c:axId val="2094734553"/>
        <c:scaling>
          <c:orientation val="minMax"/>
          <c:max val="0.15"/>
        </c:scaling>
        <c:delete val="0"/>
        <c:axPos val="l"/>
        <c:majorGridlines>
          <c:spPr>
            <a:ln w="12700" cap="flat">
              <a:solidFill>
                <a:srgbClr val="000000"/>
              </a:solidFill>
              <a:prstDash val="solid"/>
              <a:miter lim="400000"/>
            </a:ln>
          </c:spPr>
        </c:majorGridlines>
        <c:minorGridlines>
          <c:spPr>
            <a:ln w="3175" cap="flat">
              <a:solidFill>
                <a:srgbClr val="000000"/>
              </a:solidFill>
              <a:prstDash val="solid"/>
              <a:miter lim="400000"/>
            </a:ln>
          </c:spPr>
        </c:minorGridlines>
        <c:title>
          <c:tx>
            <c:rich>
              <a:bodyPr rot="-5400000"/>
              <a:lstStyle/>
              <a:p>
                <a:pPr>
                  <a:defRPr b="0" i="0" strike="noStrike" sz="810" u="none">
                    <a:solidFill>
                      <a:srgbClr val="000000"/>
                    </a:solidFill>
                    <a:latin typeface="Helvetica Neue"/>
                  </a:defRPr>
                </a:pPr>
                <a:r>
                  <a:rPr b="0" i="0" strike="noStrike" sz="810" u="none">
                    <a:solidFill>
                      <a:srgbClr val="000000"/>
                    </a:solidFill>
                    <a:latin typeface="Helvetica Neue"/>
                  </a:rPr>
                  <a:t>U, мВ</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810" u="none">
                <a:solidFill>
                  <a:srgbClr val="000000"/>
                </a:solidFill>
                <a:latin typeface="Helvetica Neue"/>
              </a:defRPr>
            </a:pPr>
          </a:p>
        </c:txPr>
        <c:crossAx val="2094734552"/>
        <c:crosses val="autoZero"/>
        <c:crossBetween val="between"/>
        <c:majorUnit val="0.0258333"/>
        <c:minorUnit val="0.00322917"/>
      </c:valAx>
      <c:spPr>
        <a:noFill/>
        <a:ln w="12700" cap="flat">
          <a:noFill/>
          <a:miter lim="400000"/>
        </a:ln>
        <a:effectLst/>
      </c:spPr>
    </c:plotArea>
    <c:plotVisOnly val="1"/>
    <c:dispBlanksAs val="gap"/>
  </c:chart>
  <c:spPr>
    <a:noFill/>
    <a:ln>
      <a:noFill/>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19164"/>
          <c:y val="0.0327528"/>
          <c:w val="0.86425"/>
          <c:h val="0.909908"/>
        </c:manualLayout>
      </c:layout>
      <c:scatterChart>
        <c:scatterStyle val="lineMarker"/>
        <c:varyColors val="0"/>
        <c:ser>
          <c:idx val="0"/>
          <c:order val="0"/>
          <c:tx>
            <c:v>Новая 2</c:v>
          </c:tx>
          <c:spPr>
            <a:solidFill>
              <a:srgbClr val="000000"/>
            </a:solidFill>
            <a:ln w="12700" cap="flat">
              <a:noFill/>
              <a:prstDash val="solid"/>
              <a:miter lim="400000"/>
            </a:ln>
            <a:effectLst/>
          </c:spPr>
          <c:marker>
            <c:symbol val="circle"/>
            <c:size val="4"/>
            <c:spPr>
              <a:solidFill>
                <a:srgbClr val="000000"/>
              </a:solidFill>
              <a:ln w="25400" cap="flat">
                <a:noFill/>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trendline>
            <c:spPr>
              <a:noFill/>
              <a:ln w="12700" cap="flat">
                <a:solidFill>
                  <a:schemeClr val="accent5">
                    <a:hueOff val="-82419"/>
                    <a:satOff val="-9513"/>
                    <a:lumOff val="-16343"/>
                  </a:schemeClr>
                </a:solidFill>
                <a:prstDash val="solid"/>
                <a:miter lim="400000"/>
              </a:ln>
              <a:effectLst/>
            </c:spPr>
            <c:trendlineType val="linear"/>
            <c:forward val="0"/>
            <c:backward val="0"/>
            <c:dispRSqr val="0"/>
            <c:dispEq val="1"/>
          </c:trendline>
          <c:errBars>
            <c:errDir val="x"/>
            <c:errBarType val="both"/>
            <c:errValType val="cust"/>
            <c:noEndCap val="0"/>
            <c:plus>
              <c:numRef>
                <c:f>'Эксперимент 2 - Tаблица 1'!$D$3:$D$10</c:f>
                <c:numCache>
                  <c:ptCount val="8"/>
                  <c:pt idx="0">
                    <c:v>0.001500</c:v>
                  </c:pt>
                  <c:pt idx="1">
                    <c:v>0.002050</c:v>
                  </c:pt>
                  <c:pt idx="2">
                    <c:v>0.002550</c:v>
                  </c:pt>
                  <c:pt idx="3">
                    <c:v>0.002950</c:v>
                  </c:pt>
                  <c:pt idx="4">
                    <c:v>0.003500</c:v>
                  </c:pt>
                  <c:pt idx="5">
                    <c:v>0.004000</c:v>
                  </c:pt>
                  <c:pt idx="6">
                    <c:v>nan</c:v>
                  </c:pt>
                  <c:pt idx="7">
                    <c:v>nan</c:v>
                  </c:pt>
                </c:numCache>
              </c:numRef>
            </c:plus>
            <c:minus>
              <c:numRef>
                <c:f>'Эксперимент 2 - Tаблица 1'!$D$3:$D$10</c:f>
                <c:numCache>
                  <c:ptCount val="8"/>
                  <c:pt idx="0">
                    <c:v>0.001500</c:v>
                  </c:pt>
                  <c:pt idx="1">
                    <c:v>0.002050</c:v>
                  </c:pt>
                  <c:pt idx="2">
                    <c:v>0.002550</c:v>
                  </c:pt>
                  <c:pt idx="3">
                    <c:v>0.002950</c:v>
                  </c:pt>
                  <c:pt idx="4">
                    <c:v>0.003500</c:v>
                  </c:pt>
                  <c:pt idx="5">
                    <c:v>0.004000</c:v>
                  </c:pt>
                  <c:pt idx="6">
                    <c:v>nan</c:v>
                  </c:pt>
                  <c:pt idx="7">
                    <c:v>nan</c:v>
                  </c:pt>
                </c:numCache>
              </c:numRef>
            </c:minus>
            <c:val val="0"/>
            <c:spPr>
              <a:noFill/>
              <a:ln w="12700" cap="flat">
                <a:solidFill>
                  <a:srgbClr val="000000"/>
                </a:solidFill>
                <a:prstDash val="solid"/>
                <a:miter lim="400000"/>
              </a:ln>
              <a:effectLst/>
            </c:spPr>
          </c:errBars>
          <c:errBars>
            <c:errDir val="y"/>
            <c:errBarType val="both"/>
            <c:errValType val="cust"/>
            <c:noEndCap val="0"/>
            <c:plus>
              <c:numLit>
                <c:ptCount val="8"/>
                <c:pt idx="0">
                  <c:v>0.000002</c:v>
                </c:pt>
                <c:pt idx="1">
                  <c:v>0.000002</c:v>
                </c:pt>
                <c:pt idx="2">
                  <c:v>0.000002</c:v>
                </c:pt>
                <c:pt idx="3">
                  <c:v>0.000003</c:v>
                </c:pt>
                <c:pt idx="4">
                  <c:v>0.000003</c:v>
                </c:pt>
                <c:pt idx="5">
                  <c:v>0.000003</c:v>
                </c:pt>
                <c:pt idx="6">
                  <c:v>nan</c:v>
                </c:pt>
                <c:pt idx="7">
                  <c:v>nan</c:v>
                </c:pt>
              </c:numLit>
            </c:plus>
            <c:minus>
              <c:numLit>
                <c:ptCount val="8"/>
                <c:pt idx="0">
                  <c:v>0.000002</c:v>
                </c:pt>
                <c:pt idx="1">
                  <c:v>0.000002</c:v>
                </c:pt>
                <c:pt idx="2">
                  <c:v>0.000002</c:v>
                </c:pt>
                <c:pt idx="3">
                  <c:v>0.000003</c:v>
                </c:pt>
                <c:pt idx="4">
                  <c:v>0.000003</c:v>
                </c:pt>
                <c:pt idx="5">
                  <c:v>0.000003</c:v>
                </c:pt>
                <c:pt idx="6">
                  <c:v>nan</c:v>
                </c:pt>
                <c:pt idx="7">
                  <c:v>nan</c:v>
                </c:pt>
              </c:numLit>
            </c:minus>
            <c:val val="0"/>
            <c:spPr>
              <a:noFill/>
              <a:ln w="12700" cap="flat">
                <a:solidFill>
                  <a:srgbClr val="000000"/>
                </a:solidFill>
                <a:prstDash val="solid"/>
                <a:miter lim="400000"/>
              </a:ln>
              <a:effectLst/>
            </c:spPr>
          </c:errBars>
          <c:xVal>
            <c:numRef>
              <c:f>'Эксперимент 2 - Tаблица 1'!$A$3:$A$10</c:f>
              <c:numCache>
                <c:ptCount val="6"/>
                <c:pt idx="0">
                  <c:v>0.300000</c:v>
                </c:pt>
                <c:pt idx="1">
                  <c:v>0.410000</c:v>
                </c:pt>
                <c:pt idx="2">
                  <c:v>0.510000</c:v>
                </c:pt>
                <c:pt idx="3">
                  <c:v>0.590000</c:v>
                </c:pt>
                <c:pt idx="4">
                  <c:v>0.700000</c:v>
                </c:pt>
                <c:pt idx="5">
                  <c:v>0.800000</c:v>
                </c:pt>
              </c:numCache>
            </c:numRef>
          </c:xVal>
          <c:yVal>
            <c:numRef>
              <c:f>'Эксперимент 2 - Tаблица 1'!$B$3:$B$10</c:f>
              <c:numCache>
                <c:ptCount val="6"/>
                <c:pt idx="0">
                  <c:v>0.000071</c:v>
                </c:pt>
                <c:pt idx="1">
                  <c:v>0.000097</c:v>
                </c:pt>
                <c:pt idx="2">
                  <c:v>0.000121</c:v>
                </c:pt>
                <c:pt idx="3">
                  <c:v>0.000140</c:v>
                </c:pt>
                <c:pt idx="4">
                  <c:v>0.000165</c:v>
                </c:pt>
                <c:pt idx="5">
                  <c:v>0.000191</c:v>
                </c:pt>
              </c:numCache>
            </c:numRef>
          </c:yVal>
          <c:smooth val="0"/>
        </c:ser>
        <c:axId val="2094734552"/>
        <c:axId val="2094734553"/>
      </c:scatterChart>
      <c:valAx>
        <c:axId val="2094734552"/>
        <c:scaling>
          <c:orientation val="minMax"/>
        </c:scaling>
        <c:delete val="0"/>
        <c:axPos val="b"/>
        <c:majorGridlines>
          <c:spPr>
            <a:ln w="12700" cap="flat">
              <a:solidFill>
                <a:srgbClr val="000000"/>
              </a:solidFill>
              <a:prstDash val="solid"/>
              <a:miter lim="400000"/>
            </a:ln>
          </c:spPr>
        </c:majorGridlines>
        <c:minorGridlines>
          <c:spPr>
            <a:ln w="3175" cap="flat">
              <a:solidFill>
                <a:srgbClr val="000000"/>
              </a:solidFill>
              <a:prstDash val="solid"/>
              <a:miter lim="400000"/>
            </a:ln>
          </c:spPr>
        </c:minorGridlines>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crossBetween val="between"/>
        <c:majorUnit val="0.225"/>
        <c:minorUnit val="0.028125"/>
      </c:valAx>
      <c:valAx>
        <c:axId val="2094734553"/>
        <c:scaling>
          <c:orientation val="minMax"/>
          <c:max val="0.00025"/>
        </c:scaling>
        <c:delete val="0"/>
        <c:axPos val="l"/>
        <c:majorGridlines>
          <c:spPr>
            <a:ln w="12700" cap="flat">
              <a:solidFill>
                <a:srgbClr val="000000"/>
              </a:solidFill>
              <a:prstDash val="solid"/>
              <a:miter lim="400000"/>
            </a:ln>
          </c:spPr>
        </c:majorGridlines>
        <c:minorGridlines>
          <c:spPr>
            <a:ln w="3175" cap="flat">
              <a:solidFill>
                <a:srgbClr val="000000"/>
              </a:solidFill>
              <a:prstDash val="solid"/>
              <a:miter lim="400000"/>
            </a:ln>
          </c:spPr>
        </c:minorGridlines>
        <c:numFmt formatCode="0.000000" sourceLinked="0"/>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5e-05"/>
        <c:minorUnit val="6.25e-06"/>
      </c:valAx>
      <c:spPr>
        <a:noFill/>
        <a:ln w="12700" cap="flat">
          <a:noFill/>
          <a:miter lim="400000"/>
        </a:ln>
        <a:effectLst/>
      </c:spPr>
    </c:plotArea>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_rels/drawing2.xml.rels><?xml version="1.0" encoding="UTF-8"?>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27</xdr:row>
      <xdr:rowOff>23238</xdr:rowOff>
    </xdr:from>
    <xdr:to>
      <xdr:col>10</xdr:col>
      <xdr:colOff>596994</xdr:colOff>
      <xdr:row>55</xdr:row>
      <xdr:rowOff>51751</xdr:rowOff>
    </xdr:to>
    <xdr:graphicFrame>
      <xdr:nvGraphicFramePr>
        <xdr:cNvPr id="2" name="Chart 2"/>
        <xdr:cNvGraphicFramePr/>
      </xdr:nvGraphicFramePr>
      <xdr:xfrm>
        <a:off x="-373316" y="4480938"/>
        <a:ext cx="8216995" cy="4651314"/>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103822</xdr:colOff>
      <xdr:row>64</xdr:row>
      <xdr:rowOff>123549</xdr:rowOff>
    </xdr:from>
    <xdr:to>
      <xdr:col>14</xdr:col>
      <xdr:colOff>55051</xdr:colOff>
      <xdr:row>105</xdr:row>
      <xdr:rowOff>124838</xdr:rowOff>
    </xdr:to>
    <xdr:graphicFrame>
      <xdr:nvGraphicFramePr>
        <xdr:cNvPr id="4" name="Chart 4"/>
        <xdr:cNvGraphicFramePr/>
      </xdr:nvGraphicFramePr>
      <xdr:xfrm>
        <a:off x="865822" y="10689949"/>
        <a:ext cx="9857230" cy="6770390"/>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25</xdr:col>
      <xdr:colOff>688594</xdr:colOff>
      <xdr:row>53</xdr:row>
      <xdr:rowOff>164030</xdr:rowOff>
    </xdr:from>
    <xdr:to>
      <xdr:col>33</xdr:col>
      <xdr:colOff>297053</xdr:colOff>
      <xdr:row>81</xdr:row>
      <xdr:rowOff>85692</xdr:rowOff>
    </xdr:to>
    <xdr:graphicFrame>
      <xdr:nvGraphicFramePr>
        <xdr:cNvPr id="5" name="Chart 5"/>
        <xdr:cNvGraphicFramePr/>
      </xdr:nvGraphicFramePr>
      <xdr:xfrm>
        <a:off x="19738594" y="8914330"/>
        <a:ext cx="5704460" cy="4544463"/>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6.xml.rels><?xml version="1.0" encoding="UTF-8"?>
<Relationships xmlns="http://schemas.openxmlformats.org/package/2006/relationships"><Relationship Id="rId1" Type="http://schemas.openxmlformats.org/officeDocument/2006/relationships/drawing" Target="../drawings/drawing2.xml"/></Relationships>

</file>

<file path=xl/worksheets/_rels/sheet8.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10</v>
      </c>
      <c r="D11" t="s" s="5">
        <v>11</v>
      </c>
    </row>
    <row r="12">
      <c r="B12" s="4"/>
      <c r="C12" t="s" s="4">
        <v>16</v>
      </c>
      <c r="D12" t="s" s="5">
        <v>17</v>
      </c>
    </row>
    <row r="13">
      <c r="B13" s="4"/>
      <c r="C13" t="s" s="4">
        <v>18</v>
      </c>
      <c r="D13" t="s" s="5">
        <v>19</v>
      </c>
    </row>
    <row r="14">
      <c r="B14" s="4"/>
      <c r="C14" t="s" s="4">
        <v>20</v>
      </c>
      <c r="D14" t="s" s="5">
        <v>21</v>
      </c>
    </row>
    <row r="15">
      <c r="B15" s="4"/>
      <c r="C15" t="s" s="4">
        <v>23</v>
      </c>
      <c r="D15" t="s" s="5">
        <v>24</v>
      </c>
    </row>
    <row r="16">
      <c r="B16" s="4"/>
      <c r="C16" t="s" s="4">
        <v>30</v>
      </c>
      <c r="D16" t="s" s="5">
        <v>31</v>
      </c>
    </row>
    <row r="17">
      <c r="B17" t="s" s="3">
        <v>32</v>
      </c>
      <c r="C17" s="3"/>
      <c r="D17" s="3"/>
    </row>
    <row r="18">
      <c r="B18" s="4"/>
      <c r="C18" t="s" s="4">
        <v>33</v>
      </c>
      <c r="D18" t="s" s="5">
        <v>34</v>
      </c>
    </row>
    <row r="19">
      <c r="B19" s="4"/>
      <c r="C19" t="s" s="4">
        <v>39</v>
      </c>
      <c r="D19" t="s" s="5">
        <v>40</v>
      </c>
    </row>
    <row r="20">
      <c r="B20" s="4"/>
      <c r="C20" t="s" s="4">
        <v>41</v>
      </c>
      <c r="D20" t="s" s="5">
        <v>42</v>
      </c>
    </row>
    <row r="21">
      <c r="B21" s="4"/>
      <c r="C21" t="s" s="4">
        <v>43</v>
      </c>
      <c r="D21" t="s" s="5">
        <v>44</v>
      </c>
    </row>
    <row r="22">
      <c r="B22" s="4"/>
      <c r="C22" t="s" s="4">
        <v>45</v>
      </c>
      <c r="D22" t="s" s="5">
        <v>46</v>
      </c>
    </row>
    <row r="23">
      <c r="B23" s="4"/>
      <c r="C23" t="s" s="4">
        <v>47</v>
      </c>
      <c r="D23" t="s" s="5">
        <v>48</v>
      </c>
    </row>
    <row r="24">
      <c r="B24" s="4"/>
      <c r="C24" t="s" s="4">
        <v>20</v>
      </c>
      <c r="D24" t="s" s="5">
        <v>49</v>
      </c>
    </row>
    <row r="25">
      <c r="B25" s="4"/>
      <c r="C25" t="s" s="4">
        <v>30</v>
      </c>
      <c r="D25" t="s" s="5">
        <v>60</v>
      </c>
    </row>
    <row r="26">
      <c r="B26" t="s" s="3">
        <v>61</v>
      </c>
      <c r="C26" s="3"/>
      <c r="D26" s="3"/>
    </row>
    <row r="27">
      <c r="B27" s="4"/>
      <c r="C27" t="s" s="4">
        <v>20</v>
      </c>
      <c r="D27" t="s" s="5">
        <v>62</v>
      </c>
    </row>
    <row r="28">
      <c r="B28" s="4"/>
      <c r="C28" t="s" s="4">
        <v>23</v>
      </c>
      <c r="D28" t="s" s="5">
        <v>65</v>
      </c>
    </row>
    <row r="29">
      <c r="B29" s="4"/>
      <c r="C29" t="s" s="4">
        <v>70</v>
      </c>
      <c r="D29" t="s" s="5">
        <v>71</v>
      </c>
    </row>
  </sheetData>
  <mergeCells count="1">
    <mergeCell ref="B3:D3"/>
  </mergeCells>
  <hyperlinks>
    <hyperlink ref="D10" location="'Основной эксперимент - Параметр'!R2C1" tooltip="" display="Основной эксперимент - Параметр"/>
    <hyperlink ref="D11" location="'Основной эксперимент - Результа'!R2C1" tooltip="" display="Основной эксперимент - Результа"/>
    <hyperlink ref="D12" location="'Основной эксперимент - Результ1'!R2C1" tooltip="" display="Основной эксперимент - Результ1"/>
    <hyperlink ref="D13" location="'Основной эксперимент - Максимал'!R2C1" tooltip="" display="Основной эксперимент - Максимал"/>
    <hyperlink ref="D14" location="'Основной эксперимент - Tаблица '!R2C1" tooltip="" display="Основной эксперимент - Tаблица "/>
    <hyperlink ref="D15" location="'Основной эксперимент - Tаблица1'!R2C1" tooltip="" display="Основной эксперимент - Tаблица1"/>
    <hyperlink ref="D16" location="'Основной эксперимент - Drawings'!R1C1" tooltip="" display="Основной эксперимент - Drawings"/>
    <hyperlink ref="D18" location="'Эксперимент 2 - 1'!R2C1" tooltip="" display="Эксперимент 2 - 1"/>
    <hyperlink ref="D19" location="'Эксперимент 2 - 2'!R2C1" tooltip="" display="Эксперимент 2 - 2"/>
    <hyperlink ref="D20" location="'Эксперимент 2 - 3'!R2C1" tooltip="" display="Эксперимент 2 - 3"/>
    <hyperlink ref="D21" location="'Эксперимент 2 - 4'!R2C1" tooltip="" display="Эксперимент 2 - 4"/>
    <hyperlink ref="D22" location="'Эксперимент 2 - 5'!R2C1" tooltip="" display="Эксперимент 2 - 5"/>
    <hyperlink ref="D23" location="'Эксперимент 2 - 6'!R2C1" tooltip="" display="Эксперимент 2 - 6"/>
    <hyperlink ref="D24" location="'Эксперимент 2 - Tаблица 1'!R2C1" tooltip="" display="Эксперимент 2 - Tаблица 1"/>
    <hyperlink ref="D25" location="'Эксперимент 2 - Drawings'!R1C1" tooltip="" display="Эксперимент 2 - Drawings"/>
    <hyperlink ref="D27" location="'Эксперимент 3 - Tаблица 1'!R2C1" tooltip="" display="Эксперимент 3 - Tаблица 1"/>
    <hyperlink ref="D28" location="'Эксперимент 3 - Tаблица 2'!R2C1" tooltip="" display="Эксперимент 3 - Tаблица 2"/>
    <hyperlink ref="D29" location="'Эксперимент 3 - Tаблица 3'!R2C1" tooltip="" display="Эксперимент 3 - Tаблица 3"/>
  </hyperlinks>
</worksheet>
</file>

<file path=xl/worksheets/sheet10.xml><?xml version="1.0" encoding="utf-8"?>
<worksheet xmlns:r="http://schemas.openxmlformats.org/officeDocument/2006/relationships" xmlns="http://schemas.openxmlformats.org/spreadsheetml/2006/main">
  <sheetPr>
    <pageSetUpPr fitToPage="1"/>
  </sheetPr>
  <dimension ref="A2:E14"/>
  <sheetViews>
    <sheetView workbookViewId="0" showGridLines="0" defaultGridColor="1"/>
  </sheetViews>
  <sheetFormatPr defaultColWidth="16.3333" defaultRowHeight="19.9" customHeight="1" outlineLevelRow="0" outlineLevelCol="0"/>
  <cols>
    <col min="1" max="5" width="16.3516" style="27" customWidth="1"/>
    <col min="6" max="256" width="16.3516" style="27" customWidth="1"/>
  </cols>
  <sheetData>
    <row r="1" ht="27.65" customHeight="1">
      <c r="A1" t="s" s="7">
        <v>39</v>
      </c>
      <c r="B1" s="7"/>
      <c r="C1" s="7"/>
      <c r="D1" s="7"/>
      <c r="E1" s="7"/>
    </row>
    <row r="2" ht="20.05" customHeight="1">
      <c r="A2" t="s" s="25">
        <v>13</v>
      </c>
      <c r="B2" t="s" s="25">
        <v>35</v>
      </c>
      <c r="C2" s="26"/>
      <c r="D2" s="26"/>
      <c r="E2" s="26"/>
    </row>
    <row r="3" ht="20.05" customHeight="1">
      <c r="A3" s="15">
        <v>0.41</v>
      </c>
      <c r="B3" s="15">
        <v>0.019</v>
      </c>
      <c r="C3" s="18"/>
      <c r="D3" s="18"/>
      <c r="E3" s="18"/>
    </row>
    <row r="4" ht="20.05" customHeight="1">
      <c r="A4" t="s" s="25">
        <v>36</v>
      </c>
      <c r="B4" t="s" s="25">
        <v>37</v>
      </c>
      <c r="C4" t="s" s="25">
        <v>38</v>
      </c>
      <c r="D4" t="s" s="25">
        <v>15</v>
      </c>
      <c r="E4" s="26"/>
    </row>
    <row r="5" ht="20.05" customHeight="1">
      <c r="A5" s="26"/>
      <c r="B5" s="26"/>
      <c r="C5" s="15">
        <v>0</v>
      </c>
      <c r="D5" s="15">
        <f>525.63*A14+75.104</f>
        <v>75.104</v>
      </c>
      <c r="E5" s="26"/>
    </row>
    <row r="6" ht="20.05" customHeight="1">
      <c r="A6" s="15">
        <v>0.22</v>
      </c>
      <c r="B6" s="15">
        <v>0.03</v>
      </c>
      <c r="C6" s="15">
        <f>ABS(B6-$B$3)</f>
        <v>0.011</v>
      </c>
      <c r="D6" s="15">
        <f>525.63*A6+75.104</f>
        <v>190.7426</v>
      </c>
      <c r="E6" s="15">
        <f>SQRT((('Основной эксперимент - Tаблица1'!$B$4/'Основной эксперимент - Tаблица1'!$B$3)^2+(0.005/A6)^2)*(A6*'Основной эксперимент - Tаблица1'!$B$3)^2+'Основной эксперимент - Tаблица1'!$C$4^2)</f>
        <v>9.531138554510365</v>
      </c>
    </row>
    <row r="7" ht="20.05" customHeight="1">
      <c r="A7" s="15">
        <v>0.34</v>
      </c>
      <c r="B7" s="15">
        <v>0.037</v>
      </c>
      <c r="C7" s="15">
        <f>ABS(B7-$B$3)</f>
        <v>0.018</v>
      </c>
      <c r="D7" s="15">
        <f>525.63*A7+75.104</f>
        <v>253.8182</v>
      </c>
      <c r="E7" s="15">
        <f>SQRT((('Основной эксперимент - Tаблица1'!$B$4/'Основной эксперимент - Tаблица1'!$B$3)^2+(0.005/A7)^2)*(A7*'Основной эксперимент - Tаблица1'!$B$3)^2+'Основной эксперимент - Tаблица1'!$C$4^2)</f>
        <v>9.849049415382535</v>
      </c>
    </row>
    <row r="8" ht="20.05" customHeight="1">
      <c r="A8" s="15">
        <v>0.46</v>
      </c>
      <c r="B8" s="15">
        <v>0.043</v>
      </c>
      <c r="C8" s="15">
        <f>ABS(B8-$B$3)</f>
        <v>0.024</v>
      </c>
      <c r="D8" s="15">
        <f>525.63*A8+75.104</f>
        <v>316.8938</v>
      </c>
      <c r="E8" s="15">
        <f>SQRT((('Основной эксперимент - Tаблица1'!$B$4/'Основной эксперимент - Tаблица1'!$B$3)^2+(0.005/A8)^2)*(A8*'Основной эксперимент - Tаблица1'!$B$3)^2+'Основной эксперимент - Tаблица1'!$C$4^2)</f>
        <v>10.28617757075873</v>
      </c>
    </row>
    <row r="9" ht="20.05" customHeight="1">
      <c r="A9" s="15">
        <v>0.62</v>
      </c>
      <c r="B9" s="15">
        <v>0.052</v>
      </c>
      <c r="C9" s="15">
        <f>ABS(B9-$B$3)</f>
        <v>0.033</v>
      </c>
      <c r="D9" s="15">
        <f>525.63*A9+75.104</f>
        <v>400.9946</v>
      </c>
      <c r="E9" s="15">
        <f>SQRT((('Основной эксперимент - Tаблица1'!$B$4/'Основной эксперимент - Tаблица1'!$B$3)^2+(0.005/A9)^2)*(A9*'Основной эксперимент - Tаблица1'!$B$3)^2+'Основной эксперимент - Tаблица1'!$C$4^2)</f>
        <v>11.02943622095615</v>
      </c>
    </row>
    <row r="10" ht="20.05" customHeight="1">
      <c r="A10" s="15">
        <v>0.76</v>
      </c>
      <c r="B10" s="15">
        <v>0.059</v>
      </c>
      <c r="C10" s="15">
        <f>ABS(B10-$B$3)</f>
        <v>0.03999999999999999</v>
      </c>
      <c r="D10" s="15">
        <f>525.63*A10+75.104</f>
        <v>474.5828</v>
      </c>
      <c r="E10" s="15">
        <f>SQRT((('Основной эксперимент - Tаблица1'!$B$4/'Основной эксперимент - Tаблица1'!$B$3)^2+(0.005/A10)^2)*(A10*'Основной эксперимент - Tаблица1'!$B$3)^2+'Основной эксперимент - Tаблица1'!$C$4^2)</f>
        <v>11.80516130961738</v>
      </c>
    </row>
    <row r="11" ht="20.05" customHeight="1">
      <c r="A11" s="15">
        <v>0.92</v>
      </c>
      <c r="B11" s="15">
        <v>0.067</v>
      </c>
      <c r="C11" s="15">
        <f>ABS(B11-$B$3)</f>
        <v>0.048</v>
      </c>
      <c r="D11" s="15">
        <f>525.63*A11+75.104</f>
        <v>558.6836000000001</v>
      </c>
      <c r="E11" s="15">
        <f>SQRT((('Основной эксперимент - Tаблица1'!$B$4/'Основной эксперимент - Tаблица1'!$B$3)^2+(0.005/A11)^2)*(A11*'Основной эксперимент - Tаблица1'!$B$3)^2+'Основной эксперимент - Tаблица1'!$C$4^2)</f>
        <v>12.80650313362627</v>
      </c>
    </row>
    <row r="12" ht="20.05" customHeight="1">
      <c r="A12" s="15">
        <v>1.01</v>
      </c>
      <c r="B12" s="15">
        <v>0.07099999999999999</v>
      </c>
      <c r="C12" s="15">
        <f>ABS(B12-$B$3)</f>
        <v>0.05199999999999999</v>
      </c>
      <c r="D12" s="15">
        <f>525.63*A12+75.104</f>
        <v>605.9903</v>
      </c>
      <c r="E12" s="15">
        <f>SQRT((('Основной эксперимент - Tаблица1'!$B$4/'Основной эксперимент - Tаблица1'!$B$3)^2+(0.005/A12)^2)*(A12*'Основной эксперимент - Tаблица1'!$B$3)^2+'Основной эксперимент - Tаблица1'!$C$4^2)</f>
        <v>13.41387537388804</v>
      </c>
    </row>
    <row r="13" ht="20.05" customHeight="1">
      <c r="A13" s="15">
        <v>1.17</v>
      </c>
      <c r="B13" s="15">
        <v>0.078</v>
      </c>
      <c r="C13" s="15">
        <f>ABS(B13-$B$3)</f>
        <v>0.059</v>
      </c>
      <c r="D13" s="15">
        <f>525.63*A13+75.104</f>
        <v>690.0911</v>
      </c>
      <c r="E13" s="15">
        <f>SQRT((('Основной эксперимент - Tаблица1'!$B$4/'Основной эксперимент - Tаблица1'!$B$3)^2+(0.005/A13)^2)*(A13*'Основной эксперимент - Tаблица1'!$B$3)^2+'Основной эксперимент - Tаблица1'!$C$4^2)</f>
        <v>14.55717934115225</v>
      </c>
    </row>
    <row r="14" ht="20.05" customHeight="1">
      <c r="A14" s="18"/>
      <c r="B14" s="18"/>
      <c r="C14" s="18"/>
      <c r="D14" s="18"/>
      <c r="E14" s="18"/>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Neue,Regular"&amp;11&amp;K000000&amp;P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2:E14"/>
  <sheetViews>
    <sheetView workbookViewId="0" showGridLines="0" defaultGridColor="1"/>
  </sheetViews>
  <sheetFormatPr defaultColWidth="16.3333" defaultRowHeight="19.9" customHeight="1" outlineLevelRow="0" outlineLevelCol="0"/>
  <cols>
    <col min="1" max="5" width="16.3516" style="28" customWidth="1"/>
    <col min="6" max="256" width="16.3516" style="28" customWidth="1"/>
  </cols>
  <sheetData>
    <row r="1" ht="27.65" customHeight="1">
      <c r="A1" t="s" s="7">
        <v>41</v>
      </c>
      <c r="B1" s="7"/>
      <c r="C1" s="7"/>
      <c r="D1" s="7"/>
      <c r="E1" s="7"/>
    </row>
    <row r="2" ht="20.05" customHeight="1">
      <c r="A2" t="s" s="25">
        <v>13</v>
      </c>
      <c r="B2" t="s" s="25">
        <v>35</v>
      </c>
      <c r="C2" s="26"/>
      <c r="D2" s="26"/>
      <c r="E2" s="26"/>
    </row>
    <row r="3" ht="20.05" customHeight="1">
      <c r="A3" s="15">
        <v>0.51</v>
      </c>
      <c r="B3" s="15">
        <v>0.023</v>
      </c>
      <c r="C3" s="18"/>
      <c r="D3" s="18"/>
      <c r="E3" s="18"/>
    </row>
    <row r="4" ht="20.05" customHeight="1">
      <c r="A4" t="s" s="25">
        <v>36</v>
      </c>
      <c r="B4" t="s" s="25">
        <v>37</v>
      </c>
      <c r="C4" t="s" s="25">
        <v>38</v>
      </c>
      <c r="D4" t="s" s="25">
        <v>15</v>
      </c>
      <c r="E4" s="26"/>
    </row>
    <row r="5" ht="20.05" customHeight="1">
      <c r="A5" s="26"/>
      <c r="B5" s="26"/>
      <c r="C5" s="15">
        <v>0</v>
      </c>
      <c r="D5" s="15">
        <f>525.63*A14+75.104</f>
        <v>75.104</v>
      </c>
      <c r="E5" s="26"/>
    </row>
    <row r="6" ht="20.05" customHeight="1">
      <c r="A6" s="15">
        <v>0.21</v>
      </c>
      <c r="B6" s="15">
        <v>0.036</v>
      </c>
      <c r="C6" s="15">
        <f>ABS(B6-$B$3)</f>
        <v>0.013</v>
      </c>
      <c r="D6" s="15">
        <f>525.63*A6+75.104</f>
        <v>185.4863</v>
      </c>
      <c r="E6" s="15">
        <f>SQRT((('Основной эксперимент - Tаблица1'!$B$4/'Основной эксперимент - Tаблица1'!$B$3)^2+(0.005/A6)^2)*(A6*'Основной эксперимент - Tаблица1'!$B$3)^2+'Основной эксперимент - Tаблица1'!$C$4^2)</f>
        <v>9.510434294453363</v>
      </c>
    </row>
    <row r="7" ht="20.05" customHeight="1">
      <c r="A7" s="15">
        <v>0.39</v>
      </c>
      <c r="B7" s="15">
        <v>0.048</v>
      </c>
      <c r="C7" s="15">
        <f>ABS(B7-$B$3)</f>
        <v>0.025</v>
      </c>
      <c r="D7" s="15">
        <f>525.63*A7+75.104</f>
        <v>280.0997</v>
      </c>
      <c r="E7" s="15">
        <f>SQRT((('Основной эксперимент - Tаблица1'!$B$4/'Основной эксперимент - Tаблица1'!$B$3)^2+(0.005/A7)^2)*(A7*'Основной эксперимент - Tаблица1'!$B$3)^2+'Основной эксперимент - Tаблица1'!$C$4^2)</f>
        <v>10.01749691432267</v>
      </c>
    </row>
    <row r="8" ht="20.05" customHeight="1">
      <c r="A8" s="15">
        <v>0.48</v>
      </c>
      <c r="B8" s="15">
        <v>0.056</v>
      </c>
      <c r="C8" s="15">
        <f>ABS(B8-$B$3)</f>
        <v>0.033</v>
      </c>
      <c r="D8" s="15">
        <f>525.63*A8+75.104</f>
        <v>327.4064</v>
      </c>
      <c r="E8" s="15">
        <f>SQRT((('Основной эксперимент - Tаблица1'!$B$4/'Основной эксперимент - Tаблица1'!$B$3)^2+(0.005/A8)^2)*(A8*'Основной эксперимент - Tаблица1'!$B$3)^2+'Основной эксперимент - Tаблица1'!$C$4^2)</f>
        <v>10.36962440491423</v>
      </c>
    </row>
    <row r="9" ht="20.05" customHeight="1">
      <c r="A9" s="15">
        <v>0.5600000000000001</v>
      </c>
      <c r="B9" s="15">
        <v>0.06</v>
      </c>
      <c r="C9" s="15">
        <f>ABS(B9-$B$3)</f>
        <v>0.037</v>
      </c>
      <c r="D9" s="15">
        <f>525.63*A9+75.104</f>
        <v>369.4568</v>
      </c>
      <c r="E9" s="15">
        <f>SQRT((('Основной эксперимент - Tаблица1'!$B$4/'Основной эксперимент - Tаблица1'!$B$3)^2+(0.005/A9)^2)*(A9*'Основной эксперимент - Tаблица1'!$B$3)^2+'Основной эксперимент - Tаблица1'!$C$4^2)</f>
        <v>10.73113359865216</v>
      </c>
    </row>
    <row r="10" ht="20.05" customHeight="1">
      <c r="A10" s="15">
        <v>0.77</v>
      </c>
      <c r="B10" s="15">
        <v>0.073</v>
      </c>
      <c r="C10" s="15">
        <f>ABS(B10-$B$3)</f>
        <v>0.05</v>
      </c>
      <c r="D10" s="15">
        <f>525.63*A10+75.104</f>
        <v>479.8391</v>
      </c>
      <c r="E10" s="15">
        <f>SQRT((('Основной эксперимент - Tаблица1'!$B$4/'Основной эксперимент - Tаблица1'!$B$3)^2+(0.005/A10)^2)*(A10*'Основной эксперимент - Tаблица1'!$B$3)^2+'Основной эксперимент - Tаблица1'!$C$4^2)</f>
        <v>11.86442583694332</v>
      </c>
    </row>
    <row r="11" ht="20.05" customHeight="1">
      <c r="A11" s="15">
        <v>0.84</v>
      </c>
      <c r="B11" s="15">
        <v>0.078</v>
      </c>
      <c r="C11" s="15">
        <f>ABS(B11-$B$3)</f>
        <v>0.055</v>
      </c>
      <c r="D11" s="15">
        <f>525.63*A11+75.104</f>
        <v>516.6332</v>
      </c>
      <c r="E11" s="15">
        <f>SQRT((('Основной эксперимент - Tаблица1'!$B$4/'Основной эксперимент - Tаблица1'!$B$3)^2+(0.005/A11)^2)*(A11*'Основной эксперимент - Tаблица1'!$B$3)^2+'Основной эксперимент - Tаблица1'!$C$4^2)</f>
        <v>12.29216822697001</v>
      </c>
    </row>
    <row r="12" ht="20.05" customHeight="1">
      <c r="A12" s="15">
        <v>0.9399999999999999</v>
      </c>
      <c r="B12" s="15">
        <v>0.083</v>
      </c>
      <c r="C12" s="15">
        <f>ABS(B12-$B$3)</f>
        <v>0.06</v>
      </c>
      <c r="D12" s="15">
        <f>525.63*A12+75.104</f>
        <v>569.1962</v>
      </c>
      <c r="E12" s="15">
        <f>SQRT((('Основной эксперимент - Tаблица1'!$B$4/'Основной эксперимент - Tаблица1'!$B$3)^2+(0.005/A12)^2)*(A12*'Основной эксперимент - Tаблица1'!$B$3)^2+'Основной эксперимент - Tаблица1'!$C$4^2)</f>
        <v>12.93897876305974</v>
      </c>
    </row>
    <row r="13" ht="20.05" customHeight="1">
      <c r="A13" s="15">
        <v>1.11</v>
      </c>
      <c r="B13" s="15">
        <v>0.094</v>
      </c>
      <c r="C13" s="15">
        <f>ABS(B13-$B$3)</f>
        <v>0.07100000000000001</v>
      </c>
      <c r="D13" s="15">
        <f>525.63*A13+75.104</f>
        <v>658.5533</v>
      </c>
      <c r="E13" s="15">
        <f>SQRT((('Основной эксперимент - Tаблица1'!$B$4/'Основной эксперимент - Tаблица1'!$B$3)^2+(0.005/A13)^2)*(A13*'Основной эксперимент - Tаблица1'!$B$3)^2+'Основной эксперимент - Tаблица1'!$C$4^2)</f>
        <v>14.11981175589676</v>
      </c>
    </row>
    <row r="14" ht="20.05" customHeight="1">
      <c r="A14" s="18"/>
      <c r="B14" s="18"/>
      <c r="C14" s="18"/>
      <c r="D14" s="18"/>
      <c r="E14" s="18"/>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Neue,Regular"&amp;11&amp;K000000&amp;P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2:E14"/>
  <sheetViews>
    <sheetView workbookViewId="0" showGridLines="0" defaultGridColor="1"/>
  </sheetViews>
  <sheetFormatPr defaultColWidth="16.3333" defaultRowHeight="19.9" customHeight="1" outlineLevelRow="0" outlineLevelCol="0"/>
  <cols>
    <col min="1" max="5" width="16.3516" style="29" customWidth="1"/>
    <col min="6" max="256" width="16.3516" style="29" customWidth="1"/>
  </cols>
  <sheetData>
    <row r="1" ht="27.65" customHeight="1">
      <c r="A1" t="s" s="7">
        <v>43</v>
      </c>
      <c r="B1" s="7"/>
      <c r="C1" s="7"/>
      <c r="D1" s="7"/>
      <c r="E1" s="7"/>
    </row>
    <row r="2" ht="20.05" customHeight="1">
      <c r="A2" t="s" s="25">
        <v>13</v>
      </c>
      <c r="B2" t="s" s="25">
        <v>35</v>
      </c>
      <c r="C2" s="26"/>
      <c r="D2" s="26"/>
      <c r="E2" s="26"/>
    </row>
    <row r="3" ht="20.05" customHeight="1">
      <c r="A3" s="15">
        <v>0.59</v>
      </c>
      <c r="B3" s="15">
        <v>0.026</v>
      </c>
      <c r="C3" s="18"/>
      <c r="D3" s="18"/>
      <c r="E3" s="18"/>
    </row>
    <row r="4" ht="20.05" customHeight="1">
      <c r="A4" t="s" s="25">
        <v>36</v>
      </c>
      <c r="B4" t="s" s="25">
        <v>37</v>
      </c>
      <c r="C4" t="s" s="25">
        <v>38</v>
      </c>
      <c r="D4" t="s" s="25">
        <v>15</v>
      </c>
      <c r="E4" s="26"/>
    </row>
    <row r="5" ht="20.05" customHeight="1">
      <c r="A5" s="26"/>
      <c r="B5" s="26"/>
      <c r="C5" s="15">
        <v>0</v>
      </c>
      <c r="D5" s="15">
        <f>525.63*A14+75.104</f>
        <v>75.104</v>
      </c>
      <c r="E5" s="26"/>
    </row>
    <row r="6" ht="20.05" customHeight="1">
      <c r="A6" s="15">
        <v>0.19</v>
      </c>
      <c r="B6" s="15">
        <v>0.04</v>
      </c>
      <c r="C6" s="15">
        <f>ABS(B6-$B$3)</f>
        <v>0.014</v>
      </c>
      <c r="D6" s="15">
        <f>525.63*A6+75.104</f>
        <v>174.9737</v>
      </c>
      <c r="E6" s="15">
        <f>SQRT((('Основной эксперимент - Tаблица1'!$B$4/'Основной эксперимент - Tаблица1'!$B$3)^2+(0.005/A6)^2)*(A6*'Основной эксперимент - Tаблица1'!$B$3)^2+'Основной эксперимент - Tаблица1'!$C$4^2)</f>
        <v>9.471794316983287</v>
      </c>
    </row>
    <row r="7" ht="20.05" customHeight="1">
      <c r="A7" s="15">
        <v>0.34</v>
      </c>
      <c r="B7" s="15">
        <v>0.052</v>
      </c>
      <c r="C7" s="15">
        <f>ABS(B7-$B$3)</f>
        <v>0.026</v>
      </c>
      <c r="D7" s="15">
        <f>525.63*A7+75.104</f>
        <v>253.8182</v>
      </c>
      <c r="E7" s="15">
        <f>SQRT((('Основной эксперимент - Tаблица1'!$B$4/'Основной эксперимент - Tаблица1'!$B$3)^2+(0.005/A7)^2)*(A7*'Основной эксперимент - Tаблица1'!$B$3)^2+'Основной эксперимент - Tаблица1'!$C$4^2)</f>
        <v>9.849049415382535</v>
      </c>
    </row>
    <row r="8" ht="20.05" customHeight="1">
      <c r="A8" s="15">
        <v>0.46</v>
      </c>
      <c r="B8" s="15">
        <v>0.062</v>
      </c>
      <c r="C8" s="15">
        <f>ABS(B8-$B$3)</f>
        <v>0.036</v>
      </c>
      <c r="D8" s="15">
        <f>525.63*A8+75.104</f>
        <v>316.8938</v>
      </c>
      <c r="E8" s="15">
        <f>SQRT((('Основной эксперимент - Tаблица1'!$B$4/'Основной эксперимент - Tаблица1'!$B$3)^2+(0.005/A8)^2)*(A8*'Основной эксперимент - Tаблица1'!$B$3)^2+'Основной эксперимент - Tаблица1'!$C$4^2)</f>
        <v>10.28617757075873</v>
      </c>
    </row>
    <row r="9" ht="20.05" customHeight="1">
      <c r="A9" s="15">
        <v>0.57</v>
      </c>
      <c r="B9" s="15">
        <v>0.07000000000000001</v>
      </c>
      <c r="C9" s="15">
        <f>ABS(B9-$B$3)</f>
        <v>0.04400000000000001</v>
      </c>
      <c r="D9" s="15">
        <f>525.63*A9+75.104</f>
        <v>374.7130999999999</v>
      </c>
      <c r="E9" s="15">
        <f>SQRT((('Основной эксперимент - Tаблица1'!$B$4/'Основной эксперимент - Tаблица1'!$B$3)^2+(0.005/A9)^2)*(A9*'Основной эксперимент - Tаблица1'!$B$3)^2+'Основной эксперимент - Tаблица1'!$C$4^2)</f>
        <v>10.7792976934225</v>
      </c>
    </row>
    <row r="10" ht="20.05" customHeight="1">
      <c r="A10" s="15">
        <v>0.74</v>
      </c>
      <c r="B10" s="15">
        <v>0.083</v>
      </c>
      <c r="C10" s="15">
        <f>ABS(B10-$B$3)</f>
        <v>0.05700000000000001</v>
      </c>
      <c r="D10" s="15">
        <f>525.63*A10+75.104</f>
        <v>464.0702</v>
      </c>
      <c r="E10" s="15">
        <f>SQRT((('Основной эксперимент - Tаблица1'!$B$4/'Основной эксперимент - Tаблица1'!$B$3)^2+(0.005/A10)^2)*(A10*'Основной эксперимент - Tаблица1'!$B$3)^2+'Основной эксперимент - Tаблица1'!$C$4^2)</f>
        <v>11.68808411263563</v>
      </c>
    </row>
    <row r="11" ht="20.05" customHeight="1">
      <c r="A11" s="15">
        <v>0.84</v>
      </c>
      <c r="B11" s="15">
        <v>0.09</v>
      </c>
      <c r="C11" s="15">
        <f>ABS(B11-$B$3)</f>
        <v>0.064</v>
      </c>
      <c r="D11" s="15">
        <f>525.63*A11+75.104</f>
        <v>516.6332</v>
      </c>
      <c r="E11" s="15">
        <f>SQRT((('Основной эксперимент - Tаблица1'!$B$4/'Основной эксперимент - Tаблица1'!$B$3)^2+(0.005/A11)^2)*(A11*'Основной эксперимент - Tаблица1'!$B$3)^2+'Основной эксперимент - Tаблица1'!$C$4^2)</f>
        <v>12.29216822697001</v>
      </c>
    </row>
    <row r="12" ht="20.05" customHeight="1">
      <c r="A12" s="15">
        <v>0.96</v>
      </c>
      <c r="B12" s="15">
        <v>0.098</v>
      </c>
      <c r="C12" s="15">
        <f>ABS(B12-$B$3)</f>
        <v>0.07200000000000001</v>
      </c>
      <c r="D12" s="15">
        <f>525.63*A12+75.104</f>
        <v>579.7088</v>
      </c>
      <c r="E12" s="15">
        <f>SQRT((('Основной эксперимент - Tаблица1'!$B$4/'Основной эксперимент - Tаблица1'!$B$3)^2+(0.005/A12)^2)*(A12*'Основной эксперимент - Tаблица1'!$B$3)^2+'Основной эксперимент - Tаблица1'!$C$4^2)</f>
        <v>13.07291733465909</v>
      </c>
    </row>
    <row r="13" ht="20.05" customHeight="1">
      <c r="A13" s="15">
        <v>1.12</v>
      </c>
      <c r="B13" s="15">
        <v>0.108</v>
      </c>
      <c r="C13" s="15">
        <f>ABS(B13-$B$3)</f>
        <v>0.082</v>
      </c>
      <c r="D13" s="15">
        <f>525.63*A13+75.104</f>
        <v>663.8096</v>
      </c>
      <c r="E13" s="15">
        <f>SQRT((('Основной эксперимент - Tаблица1'!$B$4/'Основной эксперимент - Tаблица1'!$B$3)^2+(0.005/A13)^2)*(A13*'Основной эксперимент - Tаблица1'!$B$3)^2+'Основной эксперимент - Tаблица1'!$C$4^2)</f>
        <v>14.19202732844552</v>
      </c>
    </row>
    <row r="14" ht="20.05" customHeight="1">
      <c r="A14" s="18"/>
      <c r="B14" s="18"/>
      <c r="C14" s="18"/>
      <c r="D14" s="18"/>
      <c r="E14" s="18"/>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Neue,Regular"&amp;11&amp;K000000&amp;P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2:E14"/>
  <sheetViews>
    <sheetView workbookViewId="0" showGridLines="0" defaultGridColor="1"/>
  </sheetViews>
  <sheetFormatPr defaultColWidth="16.3333" defaultRowHeight="19.9" customHeight="1" outlineLevelRow="0" outlineLevelCol="0"/>
  <cols>
    <col min="1" max="5" width="16.3516" style="30" customWidth="1"/>
    <col min="6" max="256" width="16.3516" style="30" customWidth="1"/>
  </cols>
  <sheetData>
    <row r="1" ht="27.65" customHeight="1">
      <c r="A1" t="s" s="7">
        <v>45</v>
      </c>
      <c r="B1" s="7"/>
      <c r="C1" s="7"/>
      <c r="D1" s="7"/>
      <c r="E1" s="7"/>
    </row>
    <row r="2" ht="20.05" customHeight="1">
      <c r="A2" t="s" s="25">
        <v>13</v>
      </c>
      <c r="B2" t="s" s="25">
        <v>35</v>
      </c>
      <c r="C2" s="26"/>
      <c r="D2" s="26"/>
      <c r="E2" s="26"/>
    </row>
    <row r="3" ht="20.05" customHeight="1">
      <c r="A3" s="15">
        <v>0.7</v>
      </c>
      <c r="B3" s="15">
        <v>0.031</v>
      </c>
      <c r="C3" s="18"/>
      <c r="D3" s="18"/>
      <c r="E3" s="18"/>
    </row>
    <row r="4" ht="20.05" customHeight="1">
      <c r="A4" t="s" s="25">
        <v>36</v>
      </c>
      <c r="B4" t="s" s="25">
        <v>37</v>
      </c>
      <c r="C4" t="s" s="25">
        <v>38</v>
      </c>
      <c r="D4" t="s" s="25">
        <v>15</v>
      </c>
      <c r="E4" s="26"/>
    </row>
    <row r="5" ht="20.05" customHeight="1">
      <c r="A5" s="26"/>
      <c r="B5" s="26"/>
      <c r="C5" s="15">
        <v>0</v>
      </c>
      <c r="D5" s="15">
        <f>525.63*A14+75.104</f>
        <v>75.104</v>
      </c>
      <c r="E5" s="26"/>
    </row>
    <row r="6" ht="20.05" customHeight="1">
      <c r="A6" s="15">
        <v>0.2</v>
      </c>
      <c r="B6" s="15">
        <v>0.048</v>
      </c>
      <c r="C6" s="15">
        <f>ABS(B6-$B$3)</f>
        <v>0.017</v>
      </c>
      <c r="D6" s="15">
        <f>525.63*A6+75.104</f>
        <v>180.23</v>
      </c>
      <c r="E6" s="15">
        <f>SQRT((('Основной эксперимент - Tаблица1'!$B$4/'Основной эксперимент - Tаблица1'!$B$3)^2+(0.005/A6)^2)*(A6*'Основной эксперимент - Tаблица1'!$B$3)^2+'Основной эксперимент - Tаблица1'!$C$4^2)</f>
        <v>9.490650958448652</v>
      </c>
    </row>
    <row r="7" ht="20.05" customHeight="1">
      <c r="A7" s="15">
        <v>0.4</v>
      </c>
      <c r="B7" s="15">
        <v>0.067</v>
      </c>
      <c r="C7" s="15">
        <f>ABS(B7-$B$3)</f>
        <v>0.036</v>
      </c>
      <c r="D7" s="15">
        <f>525.63*A7+75.104</f>
        <v>285.356</v>
      </c>
      <c r="E7" s="15">
        <f>SQRT((('Основной эксперимент - Tаблица1'!$B$4/'Основной эксперимент - Tаблица1'!$B$3)^2+(0.005/A7)^2)*(A7*'Основной эксперимент - Tаблица1'!$B$3)^2+'Основной эксперимент - Tаблица1'!$C$4^2)</f>
        <v>10.05358388353469</v>
      </c>
    </row>
    <row r="8" ht="20.05" customHeight="1">
      <c r="A8" s="15">
        <v>0.67</v>
      </c>
      <c r="B8" s="15">
        <v>0.092</v>
      </c>
      <c r="C8" s="15">
        <f>ABS(B8-$B$3)</f>
        <v>0.061</v>
      </c>
      <c r="D8" s="15">
        <f>525.63*A8+75.104</f>
        <v>427.2761</v>
      </c>
      <c r="E8" s="15">
        <f>SQRT((('Основной эксперимент - Tаблица1'!$B$4/'Основной эксперимент - Tаблица1'!$B$3)^2+(0.005/A8)^2)*(A8*'Основной эксперимент - Tаблица1'!$B$3)^2+'Основной эксперимент - Tаблица1'!$C$4^2)</f>
        <v>11.29433878075776</v>
      </c>
    </row>
    <row r="9" ht="20.05" customHeight="1">
      <c r="A9" s="15">
        <v>0.78</v>
      </c>
      <c r="B9" s="15">
        <v>0.101</v>
      </c>
      <c r="C9" s="15">
        <f>ABS(B9-$B$3)</f>
        <v>0.07000000000000001</v>
      </c>
      <c r="D9" s="15">
        <f>525.63*A9+75.104</f>
        <v>485.0954</v>
      </c>
      <c r="E9" s="15">
        <f>SQRT((('Основной эксперимент - Tаблица1'!$B$4/'Основной эксперимент - Tаблица1'!$B$3)^2+(0.005/A9)^2)*(A9*'Основной эксперимент - Tаблица1'!$B$3)^2+'Основной эксперимент - Tаблица1'!$C$4^2)</f>
        <v>11.92416471526272</v>
      </c>
    </row>
    <row r="10" ht="20.05" customHeight="1">
      <c r="A10" s="15">
        <v>0.85</v>
      </c>
      <c r="B10" s="15">
        <v>0.107</v>
      </c>
      <c r="C10" s="15">
        <f>ABS(B10-$B$3)</f>
        <v>0.076</v>
      </c>
      <c r="D10" s="15">
        <f>525.63*A10+75.104</f>
        <v>521.8895</v>
      </c>
      <c r="E10" s="15">
        <f>SQRT((('Основной эксперимент - Tаблица1'!$B$4/'Основной эксперимент - Tаблица1'!$B$3)^2+(0.005/A10)^2)*(A10*'Основной эксперимент - Tаблица1'!$B$3)^2+'Основной эксперимент - Tаблица1'!$C$4^2)</f>
        <v>12.35503384016198</v>
      </c>
    </row>
    <row r="11" ht="20.05" customHeight="1">
      <c r="A11" s="15">
        <v>0.9</v>
      </c>
      <c r="B11" s="15">
        <v>0.111</v>
      </c>
      <c r="C11" s="15">
        <f>ABS(B11-$B$3)</f>
        <v>0.08</v>
      </c>
      <c r="D11" s="15">
        <f>525.63*A11+75.104</f>
        <v>548.171</v>
      </c>
      <c r="E11" s="15">
        <f>SQRT((('Основной эксперимент - Tаблица1'!$B$4/'Основной эксперимент - Tаблица1'!$B$3)^2+(0.005/A11)^2)*(A11*'Основной эксперимент - Tаблица1'!$B$3)^2+'Основной эксперимент - Tаблица1'!$C$4^2)</f>
        <v>12.67553631531367</v>
      </c>
    </row>
    <row r="12" ht="20.05" customHeight="1">
      <c r="A12" s="15">
        <v>0.99</v>
      </c>
      <c r="B12" s="15">
        <v>0.118</v>
      </c>
      <c r="C12" s="15">
        <f>ABS(B12-$B$3)</f>
        <v>0.08699999999999999</v>
      </c>
      <c r="D12" s="15">
        <f>525.63*A12+75.104</f>
        <v>595.4777</v>
      </c>
      <c r="E12" s="15">
        <f>SQRT((('Основной эксперимент - Tаблица1'!$B$4/'Основной эксперимент - Tаблица1'!$B$3)^2+(0.005/A12)^2)*(A12*'Основной эксперимент - Tаблица1'!$B$3)^2+'Основной эксперимент - Tаблица1'!$C$4^2)</f>
        <v>13.27647122230946</v>
      </c>
    </row>
    <row r="13" ht="20.05" customHeight="1">
      <c r="A13" s="15">
        <v>1.15</v>
      </c>
      <c r="B13" s="15">
        <v>0.13</v>
      </c>
      <c r="C13" s="15">
        <f>ABS(B13-$B$3)</f>
        <v>0.099</v>
      </c>
      <c r="D13" s="15">
        <f>525.63*A13+75.104</f>
        <v>679.5785</v>
      </c>
      <c r="E13" s="15">
        <f>SQRT((('Основной эксперимент - Tаблица1'!$B$4/'Основной эксперимент - Tаблица1'!$B$3)^2+(0.005/A13)^2)*(A13*'Основной эксперимент - Tаблица1'!$B$3)^2+'Основной эксперимент - Tаблица1'!$C$4^2)</f>
        <v>14.4103201779967</v>
      </c>
    </row>
    <row r="14" ht="20.05" customHeight="1">
      <c r="A14" s="18"/>
      <c r="B14" s="18"/>
      <c r="C14" s="18"/>
      <c r="D14" s="18"/>
      <c r="E14" s="18"/>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Neue,Regular"&amp;11&amp;K000000&amp;P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2:E14"/>
  <sheetViews>
    <sheetView workbookViewId="0" showGridLines="0" defaultGridColor="1"/>
  </sheetViews>
  <sheetFormatPr defaultColWidth="16.3333" defaultRowHeight="19.9" customHeight="1" outlineLevelRow="0" outlineLevelCol="0"/>
  <cols>
    <col min="1" max="5" width="16.3516" style="31" customWidth="1"/>
    <col min="6" max="256" width="16.3516" style="31" customWidth="1"/>
  </cols>
  <sheetData>
    <row r="1" ht="27.65" customHeight="1">
      <c r="A1" t="s" s="7">
        <v>47</v>
      </c>
      <c r="B1" s="7"/>
      <c r="C1" s="7"/>
      <c r="D1" s="7"/>
      <c r="E1" s="7"/>
    </row>
    <row r="2" ht="20.05" customHeight="1">
      <c r="A2" t="s" s="25">
        <v>13</v>
      </c>
      <c r="B2" t="s" s="25">
        <v>35</v>
      </c>
      <c r="C2" s="26"/>
      <c r="D2" s="26"/>
      <c r="E2" s="26"/>
    </row>
    <row r="3" ht="20.05" customHeight="1">
      <c r="A3" s="15">
        <v>0.8</v>
      </c>
      <c r="B3" s="15">
        <v>0.035</v>
      </c>
      <c r="C3" s="18"/>
      <c r="D3" s="18"/>
      <c r="E3" s="18"/>
    </row>
    <row r="4" ht="20.05" customHeight="1">
      <c r="A4" t="s" s="25">
        <v>36</v>
      </c>
      <c r="B4" t="s" s="25">
        <v>37</v>
      </c>
      <c r="C4" t="s" s="25">
        <v>38</v>
      </c>
      <c r="D4" t="s" s="25">
        <v>15</v>
      </c>
      <c r="E4" s="26"/>
    </row>
    <row r="5" ht="20.05" customHeight="1">
      <c r="A5" s="26"/>
      <c r="B5" s="26"/>
      <c r="C5" s="15">
        <v>0</v>
      </c>
      <c r="D5" s="15">
        <f>525.63*A14+75.104</f>
        <v>75.104</v>
      </c>
      <c r="E5" s="26"/>
    </row>
    <row r="6" ht="20.05" customHeight="1">
      <c r="A6" s="15">
        <v>0.22</v>
      </c>
      <c r="B6" s="15">
        <v>0.057</v>
      </c>
      <c r="C6" s="15">
        <f>ABS(B6-$B$3)</f>
        <v>0.022</v>
      </c>
      <c r="D6" s="15">
        <f>525.63*A6+75.104</f>
        <v>190.7426</v>
      </c>
      <c r="E6" s="15">
        <f>SQRT((('Основной эксперимент - Tаблица1'!$B$4/'Основной эксперимент - Tаблица1'!$B$3)^2+(0.005/A6)^2)*(A6*'Основной эксперимент - Tаблица1'!$B$3)^2+'Основной эксперимент - Tаблица1'!$C$4^2)</f>
        <v>9.531138554510365</v>
      </c>
    </row>
    <row r="7" ht="20.05" customHeight="1">
      <c r="A7" s="15">
        <v>0.3</v>
      </c>
      <c r="B7" s="15">
        <v>0.066</v>
      </c>
      <c r="C7" s="15">
        <f>ABS(B7-$B$3)</f>
        <v>0.031</v>
      </c>
      <c r="D7" s="15">
        <f>525.63*A7+75.104</f>
        <v>232.793</v>
      </c>
      <c r="E7" s="15">
        <f>SQRT((('Основной эксперимент - Tаблица1'!$B$4/'Основной эксперимент - Tаблица1'!$B$3)^2+(0.005/A7)^2)*(A7*'Основной эксперимент - Tаблица1'!$B$3)^2+'Основной эксперимент - Tаблица1'!$C$4^2)</f>
        <v>9.729165491029446</v>
      </c>
    </row>
    <row r="8" ht="20.05" customHeight="1">
      <c r="A8" s="15">
        <v>0.4</v>
      </c>
      <c r="B8" s="15">
        <v>0.076</v>
      </c>
      <c r="C8" s="15">
        <f>ABS(B8-$B$3)</f>
        <v>0.04099999999999999</v>
      </c>
      <c r="D8" s="15">
        <f>525.63*A8+75.104</f>
        <v>285.356</v>
      </c>
      <c r="E8" s="15">
        <f>SQRT((('Основной эксперимент - Tаблица1'!$B$4/'Основной эксперимент - Tаблица1'!$B$3)^2+(0.005/A8)^2)*(A8*'Основной эксперимент - Tаблица1'!$B$3)^2+'Основной эксперимент - Tаблица1'!$C$4^2)</f>
        <v>10.05358388353469</v>
      </c>
    </row>
    <row r="9" ht="20.05" customHeight="1">
      <c r="A9" s="15">
        <v>0.52</v>
      </c>
      <c r="B9" s="15">
        <v>0.089</v>
      </c>
      <c r="C9" s="15">
        <f>ABS(B9-$B$3)</f>
        <v>0.05399999999999999</v>
      </c>
      <c r="D9" s="15">
        <f>525.63*A9+75.104</f>
        <v>348.4316</v>
      </c>
      <c r="E9" s="15">
        <f>SQRT((('Основной эксперимент - Tаблица1'!$B$4/'Основной эксперимент - Tаблица1'!$B$3)^2+(0.005/A9)^2)*(A9*'Основной эксперимент - Tаблица1'!$B$3)^2+'Основной эксперимент - Tаблица1'!$C$4^2)</f>
        <v>10.54497390837841</v>
      </c>
    </row>
    <row r="10" ht="20.05" customHeight="1">
      <c r="A10" s="15">
        <v>0.65</v>
      </c>
      <c r="B10" s="15">
        <v>0.102</v>
      </c>
      <c r="C10" s="15">
        <f>ABS(B10-$B$3)</f>
        <v>0.06699999999999999</v>
      </c>
      <c r="D10" s="15">
        <f>525.63*A10+75.104</f>
        <v>416.7635</v>
      </c>
      <c r="E10" s="15">
        <f>SQRT((('Основной эксперимент - Tаблица1'!$B$4/'Основной эксперимент - Tаблица1'!$B$3)^2+(0.005/A10)^2)*(A10*'Основной эксперимент - Tаблица1'!$B$3)^2+'Основной эксперимент - Tаблица1'!$C$4^2)</f>
        <v>11.18667188984875</v>
      </c>
    </row>
    <row r="11" ht="20.05" customHeight="1">
      <c r="A11" s="15">
        <v>0.74</v>
      </c>
      <c r="B11" s="15">
        <v>0.112</v>
      </c>
      <c r="C11" s="15">
        <f>ABS(B11-$B$3)</f>
        <v>0.077</v>
      </c>
      <c r="D11" s="15">
        <f>525.63*A11+75.104</f>
        <v>464.0702</v>
      </c>
      <c r="E11" s="15">
        <f>SQRT((('Основной эксперимент - Tаблица1'!$B$4/'Основной эксперимент - Tаблица1'!$B$3)^2+(0.005/A11)^2)*(A11*'Основной эксперимент - Tаблица1'!$B$3)^2+'Основной эксперимент - Tаблица1'!$C$4^2)</f>
        <v>11.68808411263563</v>
      </c>
    </row>
    <row r="12" ht="20.05" customHeight="1">
      <c r="A12" s="15">
        <v>0.93</v>
      </c>
      <c r="B12" s="15">
        <v>0.13</v>
      </c>
      <c r="C12" s="15">
        <f>ABS(B12-$B$3)</f>
        <v>0.095</v>
      </c>
      <c r="D12" s="15">
        <f>525.63*A12+75.104</f>
        <v>563.9399000000001</v>
      </c>
      <c r="E12" s="15">
        <f>SQRT((('Основной эксперимент - Tаблица1'!$B$4/'Основной эксперимент - Tаблица1'!$B$3)^2+(0.005/A12)^2)*(A12*'Основной эксперимент - Tаблица1'!$B$3)^2+'Основной эксперимент - Tаблица1'!$C$4^2)</f>
        <v>12.87255524595531</v>
      </c>
    </row>
    <row r="13" ht="20.05" customHeight="1">
      <c r="A13" s="15">
        <v>1.11</v>
      </c>
      <c r="B13" s="15">
        <v>0.146</v>
      </c>
      <c r="C13" s="15">
        <f>ABS(B13-$B$3)</f>
        <v>0.111</v>
      </c>
      <c r="D13" s="15">
        <f>525.63*A13+75.104</f>
        <v>658.5533</v>
      </c>
      <c r="E13" s="15">
        <f>SQRT((('Основной эксперимент - Tаблица1'!$B$4/'Основной эксперимент - Tаблица1'!$B$3)^2+(0.005/A13)^2)*(A13*'Основной эксперимент - Tаблица1'!$B$3)^2+'Основной эксперимент - Tаблица1'!$C$4^2)</f>
        <v>14.11981175589676</v>
      </c>
    </row>
    <row r="14" ht="20.05" customHeight="1">
      <c r="A14" s="18"/>
      <c r="B14" s="18"/>
      <c r="C14" s="18"/>
      <c r="D14" s="18"/>
      <c r="E14" s="18"/>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Neue,Regular"&amp;11&amp;K000000&amp;P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2:G10"/>
  <sheetViews>
    <sheetView workbookViewId="0" showGridLines="0" defaultGridColor="1"/>
  </sheetViews>
  <sheetFormatPr defaultColWidth="16.3333" defaultRowHeight="19.9" customHeight="1" outlineLevelRow="0" outlineLevelCol="0"/>
  <cols>
    <col min="1" max="7" width="16.3516" style="32" customWidth="1"/>
    <col min="8" max="256" width="16.3516" style="32" customWidth="1"/>
  </cols>
  <sheetData>
    <row r="1" ht="27.65" customHeight="1">
      <c r="A1" t="s" s="7">
        <v>20</v>
      </c>
      <c r="B1" s="7"/>
      <c r="C1" s="7"/>
      <c r="D1" s="7"/>
      <c r="E1" s="7"/>
      <c r="F1" s="7"/>
      <c r="G1" s="7"/>
    </row>
    <row r="2" ht="20.05" customHeight="1">
      <c r="A2" t="s" s="22">
        <v>50</v>
      </c>
      <c r="B2" t="s" s="22">
        <v>51</v>
      </c>
      <c r="C2" t="s" s="22">
        <v>52</v>
      </c>
      <c r="D2" t="s" s="22">
        <v>53</v>
      </c>
      <c r="E2" t="s" s="22">
        <v>54</v>
      </c>
      <c r="F2" s="18"/>
      <c r="G2" t="s" s="22">
        <v>55</v>
      </c>
    </row>
    <row r="3" ht="20.05" customHeight="1">
      <c r="A3" s="15">
        <f>'Эксперимент 2 - 1'!A3</f>
        <v>0.3</v>
      </c>
      <c r="B3" s="15">
        <v>7.118916383040741e-05</v>
      </c>
      <c r="C3" s="15">
        <v>1.519689903727492e-06</v>
      </c>
      <c r="D3" s="15">
        <f>0.005*A3</f>
        <v>0.0015</v>
      </c>
      <c r="E3" s="18"/>
      <c r="F3" t="s" s="22">
        <v>56</v>
      </c>
      <c r="G3" s="18">
        <f>E3*'Основной эксперимент - Параметр'!B2</f>
      </c>
    </row>
    <row r="4" ht="20.05" customHeight="1">
      <c r="A4" s="15">
        <f>'Эксперимент 2 - 2'!A3</f>
        <v>0.41</v>
      </c>
      <c r="B4" s="15">
        <v>9.662574546822699e-05</v>
      </c>
      <c r="C4" s="15">
        <v>1.63453875048355e-06</v>
      </c>
      <c r="D4" s="15">
        <f>0.005*A4</f>
        <v>0.00205</v>
      </c>
      <c r="E4" s="18"/>
      <c r="F4" t="s" s="22">
        <v>57</v>
      </c>
      <c r="G4" s="18">
        <f>G3*E4/E3</f>
      </c>
    </row>
    <row r="5" ht="20.05" customHeight="1">
      <c r="A5" s="15">
        <f>'Эксперимент 2 - 3'!A3</f>
        <v>0.51</v>
      </c>
      <c r="B5" s="15">
        <v>0.0001214285315686576</v>
      </c>
      <c r="C5" s="15">
        <v>2.357003596585852e-06</v>
      </c>
      <c r="D5" s="15">
        <f>0.005*A5</f>
        <v>0.00255</v>
      </c>
      <c r="E5" s="18"/>
      <c r="F5" s="18"/>
      <c r="G5" t="s" s="22">
        <v>58</v>
      </c>
    </row>
    <row r="6" ht="20.05" customHeight="1">
      <c r="A6" s="15">
        <f>'Эксперимент 2 - 4'!A3</f>
        <v>0.59</v>
      </c>
      <c r="B6" s="15">
        <v>0.0001398810771613454</v>
      </c>
      <c r="C6" s="15">
        <v>2.65263791453318e-06</v>
      </c>
      <c r="D6" s="15">
        <f>0.005*A6</f>
        <v>0.00295</v>
      </c>
      <c r="E6" s="18"/>
      <c r="F6" t="s" s="22">
        <v>59</v>
      </c>
      <c r="G6" s="18">
        <f>1/(G3*1.602176487*10^(-19))</f>
      </c>
    </row>
    <row r="7" ht="20.05" customHeight="1">
      <c r="A7" s="15">
        <f>'Эксперимент 2 - 5'!A3</f>
        <v>0.7</v>
      </c>
      <c r="B7" s="15">
        <v>0.0001654190016233868</v>
      </c>
      <c r="C7" s="15">
        <v>3.237327429543977e-06</v>
      </c>
      <c r="D7" s="15">
        <f>0.005*A7</f>
        <v>0.0035</v>
      </c>
      <c r="E7" s="18"/>
      <c r="F7" s="18"/>
      <c r="G7" s="18">
        <f>G6*10^-22</f>
      </c>
    </row>
    <row r="8" ht="20.05" customHeight="1">
      <c r="A8" s="15">
        <f>'Эксперимент 2 - 6'!A3</f>
        <v>0.8</v>
      </c>
      <c r="B8" s="15">
        <v>0.0001914488321649401</v>
      </c>
      <c r="C8" s="15">
        <v>2.614635527544178e-06</v>
      </c>
      <c r="D8" s="15">
        <f>0.005*A8</f>
        <v>0.004</v>
      </c>
      <c r="E8" s="18"/>
      <c r="F8" t="s" s="22">
        <v>57</v>
      </c>
      <c r="G8" s="18">
        <f>G4/G3*G6</f>
      </c>
    </row>
    <row r="9" ht="20.05" customHeight="1">
      <c r="A9" s="18">
        <f>#REF!</f>
      </c>
      <c r="B9" s="18">
        <f>LINEST(#REF!,#REF!,TRUE,FALSE)</f>
      </c>
      <c r="C9" s="18">
        <f>INDEX(LINEST(#REF!,#REF!,TRUE,TRUE),2,1)</f>
      </c>
      <c r="D9" s="18">
        <f>0.005*A9</f>
      </c>
      <c r="E9" s="18"/>
      <c r="F9" s="18"/>
      <c r="G9" s="18">
        <f>G8*10^-22</f>
      </c>
    </row>
    <row r="10" ht="20.05" customHeight="1">
      <c r="A10" s="18">
        <f>#REF!</f>
      </c>
      <c r="B10" s="18">
        <f>LINEST(#REF!,#REF!,TRUE,FALSE)</f>
      </c>
      <c r="C10" s="18">
        <f>INDEX(LINEST(#REF!,#REF!,TRUE,TRUE),2,1)</f>
      </c>
      <c r="D10" s="18">
        <f>0.005*A10</f>
      </c>
      <c r="E10" s="18"/>
      <c r="F10" s="18"/>
      <c r="G10" s="18"/>
    </row>
  </sheetData>
  <mergeCells count="1">
    <mergeCell ref="A1:G1"/>
  </mergeCells>
  <pageMargins left="1" right="1" top="1" bottom="1" header="0.25" footer="0.25"/>
  <pageSetup firstPageNumber="1" fitToHeight="1" fitToWidth="1" scale="100" useFirstPageNumber="0" orientation="portrait" pageOrder="downThenOver"/>
  <headerFooter>
    <oddFooter>&amp;C&amp;"Helvetica Neue,Regular"&amp;11&amp;K000000&amp;P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1" right="1" top="1" bottom="1" header="0.25" footer="0.25"/>
  <pageSetup firstPageNumber="1" fitToHeight="1" fitToWidth="1" scale="100" useFirstPageNumber="0" orientation="portrait" pageOrder="downThenOver"/>
  <headerFooter>
    <oddFooter>&amp;C&amp;"Helvetica Neue,Regular"&amp;11&amp;K000000&amp;P</oddFooter>
  </headerFooter>
  <drawing r:id="rId1"/>
</worksheet>
</file>

<file path=xl/worksheets/sheet17.xml><?xml version="1.0" encoding="utf-8"?>
<worksheet xmlns:r="http://schemas.openxmlformats.org/officeDocument/2006/relationships" xmlns="http://schemas.openxmlformats.org/spreadsheetml/2006/main">
  <sheetPr>
    <pageSetUpPr fitToPage="1"/>
  </sheetPr>
  <dimension ref="A2:B11"/>
  <sheetViews>
    <sheetView workbookViewId="0" showGridLines="0" defaultGridColor="1">
      <pane topLeftCell="A3" xSplit="0" ySplit="2" activePane="bottomLeft" state="frozen"/>
    </sheetView>
  </sheetViews>
  <sheetFormatPr defaultColWidth="16.3333" defaultRowHeight="19.9" customHeight="1" outlineLevelRow="0" outlineLevelCol="0"/>
  <cols>
    <col min="1" max="1" width="18.6719" style="33" customWidth="1"/>
    <col min="2" max="2" width="16.3516" style="33" customWidth="1"/>
    <col min="3" max="256" width="16.3516" style="33" customWidth="1"/>
  </cols>
  <sheetData>
    <row r="1" ht="27.65" customHeight="1">
      <c r="A1" t="s" s="7">
        <v>20</v>
      </c>
      <c r="B1" s="7"/>
    </row>
    <row r="2" ht="20.25" customHeight="1">
      <c r="A2" t="s" s="11">
        <v>63</v>
      </c>
      <c r="B2" t="s" s="11">
        <v>64</v>
      </c>
    </row>
    <row r="3" ht="20.25" customHeight="1">
      <c r="A3" s="13">
        <v>1.72</v>
      </c>
      <c r="B3" s="13">
        <v>1</v>
      </c>
    </row>
    <row r="4" ht="20.05" customHeight="1">
      <c r="A4" s="15">
        <v>1.722</v>
      </c>
      <c r="B4" s="15">
        <v>1</v>
      </c>
    </row>
    <row r="5" ht="20.05" customHeight="1">
      <c r="A5" s="15">
        <v>1.723</v>
      </c>
      <c r="B5" s="15">
        <v>1</v>
      </c>
    </row>
    <row r="6" ht="20.05" customHeight="1">
      <c r="A6" s="15">
        <v>1.724</v>
      </c>
      <c r="B6" s="15">
        <v>1</v>
      </c>
    </row>
    <row r="7" ht="20.05" customHeight="1">
      <c r="A7" s="15">
        <v>1.721</v>
      </c>
      <c r="B7" s="15">
        <v>1</v>
      </c>
    </row>
    <row r="8" ht="20.05" customHeight="1">
      <c r="A8" s="15">
        <v>1.724</v>
      </c>
      <c r="B8" s="15">
        <v>1</v>
      </c>
    </row>
    <row r="9" ht="20.05" customHeight="1">
      <c r="A9" s="15">
        <v>1.724</v>
      </c>
      <c r="B9" s="15">
        <v>1</v>
      </c>
    </row>
    <row r="10" ht="20.05" customHeight="1">
      <c r="A10" s="34">
        <f>AVERAGE(A3:A9)</f>
        <v>1.722571428571429</v>
      </c>
      <c r="B10" s="34">
        <f>AVERAGE(B3:B9)</f>
        <v>1</v>
      </c>
    </row>
    <row r="11" ht="20.05" customHeight="1">
      <c r="A11" s="15">
        <f>AVEDEV(A3:A9)</f>
        <v>0.001346938775510192</v>
      </c>
      <c r="B11" s="15">
        <f>0.5/100*B10</f>
        <v>0.005</v>
      </c>
    </row>
  </sheetData>
  <mergeCells count="1">
    <mergeCell ref="A1:B1"/>
  </mergeCells>
  <pageMargins left="1" right="1" top="1" bottom="1" header="0.25" footer="0.25"/>
  <pageSetup firstPageNumber="1" fitToHeight="1" fitToWidth="1" scale="100" useFirstPageNumber="0" orientation="portrait" pageOrder="downThenOver"/>
  <headerFooter>
    <oddFooter>&amp;C&amp;"Helvetica Neue,Regular"&amp;11&amp;K000000&amp;P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2:B5"/>
  <sheetViews>
    <sheetView workbookViewId="0" showGridLines="0" defaultGridColor="1">
      <pane topLeftCell="B1" xSplit="1" ySplit="0" activePane="topRight" state="frozen"/>
    </sheetView>
  </sheetViews>
  <sheetFormatPr defaultColWidth="16.3333" defaultRowHeight="19.9" customHeight="1" outlineLevelRow="0" outlineLevelCol="0"/>
  <cols>
    <col min="1" max="2" width="16.3516" style="35" customWidth="1"/>
    <col min="3" max="256" width="16.3516" style="35" customWidth="1"/>
  </cols>
  <sheetData>
    <row r="1" ht="27.65" customHeight="1">
      <c r="A1" t="s" s="7">
        <v>23</v>
      </c>
      <c r="B1" s="7"/>
    </row>
    <row r="2" ht="20.05" customHeight="1">
      <c r="A2" t="s" s="8">
        <v>66</v>
      </c>
      <c r="B2" s="9">
        <f>('Эксперимент 3 - Tаблица 1'!B10*('Основной эксперимент - Параметр'!B3))/('Эксперимент 3 - Tаблица 1'!A10*10^-3*'Основной эксперимент - Параметр'!B2*'Основной эксперимент - Параметр'!B4)</f>
        <v>316.651336721</v>
      </c>
    </row>
    <row r="3" ht="20.05" customHeight="1">
      <c r="A3" t="s" s="8">
        <v>67</v>
      </c>
      <c r="B3" s="20">
        <f>B2/('Эксперимент 2 - Tаблица 1'!G6*1.602*10^(-19))</f>
      </c>
    </row>
    <row r="4" ht="20.05" customHeight="1">
      <c r="A4" t="s" s="8">
        <v>68</v>
      </c>
      <c r="B4" s="9">
        <f>'Эксперимент 3 - Tаблица 3'!D4*10^3</f>
        <v>1.602500500338646</v>
      </c>
    </row>
    <row r="5" ht="20.05" customHeight="1">
      <c r="A5" t="s" s="8">
        <v>69</v>
      </c>
      <c r="B5" s="20">
        <f>B3*B4/B2</f>
      </c>
    </row>
  </sheetData>
  <mergeCells count="1">
    <mergeCell ref="A1:B1"/>
  </mergeCells>
  <pageMargins left="1" right="1" top="1" bottom="1" header="0.25" footer="0.25"/>
  <pageSetup firstPageNumber="1" fitToHeight="1" fitToWidth="1" scale="100" useFirstPageNumber="0" orientation="portrait" pageOrder="downThenOver"/>
  <headerFooter>
    <oddFooter>&amp;C&amp;"Helvetica Neue,Regular"&amp;11&amp;K000000&amp;P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2:D4"/>
  <sheetViews>
    <sheetView workbookViewId="0" showGridLines="0" defaultGridColor="1"/>
  </sheetViews>
  <sheetFormatPr defaultColWidth="16.3333" defaultRowHeight="19.9" customHeight="1" outlineLevelRow="0" outlineLevelCol="0"/>
  <cols>
    <col min="1" max="4" width="16.3516" style="36" customWidth="1"/>
    <col min="5" max="256" width="16.3516" style="36" customWidth="1"/>
  </cols>
  <sheetData>
    <row r="1" ht="27.65" customHeight="1">
      <c r="A1" t="s" s="7">
        <v>70</v>
      </c>
      <c r="B1" s="7"/>
      <c r="C1" s="7"/>
      <c r="D1" s="7"/>
    </row>
    <row r="2" ht="20.05" customHeight="1">
      <c r="A2" t="s" s="22">
        <v>72</v>
      </c>
      <c r="B2" s="15">
        <f>'Основной эксперимент - Параметр'!B3/('Основной эксперимент - Параметр'!B2*'Основной эксперимент - Параметр'!B4*'Эксперимент 3 - Tаблица 1'!A10)</f>
        <v>0.316651336721</v>
      </c>
      <c r="C2" s="15">
        <f>B2^2</f>
        <v>0.1002680690471962</v>
      </c>
      <c r="D2" s="15">
        <f>C2*'Эксперимент 3 - Tаблица 1'!B11^2</f>
        <v>2.506701726179904e-06</v>
      </c>
    </row>
    <row r="3" ht="20.05" customHeight="1">
      <c r="A3" t="s" s="22">
        <v>73</v>
      </c>
      <c r="B3" s="15">
        <f>('Эксперимент 3 - Tаблица 1'!B10*'Основной эксперимент - Параметр'!B3)/('Основной эксперимент - Параметр'!B2*'Основной эксперимент - Параметр'!B4*'Эксперимент 3 - Tаблица 1'!A10^2)</f>
        <v>0.1838247932531929</v>
      </c>
      <c r="C3" s="15">
        <f>B3^2</f>
        <v>0.03379155461457911</v>
      </c>
      <c r="D3" s="15">
        <f>C3*'Эксперимент 3 - Tаблица 1'!A11^2</f>
        <v>6.130612740570758e-08</v>
      </c>
    </row>
    <row r="4" ht="20.05" customHeight="1">
      <c r="A4" s="18"/>
      <c r="B4" s="18"/>
      <c r="C4" s="18"/>
      <c r="D4" s="15">
        <f>SQRT(D2+D3)</f>
        <v>0.001602500500338646</v>
      </c>
    </row>
  </sheetData>
  <mergeCells count="1">
    <mergeCell ref="A1:D1"/>
  </mergeCells>
  <pageMargins left="1" right="1" top="1" bottom="1" header="0.25" footer="0.25"/>
  <pageSetup firstPageNumber="1" fitToHeight="1" fitToWidth="1" scale="100" useFirstPageNumber="0" orientation="portrait" pageOrder="downThenOver"/>
  <headerFooter>
    <oddFooter>&amp;C&amp;"Helvetica Neue,Regular"&amp;11&amp;K000000&amp;P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2:B4"/>
  <sheetViews>
    <sheetView workbookViewId="0" showGridLines="0" defaultGridColor="1">
      <pane topLeftCell="B1" xSplit="1" ySplit="0" activePane="topRight" state="frozen"/>
    </sheetView>
  </sheetViews>
  <sheetFormatPr defaultColWidth="16.3333" defaultRowHeight="19.9" customHeight="1" outlineLevelRow="0" outlineLevelCol="0"/>
  <cols>
    <col min="1" max="2" width="16.3516" style="6" customWidth="1"/>
    <col min="3" max="256" width="16.3516" style="6" customWidth="1"/>
  </cols>
  <sheetData>
    <row r="1" ht="27.65" customHeight="1">
      <c r="A1" t="s" s="7">
        <v>5</v>
      </c>
      <c r="B1" s="7"/>
    </row>
    <row r="2" ht="20.05" customHeight="1">
      <c r="A2" t="s" s="8">
        <v>7</v>
      </c>
      <c r="B2" s="9">
        <v>2.2</v>
      </c>
    </row>
    <row r="3" ht="20.05" customHeight="1">
      <c r="A3" t="s" s="8">
        <v>8</v>
      </c>
      <c r="B3" s="9">
        <v>3</v>
      </c>
    </row>
    <row r="4" ht="20.05" customHeight="1">
      <c r="A4" t="s" s="8">
        <v>9</v>
      </c>
      <c r="B4" s="9">
        <v>2.5</v>
      </c>
    </row>
  </sheetData>
  <mergeCells count="1">
    <mergeCell ref="A1:B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F9"/>
  <sheetViews>
    <sheetView workbookViewId="0" showGridLines="0" defaultGridColor="1">
      <pane topLeftCell="A3" xSplit="0" ySplit="2" activePane="bottomLeft" state="frozen"/>
    </sheetView>
  </sheetViews>
  <sheetFormatPr defaultColWidth="16.3333" defaultRowHeight="19.9" customHeight="1" outlineLevelRow="0" outlineLevelCol="0"/>
  <cols>
    <col min="1" max="6" width="16.3516" style="10" customWidth="1"/>
    <col min="7" max="256" width="16.3516" style="10" customWidth="1"/>
  </cols>
  <sheetData>
    <row r="1" ht="27.65" customHeight="1">
      <c r="A1" t="s" s="7">
        <v>10</v>
      </c>
      <c r="B1" s="7"/>
      <c r="C1" s="7"/>
      <c r="D1" s="7"/>
      <c r="E1" s="7"/>
      <c r="F1" s="7"/>
    </row>
    <row r="2" ht="20.25" customHeight="1">
      <c r="A2" t="s" s="11">
        <v>12</v>
      </c>
      <c r="B2" t="s" s="11">
        <v>13</v>
      </c>
      <c r="C2" t="s" s="11">
        <v>14</v>
      </c>
      <c r="D2" t="s" s="11">
        <v>15</v>
      </c>
      <c r="E2" s="12"/>
      <c r="F2" s="12"/>
    </row>
    <row r="3" ht="20.25" customHeight="1">
      <c r="A3" s="13">
        <f>7-1.7</f>
        <v>5.3</v>
      </c>
      <c r="B3" s="13">
        <v>1.21</v>
      </c>
      <c r="C3" s="13">
        <v>66.5</v>
      </c>
      <c r="D3" s="14">
        <f>A3/'Основной эксперимент - Tаблица '!$B$2</f>
        <v>706.6666666666666</v>
      </c>
      <c r="E3" s="14">
        <f>0.05*D3</f>
        <v>35.33333333333334</v>
      </c>
      <c r="F3" s="14">
        <f>0.005*B3</f>
        <v>0.00605</v>
      </c>
    </row>
    <row r="4" ht="20.05" customHeight="1">
      <c r="A4" s="15">
        <f>6.8-1.7</f>
        <v>5.1</v>
      </c>
      <c r="B4" s="15">
        <v>1.16</v>
      </c>
      <c r="C4" s="15">
        <v>64</v>
      </c>
      <c r="D4" s="16">
        <f>A4/'Основной эксперимент - Tаблица '!$B$2</f>
        <v>680</v>
      </c>
      <c r="E4" s="16">
        <f>0.05*D4</f>
        <v>34</v>
      </c>
      <c r="F4" s="16">
        <f>0.005*B4</f>
        <v>0.0058</v>
      </c>
    </row>
    <row r="5" ht="20.05" customHeight="1">
      <c r="A5" s="15">
        <f>6.5-1.7</f>
        <v>4.8</v>
      </c>
      <c r="B5" s="15">
        <v>1.07</v>
      </c>
      <c r="C5" s="15">
        <v>59.1</v>
      </c>
      <c r="D5" s="16">
        <f>A5/'Основной эксперимент - Tаблица '!$B$2</f>
        <v>640</v>
      </c>
      <c r="E5" s="16">
        <f>0.05*D5</f>
        <v>32</v>
      </c>
      <c r="F5" s="16">
        <f>0.005*B5</f>
        <v>0.005350000000000001</v>
      </c>
    </row>
    <row r="6" ht="20.05" customHeight="1">
      <c r="A6" s="15">
        <f>6-1.7</f>
        <v>4.3</v>
      </c>
      <c r="B6" s="15">
        <v>0.93</v>
      </c>
      <c r="C6" s="15">
        <v>51.4</v>
      </c>
      <c r="D6" s="16">
        <f>A6/'Основной эксперимент - Tаблица '!$B$2</f>
        <v>573.3333333333334</v>
      </c>
      <c r="E6" s="16">
        <f>0.05*D6</f>
        <v>28.66666666666667</v>
      </c>
      <c r="F6" s="16">
        <f>0.005*B6</f>
        <v>0.00465</v>
      </c>
    </row>
    <row r="7" ht="20.05" customHeight="1">
      <c r="A7" s="15">
        <f>5.4-1.8</f>
        <v>3.600000000000001</v>
      </c>
      <c r="B7" s="15">
        <v>0.76</v>
      </c>
      <c r="C7" s="15">
        <v>42.1</v>
      </c>
      <c r="D7" s="16">
        <f>A7/'Основной эксперимент - Tаблица '!$B$2</f>
        <v>480.0000000000001</v>
      </c>
      <c r="E7" s="16">
        <f>0.05*D7</f>
        <v>24.00000000000001</v>
      </c>
      <c r="F7" s="16">
        <f>0.005*B7</f>
        <v>0.0038</v>
      </c>
    </row>
    <row r="8" ht="20.05" customHeight="1">
      <c r="A8" s="15">
        <f>4.9-1.8</f>
        <v>3.100000000000001</v>
      </c>
      <c r="B8" s="15">
        <v>0.65</v>
      </c>
      <c r="C8" s="15">
        <v>35.8</v>
      </c>
      <c r="D8" s="16">
        <f>A8/'Основной эксперимент - Tаблица '!$B$2</f>
        <v>413.3333333333334</v>
      </c>
      <c r="E8" s="16">
        <f>0.05*D8</f>
        <v>20.66666666666667</v>
      </c>
      <c r="F8" s="16">
        <f>0.005*B8</f>
        <v>0.00325</v>
      </c>
    </row>
    <row r="9" ht="20.05" customHeight="1">
      <c r="A9" s="15">
        <f>4.3-1.8</f>
        <v>2.5</v>
      </c>
      <c r="B9" s="15">
        <v>0.5</v>
      </c>
      <c r="C9" s="15">
        <v>27.4</v>
      </c>
      <c r="D9" s="15">
        <f>A9/'Основной эксперимент - Tаблица '!$B$2</f>
        <v>333.3333333333334</v>
      </c>
      <c r="E9" s="15">
        <f>0.05*D9</f>
        <v>16.66666666666667</v>
      </c>
      <c r="F9" s="16">
        <f>0.005*B9</f>
        <v>0.0025</v>
      </c>
    </row>
  </sheetData>
  <mergeCells count="1">
    <mergeCell ref="A1:F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C4"/>
  <sheetViews>
    <sheetView workbookViewId="0" showGridLines="0" defaultGridColor="1"/>
  </sheetViews>
  <sheetFormatPr defaultColWidth="16.3333" defaultRowHeight="19.9" customHeight="1" outlineLevelRow="0" outlineLevelCol="0"/>
  <cols>
    <col min="1" max="3" width="16.3516" style="17" customWidth="1"/>
    <col min="4" max="256" width="16.3516" style="17" customWidth="1"/>
  </cols>
  <sheetData>
    <row r="1" ht="27.65" customHeight="1">
      <c r="A1" t="s" s="7">
        <v>16</v>
      </c>
      <c r="B1" s="7"/>
      <c r="C1" s="7"/>
    </row>
    <row r="2" ht="20.05" customHeight="1">
      <c r="A2" s="15">
        <v>0</v>
      </c>
      <c r="B2" s="18"/>
      <c r="C2" s="15">
        <f>523.63*A2+75.104</f>
        <v>75.104</v>
      </c>
    </row>
    <row r="3" ht="20.05" customHeight="1">
      <c r="A3" s="15">
        <v>1.5</v>
      </c>
      <c r="B3" s="18"/>
      <c r="C3" s="15">
        <f>523.63*A3+75.104</f>
        <v>860.549</v>
      </c>
    </row>
    <row r="4" ht="20.05" customHeight="1">
      <c r="A4" s="15">
        <v>0.75</v>
      </c>
      <c r="B4" s="18"/>
      <c r="C4" s="15">
        <f>523.63*A4+75.104</f>
        <v>467.8265</v>
      </c>
    </row>
  </sheetData>
  <mergeCells count="1">
    <mergeCell ref="A1:C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B4"/>
  <sheetViews>
    <sheetView workbookViewId="0" showGridLines="0" defaultGridColor="1">
      <pane topLeftCell="B1" xSplit="1" ySplit="0" activePane="topRight" state="frozen"/>
    </sheetView>
  </sheetViews>
  <sheetFormatPr defaultColWidth="16.3333" defaultRowHeight="19.9" customHeight="1" outlineLevelRow="0" outlineLevelCol="0"/>
  <cols>
    <col min="1" max="2" width="16.3516" style="19" customWidth="1"/>
    <col min="3" max="256" width="16.3516" style="19" customWidth="1"/>
  </cols>
  <sheetData>
    <row r="1" ht="27.65" customHeight="1">
      <c r="A1" t="s" s="7">
        <v>18</v>
      </c>
      <c r="B1" s="7"/>
    </row>
    <row r="2" ht="20.05" customHeight="1">
      <c r="A2" t="s" s="8">
        <v>12</v>
      </c>
      <c r="B2" s="20"/>
    </row>
    <row r="3" ht="20.05" customHeight="1">
      <c r="A3" t="s" s="8">
        <v>13</v>
      </c>
      <c r="B3" s="20"/>
    </row>
    <row r="4" ht="20.05" customHeight="1">
      <c r="A4" t="s" s="8">
        <v>14</v>
      </c>
      <c r="B4" s="20"/>
    </row>
  </sheetData>
  <mergeCells count="1">
    <mergeCell ref="A1:B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B2"/>
  <sheetViews>
    <sheetView workbookViewId="0" showGridLines="0" defaultGridColor="1"/>
  </sheetViews>
  <sheetFormatPr defaultColWidth="16.3333" defaultRowHeight="19.9" customHeight="1" outlineLevelRow="0" outlineLevelCol="0"/>
  <cols>
    <col min="1" max="2" width="16.3516" style="21" customWidth="1"/>
    <col min="3" max="256" width="16.3516" style="21" customWidth="1"/>
  </cols>
  <sheetData>
    <row r="1" ht="27.65" customHeight="1">
      <c r="A1" t="s" s="7">
        <v>20</v>
      </c>
      <c r="B1" s="7"/>
    </row>
    <row r="2" ht="20.05" customHeight="1">
      <c r="A2" t="s" s="22">
        <v>22</v>
      </c>
      <c r="B2" s="15">
        <f>75/10000</f>
        <v>0.0075</v>
      </c>
    </row>
  </sheetData>
  <mergeCells count="1">
    <mergeCell ref="A1:B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2:E5"/>
  <sheetViews>
    <sheetView workbookViewId="0" showGridLines="0" defaultGridColor="1"/>
  </sheetViews>
  <sheetFormatPr defaultColWidth="16.3333" defaultRowHeight="19.9" customHeight="1" outlineLevelRow="0" outlineLevelCol="0"/>
  <cols>
    <col min="1" max="5" width="16.3516" style="23" customWidth="1"/>
    <col min="6" max="256" width="16.3516" style="23" customWidth="1"/>
  </cols>
  <sheetData>
    <row r="1" ht="27.65" customHeight="1">
      <c r="A1" t="s" s="7">
        <v>23</v>
      </c>
      <c r="B1" s="7"/>
      <c r="C1" s="7"/>
      <c r="D1" s="7"/>
      <c r="E1" s="7"/>
    </row>
    <row r="2" ht="20.05" customHeight="1">
      <c r="A2" s="18"/>
      <c r="B2" t="s" s="22">
        <v>25</v>
      </c>
      <c r="C2" t="s" s="22">
        <v>26</v>
      </c>
      <c r="D2" s="18"/>
      <c r="E2" s="18"/>
    </row>
    <row r="3" ht="20.05" customHeight="1">
      <c r="A3" t="s" s="22">
        <v>27</v>
      </c>
      <c r="B3" s="15">
        <v>525.6275693168894</v>
      </c>
      <c r="C3" s="15">
        <v>75.10364733665729</v>
      </c>
      <c r="D3" s="18"/>
      <c r="E3" s="18"/>
    </row>
    <row r="4" ht="20.05" customHeight="1">
      <c r="A4" t="s" s="22">
        <v>28</v>
      </c>
      <c r="B4" s="15">
        <v>9.575182020970599</v>
      </c>
      <c r="C4" s="15">
        <v>8.916164121698525</v>
      </c>
      <c r="D4" s="18"/>
      <c r="E4" s="18"/>
    </row>
    <row r="5" ht="20.05" customHeight="1">
      <c r="A5" t="s" s="22">
        <v>29</v>
      </c>
      <c r="B5" s="15">
        <f>B4/B3</f>
        <v>0.01821666628600664</v>
      </c>
      <c r="C5" s="15">
        <f>C4/C3</f>
        <v>0.1187181240576933</v>
      </c>
      <c r="D5" s="15">
        <f>B5^2+C5^2</f>
        <v>0.01442583991035358</v>
      </c>
      <c r="E5" s="15">
        <f>SQRT(D5)</f>
        <v>0.1201076180362994</v>
      </c>
    </row>
  </sheetData>
  <mergeCells count="1">
    <mergeCell ref="A1:E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drawing r:id="rId1"/>
</worksheet>
</file>

<file path=xl/worksheets/sheet9.xml><?xml version="1.0" encoding="utf-8"?>
<worksheet xmlns:r="http://schemas.openxmlformats.org/officeDocument/2006/relationships" xmlns="http://schemas.openxmlformats.org/spreadsheetml/2006/main">
  <sheetPr>
    <pageSetUpPr fitToPage="1"/>
  </sheetPr>
  <dimension ref="A2:E14"/>
  <sheetViews>
    <sheetView workbookViewId="0" showGridLines="0" defaultGridColor="1"/>
  </sheetViews>
  <sheetFormatPr defaultColWidth="16.3333" defaultRowHeight="19.9" customHeight="1" outlineLevelRow="0" outlineLevelCol="0"/>
  <cols>
    <col min="1" max="5" width="16.3516" style="24" customWidth="1"/>
    <col min="6" max="256" width="16.3516" style="24" customWidth="1"/>
  </cols>
  <sheetData>
    <row r="1" ht="27.65" customHeight="1">
      <c r="A1" t="s" s="7">
        <v>33</v>
      </c>
      <c r="B1" s="7"/>
      <c r="C1" s="7"/>
      <c r="D1" s="7"/>
      <c r="E1" s="7"/>
    </row>
    <row r="2" ht="20.05" customHeight="1">
      <c r="A2" t="s" s="25">
        <v>13</v>
      </c>
      <c r="B2" t="s" s="25">
        <v>35</v>
      </c>
      <c r="C2" s="26"/>
      <c r="D2" s="26"/>
      <c r="E2" s="26"/>
    </row>
    <row r="3" ht="20.05" customHeight="1">
      <c r="A3" s="15">
        <v>0.3</v>
      </c>
      <c r="B3" s="15">
        <v>0.014</v>
      </c>
      <c r="C3" s="18"/>
      <c r="D3" s="18"/>
      <c r="E3" s="18"/>
    </row>
    <row r="4" ht="20.05" customHeight="1">
      <c r="A4" t="s" s="25">
        <v>36</v>
      </c>
      <c r="B4" t="s" s="25">
        <v>37</v>
      </c>
      <c r="C4" t="s" s="25">
        <v>38</v>
      </c>
      <c r="D4" t="s" s="25">
        <v>15</v>
      </c>
      <c r="E4" s="26"/>
    </row>
    <row r="5" ht="20.05" customHeight="1">
      <c r="A5" s="18"/>
      <c r="B5" s="18"/>
      <c r="C5" s="15">
        <v>0</v>
      </c>
      <c r="D5" s="15">
        <f>525.63*A5+75.104</f>
        <v>75.104</v>
      </c>
      <c r="E5" s="18"/>
    </row>
    <row r="6" ht="20.05" customHeight="1">
      <c r="A6" s="15">
        <v>0.2</v>
      </c>
      <c r="B6" s="15">
        <v>0.021</v>
      </c>
      <c r="C6" s="15">
        <f>ABS(B6-$B$3)</f>
        <v>0.007000000000000001</v>
      </c>
      <c r="D6" s="15">
        <f>525.63*A6+75.104</f>
        <v>180.23</v>
      </c>
      <c r="E6" s="15">
        <f>SQRT((('Основной эксперимент - Tаблица1'!$B$4/'Основной эксперимент - Tаблица1'!$B$3)^2+(0.005/A6)^2)*(A6*'Основной эксперимент - Tаблица1'!$B$3)^2+'Основной эксперимент - Tаблица1'!$C$4^2)</f>
        <v>9.490650958448652</v>
      </c>
    </row>
    <row r="7" ht="20.05" customHeight="1">
      <c r="A7" s="15">
        <v>0.3</v>
      </c>
      <c r="B7" s="15">
        <v>0.025</v>
      </c>
      <c r="C7" s="15">
        <f>ABS(B7-$B$3)</f>
        <v>0.011</v>
      </c>
      <c r="D7" s="15">
        <f>525.63*A7+75.104</f>
        <v>232.793</v>
      </c>
      <c r="E7" s="15">
        <f>SQRT((('Основной эксперимент - Tаблица1'!$B$4/'Основной эксперимент - Tаблица1'!$B$3)^2+(0.005/A7)^2)*(A7*'Основной эксперимент - Tаблица1'!$B$3)^2+'Основной эксперимент - Tаблица1'!$C$4^2)</f>
        <v>9.729165491029446</v>
      </c>
    </row>
    <row r="8" ht="20.05" customHeight="1">
      <c r="A8" s="15">
        <v>0.45</v>
      </c>
      <c r="B8" s="15">
        <v>0.031</v>
      </c>
      <c r="C8" s="15">
        <f>ABS(B8-$B$3)</f>
        <v>0.017</v>
      </c>
      <c r="D8" s="15">
        <f>525.63*A8+75.104</f>
        <v>311.6375</v>
      </c>
      <c r="E8" s="15">
        <f>SQRT((('Основной эксперимент - Tаблица1'!$B$4/'Основной эксперимент - Tаблица1'!$B$3)^2+(0.005/A8)^2)*(A8*'Основной эксперимент - Tаблица1'!$B$3)^2+'Основной эксперимент - Tаблица1'!$C$4^2)</f>
        <v>10.24554164549118</v>
      </c>
    </row>
    <row r="9" ht="20.05" customHeight="1">
      <c r="A9" s="15">
        <v>0.68</v>
      </c>
      <c r="B9" s="15">
        <v>0.04</v>
      </c>
      <c r="C9" s="15">
        <f>ABS(B9-$B$3)</f>
        <v>0.026</v>
      </c>
      <c r="D9" s="15">
        <f>525.63*A9+75.104</f>
        <v>432.5324</v>
      </c>
      <c r="E9" s="15">
        <f>SQRT((('Основной эксперимент - Tаблица1'!$B$4/'Основной эксперимент - Tаблица1'!$B$3)^2+(0.005/A9)^2)*(A9*'Основной эксперимент - Tаблица1'!$B$3)^2+'Основной эксперимент - Tаблица1'!$C$4^2)</f>
        <v>11.34900101284018</v>
      </c>
    </row>
    <row r="10" ht="20.05" customHeight="1">
      <c r="A10" s="15">
        <v>0.79</v>
      </c>
      <c r="B10" s="15">
        <v>0.045</v>
      </c>
      <c r="C10" s="15">
        <f>ABS(B10-$B$3)</f>
        <v>0.031</v>
      </c>
      <c r="D10" s="15">
        <f>525.63*A10+75.104</f>
        <v>490.3517</v>
      </c>
      <c r="E10" s="15">
        <f>SQRT((('Основной эксперимент - Tаблица1'!$B$4/'Основной эксперимент - Tаблица1'!$B$3)^2+(0.005/A10)^2)*(A10*'Основной эксперимент - Tаблица1'!$B$3)^2+'Основной эксперимент - Tаблица1'!$C$4^2)</f>
        <v>11.98437085103976</v>
      </c>
    </row>
    <row r="11" ht="20.05" customHeight="1">
      <c r="A11" s="15">
        <v>0.95</v>
      </c>
      <c r="B11" s="15">
        <v>0.05</v>
      </c>
      <c r="C11" s="15">
        <f>ABS(B11-$B$3)</f>
        <v>0.036</v>
      </c>
      <c r="D11" s="15">
        <f>525.63*A11+75.104</f>
        <v>574.4525</v>
      </c>
      <c r="E11" s="15">
        <f>SQRT((('Основной эксперимент - Tаблица1'!$B$4/'Основной эксперимент - Tаблица1'!$B$3)^2+(0.005/A11)^2)*(A11*'Основной эксперимент - Tаблица1'!$B$3)^2+'Основной эксперимент - Tаблица1'!$C$4^2)</f>
        <v>13.00576799438607</v>
      </c>
    </row>
    <row r="12" ht="20.05" customHeight="1">
      <c r="A12" s="15">
        <v>1.1</v>
      </c>
      <c r="B12" s="15">
        <v>0.055</v>
      </c>
      <c r="C12" s="15">
        <f>ABS(B12-$B$3)</f>
        <v>0.041</v>
      </c>
      <c r="D12" s="15">
        <f>525.63*A12+75.104</f>
        <v>653.2970000000001</v>
      </c>
      <c r="E12" s="15">
        <f>SQRT((('Основной эксперимент - Tаблица1'!$B$4/'Основной эксперимент - Tаблица1'!$B$3)^2+(0.005/A12)^2)*(A12*'Основной эксперимент - Tаблица1'!$B$3)^2+'Основной эксперимент - Tаблица1'!$C$4^2)</f>
        <v>14.04787760392021</v>
      </c>
    </row>
    <row r="13" ht="20.05" customHeight="1">
      <c r="A13" s="15">
        <v>1.2</v>
      </c>
      <c r="B13" s="15">
        <v>0.058</v>
      </c>
      <c r="C13" s="15">
        <f>ABS(B13-$B$3)</f>
        <v>0.044</v>
      </c>
      <c r="D13" s="15">
        <f>525.63*A13+75.104</f>
        <v>705.86</v>
      </c>
      <c r="E13" s="15">
        <f>SQRT((('Основной эксперимент - Tаблица1'!$B$4/'Основной эксперимент - Tаблица1'!$B$3)^2+(0.005/A13)^2)*(A13*'Основной эксперимент - Tаблица1'!$B$3)^2+'Основной эксперимент - Tаблица1'!$C$4^2)</f>
        <v>14.77938465037392</v>
      </c>
    </row>
    <row r="14" ht="20.05" customHeight="1">
      <c r="A14" s="18"/>
      <c r="B14" s="18"/>
      <c r="C14" s="18"/>
      <c r="D14" s="18"/>
      <c r="E14" s="18"/>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Neue,Regular"&amp;11&amp;K000000&amp;P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