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a\Desktop\Лабы\5 семестр\5.5.1\"/>
    </mc:Choice>
  </mc:AlternateContent>
  <bookViews>
    <workbookView xWindow="0" yWindow="0" windowWidth="23040" windowHeight="9264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3" i="1" l="1"/>
  <c r="AI4" i="1"/>
  <c r="AI5" i="1"/>
  <c r="AI6" i="1"/>
  <c r="AI7" i="1"/>
  <c r="AI8" i="1"/>
  <c r="AI9" i="1"/>
  <c r="AI13" i="1" s="1"/>
  <c r="AI10" i="1"/>
  <c r="AI11" i="1"/>
  <c r="AI12" i="1"/>
  <c r="AI3" i="1"/>
  <c r="AJ12" i="1"/>
  <c r="AJ11" i="1"/>
  <c r="AJ10" i="1"/>
  <c r="AJ9" i="1"/>
  <c r="AJ8" i="1"/>
  <c r="AJ7" i="1"/>
  <c r="AJ6" i="1"/>
  <c r="AJ5" i="1"/>
  <c r="AJ4" i="1"/>
  <c r="AJ13" i="1"/>
  <c r="V4" i="1"/>
  <c r="V5" i="1"/>
  <c r="V6" i="1"/>
  <c r="V7" i="1"/>
  <c r="V8" i="1"/>
  <c r="V9" i="1"/>
  <c r="V10" i="1"/>
  <c r="V11" i="1"/>
  <c r="V12" i="1"/>
  <c r="V3" i="1"/>
  <c r="F5" i="1"/>
  <c r="F6" i="1"/>
  <c r="F7" i="1"/>
  <c r="F8" i="1"/>
  <c r="F9" i="1"/>
  <c r="F10" i="1"/>
  <c r="F11" i="1"/>
  <c r="F12" i="1"/>
  <c r="R18" i="1"/>
  <c r="AF16" i="1"/>
  <c r="AF17" i="1"/>
  <c r="AF18" i="1"/>
  <c r="AF19" i="1"/>
  <c r="AF20" i="1"/>
  <c r="AF21" i="1"/>
  <c r="AF22" i="1"/>
  <c r="AF23" i="1"/>
  <c r="AF24" i="1"/>
  <c r="AF15" i="1"/>
  <c r="Y3" i="1"/>
  <c r="R24" i="1"/>
  <c r="R15" i="1"/>
  <c r="R17" i="1"/>
  <c r="R16" i="1"/>
  <c r="R19" i="1"/>
  <c r="R20" i="1"/>
  <c r="R21" i="1"/>
  <c r="R22" i="1"/>
  <c r="R23" i="1"/>
  <c r="E30" i="1"/>
  <c r="E12" i="1"/>
  <c r="E11" i="1"/>
  <c r="E10" i="1"/>
  <c r="E9" i="1"/>
  <c r="E8" i="1"/>
  <c r="E7" i="1"/>
  <c r="E6" i="1"/>
  <c r="E5" i="1"/>
  <c r="E4" i="1"/>
  <c r="U9" i="1"/>
  <c r="U10" i="1"/>
  <c r="AO12" i="1"/>
  <c r="AO11" i="1"/>
  <c r="AO10" i="1"/>
  <c r="AO9" i="1"/>
  <c r="AO8" i="1"/>
  <c r="AO7" i="1"/>
  <c r="AO6" i="1"/>
  <c r="AO5" i="1"/>
  <c r="AO4" i="1"/>
  <c r="AB12" i="1"/>
  <c r="AB11" i="1"/>
  <c r="AB10" i="1"/>
  <c r="AB9" i="1"/>
  <c r="AB8" i="1"/>
  <c r="AB7" i="1"/>
  <c r="AB6" i="1"/>
  <c r="AB5" i="1"/>
  <c r="AB4" i="1"/>
  <c r="AL12" i="1"/>
  <c r="AL11" i="1"/>
  <c r="AL10" i="1"/>
  <c r="AL9" i="1"/>
  <c r="AL8" i="1"/>
  <c r="AL7" i="1"/>
  <c r="AL6" i="1"/>
  <c r="AL5" i="1"/>
  <c r="AL4" i="1"/>
  <c r="AL3" i="1"/>
  <c r="Y12" i="1"/>
  <c r="Y11" i="1"/>
  <c r="Y10" i="1"/>
  <c r="Y9" i="1"/>
  <c r="Y8" i="1"/>
  <c r="Y7" i="1"/>
  <c r="Y6" i="1"/>
  <c r="Y5" i="1"/>
  <c r="Y4" i="1"/>
  <c r="L3" i="1"/>
  <c r="A18" i="1" s="1"/>
  <c r="B18" i="1" s="1"/>
  <c r="O12" i="1"/>
  <c r="O11" i="1"/>
  <c r="O10" i="1"/>
  <c r="O9" i="1"/>
  <c r="O8" i="1"/>
  <c r="O7" i="1"/>
  <c r="O6" i="1"/>
  <c r="O5" i="1"/>
  <c r="O4" i="1"/>
  <c r="L4" i="1"/>
  <c r="A19" i="1" s="1"/>
  <c r="B19" i="1" s="1"/>
  <c r="L5" i="1"/>
  <c r="A20" i="1" s="1"/>
  <c r="B20" i="1" s="1"/>
  <c r="L6" i="1"/>
  <c r="A21" i="1" s="1"/>
  <c r="B21" i="1" s="1"/>
  <c r="L7" i="1"/>
  <c r="A22" i="1" s="1"/>
  <c r="B22" i="1" s="1"/>
  <c r="L8" i="1"/>
  <c r="A23" i="1" s="1"/>
  <c r="B23" i="1" s="1"/>
  <c r="L9" i="1"/>
  <c r="A24" i="1" s="1"/>
  <c r="B24" i="1" s="1"/>
  <c r="L10" i="1"/>
  <c r="A25" i="1" s="1"/>
  <c r="B25" i="1" s="1"/>
  <c r="L11" i="1"/>
  <c r="A26" i="1" s="1"/>
  <c r="B26" i="1" s="1"/>
  <c r="L12" i="1"/>
  <c r="A27" i="1" s="1"/>
  <c r="B27" i="1" s="1"/>
  <c r="V13" i="1" l="1"/>
  <c r="F13" i="1"/>
  <c r="AF25" i="1"/>
  <c r="R25" i="1"/>
  <c r="C25" i="1"/>
  <c r="D25" i="1" s="1"/>
  <c r="C24" i="1"/>
  <c r="D24" i="1" s="1"/>
  <c r="C23" i="1"/>
  <c r="D23" i="1" s="1"/>
  <c r="C22" i="1"/>
  <c r="D22" i="1" s="1"/>
  <c r="B28" i="1"/>
  <c r="C21" i="1"/>
  <c r="D21" i="1" s="1"/>
  <c r="C18" i="1"/>
  <c r="D18" i="1" s="1"/>
  <c r="C20" i="1"/>
  <c r="D20" i="1" s="1"/>
  <c r="C27" i="1"/>
  <c r="D27" i="1" s="1"/>
  <c r="C19" i="1"/>
  <c r="D19" i="1" s="1"/>
  <c r="C26" i="1"/>
  <c r="D26" i="1" s="1"/>
  <c r="AH12" i="1"/>
  <c r="AF12" i="1"/>
  <c r="AM12" i="1" s="1"/>
  <c r="AH11" i="1"/>
  <c r="AF11" i="1"/>
  <c r="AM11" i="1" s="1"/>
  <c r="AH10" i="1"/>
  <c r="AF10" i="1"/>
  <c r="AM10" i="1" s="1"/>
  <c r="AH9" i="1"/>
  <c r="AF9" i="1"/>
  <c r="AM9" i="1" s="1"/>
  <c r="AH8" i="1"/>
  <c r="AF8" i="1"/>
  <c r="AM8" i="1" s="1"/>
  <c r="AH7" i="1"/>
  <c r="AF7" i="1"/>
  <c r="AM7" i="1" s="1"/>
  <c r="AH6" i="1"/>
  <c r="AF6" i="1"/>
  <c r="AM6" i="1" s="1"/>
  <c r="AH5" i="1"/>
  <c r="AF5" i="1"/>
  <c r="AM5" i="1" s="1"/>
  <c r="AH4" i="1"/>
  <c r="AF4" i="1"/>
  <c r="AM4" i="1" s="1"/>
  <c r="AF3" i="1"/>
  <c r="U12" i="1"/>
  <c r="S12" i="1"/>
  <c r="Z12" i="1" s="1"/>
  <c r="U11" i="1"/>
  <c r="S11" i="1"/>
  <c r="Z11" i="1" s="1"/>
  <c r="S10" i="1"/>
  <c r="W10" i="1" s="1"/>
  <c r="S9" i="1"/>
  <c r="W9" i="1" s="1"/>
  <c r="U8" i="1"/>
  <c r="S8" i="1"/>
  <c r="U7" i="1"/>
  <c r="S7" i="1"/>
  <c r="U6" i="1"/>
  <c r="S6" i="1"/>
  <c r="U5" i="1"/>
  <c r="S5" i="1"/>
  <c r="U4" i="1"/>
  <c r="S4" i="1"/>
  <c r="S3" i="1"/>
  <c r="W3" i="1" s="1"/>
  <c r="C4" i="1"/>
  <c r="M4" i="1" s="1"/>
  <c r="C5" i="1"/>
  <c r="M5" i="1" s="1"/>
  <c r="C6" i="1"/>
  <c r="M6" i="1" s="1"/>
  <c r="C7" i="1"/>
  <c r="M7" i="1" s="1"/>
  <c r="C8" i="1"/>
  <c r="C9" i="1"/>
  <c r="C10" i="1"/>
  <c r="C11" i="1"/>
  <c r="M11" i="1" s="1"/>
  <c r="C12" i="1"/>
  <c r="M12" i="1" s="1"/>
  <c r="C3" i="1"/>
  <c r="G6" i="1" l="1"/>
  <c r="G7" i="1"/>
  <c r="G5" i="1"/>
  <c r="M10" i="1"/>
  <c r="G10" i="1"/>
  <c r="AM3" i="1"/>
  <c r="M9" i="1"/>
  <c r="G9" i="1"/>
  <c r="M8" i="1"/>
  <c r="G8" i="1"/>
  <c r="W5" i="1"/>
  <c r="M3" i="1"/>
  <c r="G3" i="1"/>
  <c r="W6" i="1"/>
  <c r="W11" i="1"/>
  <c r="G12" i="1"/>
  <c r="W8" i="1"/>
  <c r="G4" i="1"/>
  <c r="W4" i="1"/>
  <c r="W7" i="1"/>
  <c r="W12" i="1"/>
  <c r="G11" i="1"/>
  <c r="D28" i="1"/>
  <c r="D30" i="1" s="1"/>
  <c r="Z4" i="1"/>
  <c r="Z8" i="1"/>
  <c r="Z5" i="1"/>
  <c r="Z9" i="1"/>
  <c r="Z10" i="1"/>
  <c r="Z6" i="1"/>
  <c r="Z7" i="1"/>
  <c r="Z3" i="1"/>
  <c r="W13" i="1" l="1"/>
  <c r="G13" i="1"/>
  <c r="E18" i="1"/>
</calcChain>
</file>

<file path=xl/sharedStrings.xml><?xml version="1.0" encoding="utf-8"?>
<sst xmlns="http://schemas.openxmlformats.org/spreadsheetml/2006/main" count="56" uniqueCount="30">
  <si>
    <t>t, с</t>
  </si>
  <si>
    <t>N</t>
  </si>
  <si>
    <t>sigma_{N}</t>
  </si>
  <si>
    <t>l, см</t>
  </si>
  <si>
    <t>sigma_{l}, см</t>
  </si>
  <si>
    <t>железо</t>
  </si>
  <si>
    <t>Свинец</t>
  </si>
  <si>
    <t>Алюминий</t>
  </si>
  <si>
    <t>Nф</t>
  </si>
  <si>
    <t>сигма Nф</t>
  </si>
  <si>
    <t>tф</t>
  </si>
  <si>
    <t>ln(n/t-nф/tф)</t>
  </si>
  <si>
    <t>сигма ln(n/t-nф/tф)</t>
  </si>
  <si>
    <t>дельта y</t>
  </si>
  <si>
    <t>(дельта y)^2</t>
  </si>
  <si>
    <t>дельта x</t>
  </si>
  <si>
    <t>(дельта x)^2</t>
  </si>
  <si>
    <t>сигма k</t>
  </si>
  <si>
    <t>мю</t>
  </si>
  <si>
    <t>сигма мю</t>
  </si>
  <si>
    <t>свинец</t>
  </si>
  <si>
    <t>алюминий</t>
  </si>
  <si>
    <t>mu_граф</t>
  </si>
  <si>
    <t>mu_формула</t>
  </si>
  <si>
    <t>0,208 pm 0,02</t>
  </si>
  <si>
    <t>0,481 pm 0,005</t>
  </si>
  <si>
    <t>1,090 pm 0,02</t>
  </si>
  <si>
    <t>0,49 pm 0,01</t>
  </si>
  <si>
    <t>1,03 pm 0,02</t>
  </si>
  <si>
    <t>0,19 pm 0,01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</si>
</sst>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7" formatCode="#,##0.0000000000"/>
    <numFmt numFmtId="168" formatCode="#,##0.0000000000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167" fontId="0" fillId="0" borderId="0" xfId="0" applyNumberFormat="1"/>
    <xf numFmtId="168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0"/>
  <sheetViews>
    <sheetView tabSelected="1" topLeftCell="A5" zoomScale="90" workbookViewId="0">
      <selection activeCell="F17" sqref="F17:H20"/>
    </sheetView>
  </sheetViews>
  <sheetFormatPr defaultRowHeight="14.4" x14ac:dyDescent="0.3"/>
  <cols>
    <col min="2" max="2" width="13" customWidth="1"/>
    <col min="4" max="4" width="24.21875" customWidth="1"/>
    <col min="5" max="10" width="22" customWidth="1"/>
    <col min="11" max="11" width="15.33203125" customWidth="1"/>
    <col min="12" max="12" width="12.6640625" customWidth="1"/>
    <col min="13" max="14" width="17.44140625" customWidth="1"/>
    <col min="15" max="15" width="15.33203125" customWidth="1"/>
    <col min="21" max="25" width="15.109375" customWidth="1"/>
    <col min="26" max="26" width="20.5546875" customWidth="1"/>
    <col min="27" max="28" width="15.109375" customWidth="1"/>
    <col min="34" max="34" width="13.33203125" customWidth="1"/>
    <col min="36" max="36" width="12.6640625" customWidth="1"/>
    <col min="37" max="37" width="17.77734375" customWidth="1"/>
  </cols>
  <sheetData>
    <row r="1" spans="1:41" x14ac:dyDescent="0.3">
      <c r="A1" s="4" t="s">
        <v>5</v>
      </c>
      <c r="B1" s="4"/>
      <c r="C1" s="4"/>
      <c r="D1" s="4"/>
      <c r="E1" s="4"/>
      <c r="F1" s="2"/>
      <c r="G1" s="2"/>
      <c r="H1" s="2"/>
      <c r="I1" s="2"/>
      <c r="J1" s="2"/>
      <c r="K1" s="2"/>
      <c r="L1" s="4" t="s">
        <v>5</v>
      </c>
      <c r="M1" s="4"/>
      <c r="N1" s="4"/>
      <c r="O1" s="4"/>
      <c r="Q1" s="4" t="s">
        <v>6</v>
      </c>
      <c r="R1" s="4"/>
      <c r="S1" s="4"/>
      <c r="T1" s="4"/>
      <c r="U1" s="4"/>
      <c r="V1" s="2"/>
      <c r="W1" s="2"/>
      <c r="X1" s="2"/>
      <c r="Y1" s="2"/>
      <c r="Z1" s="2"/>
      <c r="AA1" s="2"/>
      <c r="AB1" s="2"/>
      <c r="AD1" s="4" t="s">
        <v>7</v>
      </c>
      <c r="AE1" s="4"/>
      <c r="AF1" s="4"/>
      <c r="AG1" s="4"/>
      <c r="AH1" s="4"/>
      <c r="AI1" s="2"/>
      <c r="AJ1" s="2"/>
    </row>
    <row r="2" spans="1:41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18</v>
      </c>
      <c r="G2" t="s">
        <v>19</v>
      </c>
      <c r="L2" t="s">
        <v>11</v>
      </c>
      <c r="M2" t="s">
        <v>12</v>
      </c>
      <c r="N2" t="s">
        <v>3</v>
      </c>
      <c r="O2" t="s">
        <v>4</v>
      </c>
      <c r="Q2" t="s">
        <v>0</v>
      </c>
      <c r="R2" t="s">
        <v>1</v>
      </c>
      <c r="S2" t="s">
        <v>2</v>
      </c>
      <c r="T2" t="s">
        <v>3</v>
      </c>
      <c r="U2" t="s">
        <v>4</v>
      </c>
      <c r="V2" t="s">
        <v>18</v>
      </c>
      <c r="W2" t="s">
        <v>19</v>
      </c>
      <c r="Y2" t="s">
        <v>11</v>
      </c>
      <c r="Z2" t="s">
        <v>12</v>
      </c>
      <c r="AA2" t="s">
        <v>3</v>
      </c>
      <c r="AB2" t="s">
        <v>4</v>
      </c>
      <c r="AD2" t="s">
        <v>0</v>
      </c>
      <c r="AE2" t="s">
        <v>1</v>
      </c>
      <c r="AF2" t="s">
        <v>2</v>
      </c>
      <c r="AG2" t="s">
        <v>3</v>
      </c>
      <c r="AH2" t="s">
        <v>4</v>
      </c>
      <c r="AI2" t="s">
        <v>18</v>
      </c>
      <c r="AJ2" t="s">
        <v>19</v>
      </c>
      <c r="AL2" t="s">
        <v>11</v>
      </c>
      <c r="AM2" t="s">
        <v>12</v>
      </c>
      <c r="AN2" t="s">
        <v>3</v>
      </c>
      <c r="AO2" t="s">
        <v>4</v>
      </c>
    </row>
    <row r="3" spans="1:41" x14ac:dyDescent="0.3">
      <c r="A3">
        <v>10</v>
      </c>
      <c r="B3">
        <v>35470</v>
      </c>
      <c r="C3" s="3">
        <f>SQRT(B3)</f>
        <v>188.33480825381164</v>
      </c>
      <c r="D3" s="1">
        <v>1.2</v>
      </c>
      <c r="E3" s="1">
        <v>5.0000000000000001E-3</v>
      </c>
      <c r="F3" s="6"/>
      <c r="G3" s="6">
        <f>SQRT(POWER(LN(67062*A3/(B3*10))/POWER(D3,2)*E3,2)+POWER(C3/(D3*B3),2))</f>
        <v>4.9466527738275604E-3</v>
      </c>
      <c r="H3" s="1"/>
      <c r="I3" s="1"/>
      <c r="J3" s="1"/>
      <c r="K3" s="1"/>
      <c r="L3" s="1">
        <f>LN(B3/A3-$B$15/$A$15)</f>
        <v>8.1706514941795216</v>
      </c>
      <c r="M3" s="1">
        <f>SQRT(POWER((1/A3/(B3/A3-$B$15/$A$15)*C3),2)+POWER((1/$A$15/(B3/A3-$B$15/$A$15)*$C$15),2))</f>
        <v>5.3270235681126691E-3</v>
      </c>
      <c r="N3" s="1">
        <v>1.2</v>
      </c>
      <c r="O3" s="1">
        <v>5.0000000000000001E-3</v>
      </c>
      <c r="Q3">
        <v>20</v>
      </c>
      <c r="R3">
        <v>73560</v>
      </c>
      <c r="S3" s="3">
        <f>SQRT(R3)</f>
        <v>271.21946832777326</v>
      </c>
      <c r="T3" s="1">
        <v>0.5</v>
      </c>
      <c r="U3" s="1">
        <v>5.0000000000000001E-3</v>
      </c>
      <c r="V3" s="6">
        <f>1/T3*LN(70452/R3*Q3/10)</f>
        <v>1.2999548153877483</v>
      </c>
      <c r="W3" s="6">
        <f>SQRT(POWER(LN(70452*Q3/(R3*10))/POWER(T3,2)*U3,2)+POWER(S3/(T3*R3),2))</f>
        <v>1.4945421747656076E-2</v>
      </c>
      <c r="X3" s="1"/>
      <c r="Y3" s="1">
        <f>LN(R3/Q3-$B$15/$A$15)</f>
        <v>8.2070328085520678</v>
      </c>
      <c r="Z3" s="1">
        <f>SQRT(POWER((1/Q3/(R3/Q3-$B$15/$A$15)*S3),2)+POWER((1/$A$15/(R3/Q3-$B$15/$A$15)*$C$15),2))</f>
        <v>3.6988433075312794E-3</v>
      </c>
      <c r="AA3" s="1">
        <v>0.5</v>
      </c>
      <c r="AB3" s="1">
        <v>5.0000000000000001E-3</v>
      </c>
      <c r="AD3">
        <v>20</v>
      </c>
      <c r="AE3">
        <v>86890</v>
      </c>
      <c r="AF3" s="3">
        <f>SQRT(AE3)</f>
        <v>294.77109763340098</v>
      </c>
      <c r="AG3" s="1">
        <v>2</v>
      </c>
      <c r="AH3" s="1">
        <v>5.0000000000000001E-3</v>
      </c>
      <c r="AI3" s="6">
        <f>1/AG3*LN(69736/AE3*AD3/10)</f>
        <v>0.23661045670905281</v>
      </c>
      <c r="AJ3" s="6">
        <f>SQRT(POWER(LN(69736*AD3/(AE3*10))/POWER(AG3,2)*AH3,2)+POWER(AF3/(AG3*AE3),2))</f>
        <v>1.7964142716006258E-3</v>
      </c>
      <c r="AL3" s="1">
        <f>LN(AE3/AD3-$B$15/$A$15)</f>
        <v>8.3740492699246492</v>
      </c>
      <c r="AM3" s="1">
        <f>SQRT(POWER((1/AD3/(AE3/AD3-$B$15/$A$15)*AF3),2)+POWER((1/$A$15/(AE3/AD3-$B$15/$A$15)*$C$15),2))</f>
        <v>3.4016441141361629E-3</v>
      </c>
      <c r="AN3" s="1">
        <v>2</v>
      </c>
      <c r="AO3" s="1">
        <v>5.0000000000000001E-3</v>
      </c>
    </row>
    <row r="4" spans="1:41" x14ac:dyDescent="0.3">
      <c r="A4">
        <v>10</v>
      </c>
      <c r="B4">
        <v>38644</v>
      </c>
      <c r="C4" s="3">
        <f t="shared" ref="C4:C12" si="0">SQRT(B4)</f>
        <v>196.5807722031837</v>
      </c>
      <c r="D4" s="1">
        <v>2.4</v>
      </c>
      <c r="E4" s="1">
        <f>SQRT(2)*$E$3</f>
        <v>7.0710678118654762E-3</v>
      </c>
      <c r="F4" s="6">
        <v>0.53100000000000003</v>
      </c>
      <c r="G4" s="6">
        <f t="shared" ref="G4:G12" si="1">SQRT(POWER(LN(67062*A4/(B4*10))/POWER(D4,2)*E4,2)+POWER(C4/(D4*B4),2))</f>
        <v>2.2249698216419032E-3</v>
      </c>
      <c r="H4" s="1">
        <v>0.53</v>
      </c>
      <c r="I4" s="1"/>
      <c r="J4" s="1"/>
      <c r="K4" s="1"/>
      <c r="L4" s="1">
        <f t="shared" ref="L4:L12" si="2">LN(B4/A4-$B$15/$A$15)</f>
        <v>8.2566194563271864</v>
      </c>
      <c r="M4" s="1">
        <f t="shared" ref="M4:M12" si="3">SQRT(POWER((1/A4/(B4/A4-$B$15/$A$15)*C4),2)+POWER((1/$A$15/(B4/A4-$B$15/$A$15)*$C$15),2))</f>
        <v>5.1022034238798076E-3</v>
      </c>
      <c r="N4" s="1">
        <v>2.4</v>
      </c>
      <c r="O4" s="1">
        <f>SQRT(2)*$E$3</f>
        <v>7.0710678118654762E-3</v>
      </c>
      <c r="Q4">
        <v>20</v>
      </c>
      <c r="R4">
        <v>44648</v>
      </c>
      <c r="S4" s="3">
        <f t="shared" ref="S4:S12" si="4">SQRT(R4)</f>
        <v>211.30073355291506</v>
      </c>
      <c r="T4" s="1">
        <v>0.94</v>
      </c>
      <c r="U4" s="1">
        <f>SQRT(2)*$E$3</f>
        <v>7.0710678118654762E-3</v>
      </c>
      <c r="V4" s="6">
        <f t="shared" ref="V4:V12" si="5">1/T4*LN(70452/R4*Q4/10)</f>
        <v>1.2226269084509169</v>
      </c>
      <c r="W4" s="6">
        <f t="shared" ref="W4:W12" si="6">SQRT(POWER(LN(70452*Q4/(R4*10))/POWER(T4,2)*U4,2)+POWER(S4/(T4*R4),2))</f>
        <v>1.0484972090913099E-2</v>
      </c>
      <c r="X4" s="1"/>
      <c r="Y4" s="1">
        <f>LN(R4/Q4-$B$15/$A$15)</f>
        <v>7.7057338352300437</v>
      </c>
      <c r="Z4" s="1">
        <f>SQRT(POWER((1/Q4/(R4/Q4-$B$15/$A$15)*S4),2)+POWER((1/$A$15/(R4/Q4-$B$15/$A$15)*$C$15),2))</f>
        <v>4.7575792195647454E-3</v>
      </c>
      <c r="AA4" s="1">
        <v>0.94</v>
      </c>
      <c r="AB4" s="1">
        <f>SQRT(2)*$E$3</f>
        <v>7.0710678118654762E-3</v>
      </c>
      <c r="AD4">
        <v>20</v>
      </c>
      <c r="AE4">
        <v>57131</v>
      </c>
      <c r="AF4" s="3">
        <f t="shared" ref="AF4:AF12" si="7">SQRT(AE4)</f>
        <v>239.02091958655001</v>
      </c>
      <c r="AG4" s="1">
        <v>4</v>
      </c>
      <c r="AH4" s="1">
        <f>SQRT(2)*$E$3</f>
        <v>7.0710678118654762E-3</v>
      </c>
      <c r="AI4" s="6">
        <f t="shared" ref="AI4:AI12" si="8">1/AG4*LN(69736/AE4*AD4/10)</f>
        <v>0.22312924693691377</v>
      </c>
      <c r="AJ4" s="6">
        <f t="shared" ref="AJ4:AJ12" si="9">SQRT(POWER(LN(70452*AD4/(AE4*10))/POWER(AG4,2)*AH4,2)+POWER(AF4/(AG4*AE4),2))</f>
        <v>1.1194382642164481E-3</v>
      </c>
      <c r="AL4" s="1">
        <f t="shared" ref="AL4:AL12" si="10">LN(AE4/AD4-$B$15/$A$15)</f>
        <v>7.9533874712948709</v>
      </c>
      <c r="AM4" s="1">
        <f t="shared" ref="AM4:AM5" si="11">SQRT(POWER((1/AD4/(AE4/AD4-$B$15/$A$15)*AF4),2)+POWER((1/$A$15/(AE4/AD4-$B$15/$A$15)*$C$15),2))</f>
        <v>4.2009783731092841E-3</v>
      </c>
      <c r="AN4" s="1">
        <v>4</v>
      </c>
      <c r="AO4" s="1">
        <f>SQRT(2)*$E$3</f>
        <v>7.0710678118654762E-3</v>
      </c>
    </row>
    <row r="5" spans="1:41" x14ac:dyDescent="0.3">
      <c r="A5">
        <v>100</v>
      </c>
      <c r="B5">
        <v>109672</v>
      </c>
      <c r="C5" s="3">
        <f t="shared" si="0"/>
        <v>331.16763126851635</v>
      </c>
      <c r="D5" s="1">
        <v>3.6</v>
      </c>
      <c r="E5" s="1">
        <f>SQRT(3)*$E$3</f>
        <v>8.6602540378443865E-3</v>
      </c>
      <c r="F5" s="6">
        <f>1/D5*LN(67062/B5*A5/10)</f>
        <v>0.50297460124777116</v>
      </c>
      <c r="G5" s="6">
        <f t="shared" si="1"/>
        <v>1.4722708669280906E-3</v>
      </c>
      <c r="H5" s="1">
        <v>0.5</v>
      </c>
      <c r="I5" s="1"/>
      <c r="J5" s="1"/>
      <c r="K5" s="1"/>
      <c r="L5" s="1">
        <f t="shared" si="2"/>
        <v>6.989673150513414</v>
      </c>
      <c r="M5" s="1">
        <f t="shared" si="3"/>
        <v>3.0564001515946959E-3</v>
      </c>
      <c r="N5" s="1">
        <v>3.6</v>
      </c>
      <c r="O5" s="1">
        <f>SQRT(3)*$E$3</f>
        <v>8.6602540378443865E-3</v>
      </c>
      <c r="Q5">
        <v>60</v>
      </c>
      <c r="R5">
        <v>77180</v>
      </c>
      <c r="S5" s="3">
        <f t="shared" si="4"/>
        <v>277.81288667014712</v>
      </c>
      <c r="T5" s="1">
        <v>1.42</v>
      </c>
      <c r="U5" s="1">
        <f>SQRT(3)*$E$3</f>
        <v>8.6602540378443865E-3</v>
      </c>
      <c r="V5" s="6">
        <f t="shared" si="5"/>
        <v>1.1975709436539659</v>
      </c>
      <c r="W5" s="6">
        <f t="shared" si="6"/>
        <v>7.7310966650529916E-3</v>
      </c>
      <c r="X5" s="1"/>
      <c r="Y5" s="1">
        <f>LN(R5/Q5-$B$15/$A$15)</f>
        <v>7.1506857711949863</v>
      </c>
      <c r="Z5" s="1">
        <f>SQRT(POWER((1/Q5/(R5/Q5-$B$15/$A$15)*S5),2)+POWER((1/$A$15/(R5/Q5-$B$15/$A$15)*$C$15),2))</f>
        <v>3.6347623570084473E-3</v>
      </c>
      <c r="AA5" s="1">
        <v>1.42</v>
      </c>
      <c r="AB5" s="1">
        <f>SQRT(3)*$E$3</f>
        <v>8.6602540378443865E-3</v>
      </c>
      <c r="AD5">
        <v>60</v>
      </c>
      <c r="AE5">
        <v>114297</v>
      </c>
      <c r="AF5" s="3">
        <f t="shared" si="7"/>
        <v>338.07839327587914</v>
      </c>
      <c r="AG5" s="1">
        <v>6</v>
      </c>
      <c r="AH5" s="1">
        <f>SQRT(3)*$E$3</f>
        <v>8.6602540378443865E-3</v>
      </c>
      <c r="AI5" s="6">
        <f t="shared" si="8"/>
        <v>0.21627930486669603</v>
      </c>
      <c r="AJ5" s="6">
        <f t="shared" si="9"/>
        <v>5.8482762790606623E-4</v>
      </c>
      <c r="AL5" s="1">
        <f t="shared" si="10"/>
        <v>7.5462332978827762</v>
      </c>
      <c r="AM5" s="1">
        <f t="shared" si="11"/>
        <v>2.9773793947368843E-3</v>
      </c>
      <c r="AN5" s="1">
        <v>6</v>
      </c>
      <c r="AO5" s="1">
        <f>SQRT(3)*$E$3</f>
        <v>8.6602540378443865E-3</v>
      </c>
    </row>
    <row r="6" spans="1:41" x14ac:dyDescent="0.3">
      <c r="A6">
        <v>60</v>
      </c>
      <c r="B6">
        <v>37674</v>
      </c>
      <c r="C6" s="3">
        <f t="shared" si="0"/>
        <v>194.09791343546175</v>
      </c>
      <c r="D6" s="1">
        <v>4.8</v>
      </c>
      <c r="E6" s="1">
        <f>SQRT(4)*$E$3</f>
        <v>0.01</v>
      </c>
      <c r="F6" s="6">
        <f t="shared" ref="F6:F12" si="12">1/D6*LN(67062/B6*A6/10)</f>
        <v>0.49341809010407439</v>
      </c>
      <c r="G6" s="6">
        <f t="shared" si="1"/>
        <v>1.4861870660060302E-3</v>
      </c>
      <c r="H6" s="1">
        <v>0.49</v>
      </c>
      <c r="I6" s="1"/>
      <c r="J6" s="1"/>
      <c r="K6" s="1"/>
      <c r="L6" s="1">
        <f t="shared" si="2"/>
        <v>6.4241340158736815</v>
      </c>
      <c r="M6" s="1">
        <f t="shared" si="3"/>
        <v>5.2562724003232903E-3</v>
      </c>
      <c r="N6" s="1">
        <v>4.8</v>
      </c>
      <c r="O6" s="1">
        <f>SQRT(4)*$E$3</f>
        <v>0.01</v>
      </c>
      <c r="Q6">
        <v>60</v>
      </c>
      <c r="R6">
        <v>48606</v>
      </c>
      <c r="S6" s="3">
        <f t="shared" si="4"/>
        <v>220.46768470685222</v>
      </c>
      <c r="T6" s="1">
        <v>1.9</v>
      </c>
      <c r="U6" s="1">
        <f>SQRT(4)*$E$3</f>
        <v>0.01</v>
      </c>
      <c r="V6" s="6">
        <f t="shared" si="5"/>
        <v>1.1383916400114182</v>
      </c>
      <c r="W6" s="6">
        <f t="shared" si="6"/>
        <v>6.4496160280486138E-3</v>
      </c>
      <c r="X6" s="1"/>
      <c r="Y6" s="1">
        <f>LN(R6/Q6-$B$15/$A$15)</f>
        <v>6.6830438324957653</v>
      </c>
      <c r="Z6" s="1">
        <f>SQRT(POWER((1/Q6/(R6/Q6-$B$15/$A$15)*S6),2)+POWER((1/$A$15/(R6/Q6-$B$15/$A$15)*$C$15),2))</f>
        <v>4.6066471478818146E-3</v>
      </c>
      <c r="AA6" s="1">
        <v>1.9</v>
      </c>
      <c r="AB6" s="1">
        <f>SQRT(4)*$E$3</f>
        <v>0.01</v>
      </c>
      <c r="AD6">
        <v>60</v>
      </c>
      <c r="AE6">
        <v>77062</v>
      </c>
      <c r="AF6" s="3">
        <f t="shared" si="7"/>
        <v>277.60043227632048</v>
      </c>
      <c r="AG6" s="1">
        <v>8</v>
      </c>
      <c r="AH6" s="1">
        <f>SQRT(4)*$E$3</f>
        <v>0.01</v>
      </c>
      <c r="AI6" s="6">
        <f t="shared" si="8"/>
        <v>0.21148323253423507</v>
      </c>
      <c r="AJ6" s="6">
        <f t="shared" si="9"/>
        <v>5.2296107584449004E-4</v>
      </c>
      <c r="AL6" s="1">
        <f t="shared" si="10"/>
        <v>7.1491420724486145</v>
      </c>
      <c r="AM6" s="1">
        <f>SQRT(POWER((1/AD6/(AE6/AD6-$B$15/$A$15)*AF6),2)+POWER((1/$A$15/(AE6/AD6-$B$15/$A$15)*$C$15),2))</f>
        <v>3.6375985758800317E-3</v>
      </c>
      <c r="AN6" s="1">
        <v>8</v>
      </c>
      <c r="AO6" s="1">
        <f>SQRT(4)*$E$3</f>
        <v>0.01</v>
      </c>
    </row>
    <row r="7" spans="1:41" x14ac:dyDescent="0.3">
      <c r="A7">
        <v>120</v>
      </c>
      <c r="B7">
        <v>45584</v>
      </c>
      <c r="C7" s="3">
        <f t="shared" si="0"/>
        <v>213.5040983213203</v>
      </c>
      <c r="D7" s="1">
        <v>6</v>
      </c>
      <c r="E7" s="1">
        <f>SQRT(5)*$E$3</f>
        <v>1.1180339887498949E-2</v>
      </c>
      <c r="F7" s="6">
        <f t="shared" si="12"/>
        <v>0.47849457277732954</v>
      </c>
      <c r="G7" s="6">
        <f t="shared" si="1"/>
        <v>1.185059233865218E-3</v>
      </c>
      <c r="H7" s="1">
        <v>0.48</v>
      </c>
      <c r="I7" s="1"/>
      <c r="J7" s="1"/>
      <c r="K7" s="1"/>
      <c r="L7" s="1">
        <f t="shared" si="2"/>
        <v>5.9094768936975619</v>
      </c>
      <c r="M7" s="1">
        <f t="shared" si="3"/>
        <v>4.8564703740773558E-3</v>
      </c>
      <c r="N7" s="1">
        <v>6</v>
      </c>
      <c r="O7" s="1">
        <f>SQRT(5)*$E$3</f>
        <v>1.1180339887498949E-2</v>
      </c>
      <c r="Q7">
        <v>120</v>
      </c>
      <c r="R7">
        <v>66638</v>
      </c>
      <c r="S7" s="3">
        <f t="shared" si="4"/>
        <v>258.14337101696026</v>
      </c>
      <c r="T7" s="1">
        <v>2.3199999999999998</v>
      </c>
      <c r="U7" s="1">
        <f>SQRT(5)*$E$3</f>
        <v>1.1180339887498949E-2</v>
      </c>
      <c r="V7" s="6">
        <f t="shared" si="5"/>
        <v>1.0950703841614799</v>
      </c>
      <c r="W7" s="6">
        <f t="shared" si="6"/>
        <v>5.5351246750504467E-3</v>
      </c>
      <c r="X7" s="1"/>
      <c r="Y7" s="1">
        <f>LN(R7/Q7-$B$15/$A$15)</f>
        <v>6.298881842623544</v>
      </c>
      <c r="Z7" s="1">
        <f>SQRT(POWER((1/Q7/(R7/Q7-$B$15/$A$15)*S7),2)+POWER((1/$A$15/(R7/Q7-$B$15/$A$15)*$C$15),2))</f>
        <v>3.9706076357748244E-3</v>
      </c>
      <c r="AA7" s="1">
        <v>2.3199999999999998</v>
      </c>
      <c r="AB7" s="1">
        <f>SQRT(5)*$E$3</f>
        <v>1.1180339887498949E-2</v>
      </c>
      <c r="AD7">
        <v>60</v>
      </c>
      <c r="AE7">
        <v>51670</v>
      </c>
      <c r="AF7" s="3">
        <f t="shared" si="7"/>
        <v>227.31036052058869</v>
      </c>
      <c r="AG7" s="1">
        <v>10</v>
      </c>
      <c r="AH7" s="1">
        <f>SQRT(5)*$E$3</f>
        <v>1.1180339887498949E-2</v>
      </c>
      <c r="AI7" s="6">
        <f t="shared" si="8"/>
        <v>0.20915988106382369</v>
      </c>
      <c r="AJ7" s="6">
        <f t="shared" si="9"/>
        <v>4.9875461311686372E-4</v>
      </c>
      <c r="AL7" s="1">
        <f t="shared" si="10"/>
        <v>6.7450167175238915</v>
      </c>
      <c r="AM7" s="1">
        <f t="shared" ref="AM7:AM12" si="13">SQRT(POWER((1/AD7/(AE7/AD7-$B$15/$A$15)*AF7),2)+POWER((1/$A$15/(AE7/AD7-$B$15/$A$15)*$C$15),2))</f>
        <v>4.4638460026365902E-3</v>
      </c>
      <c r="AN7" s="1">
        <v>10</v>
      </c>
      <c r="AO7" s="1">
        <f>SQRT(5)*$E$3</f>
        <v>1.1180339887498949E-2</v>
      </c>
    </row>
    <row r="8" spans="1:41" x14ac:dyDescent="0.3">
      <c r="A8">
        <v>180</v>
      </c>
      <c r="B8">
        <v>40789</v>
      </c>
      <c r="C8" s="3">
        <f t="shared" si="0"/>
        <v>201.96286787427039</v>
      </c>
      <c r="D8" s="1">
        <v>7</v>
      </c>
      <c r="E8" s="1">
        <f>SQRT(6)*$E$3</f>
        <v>1.2247448713915889E-2</v>
      </c>
      <c r="F8" s="6">
        <f t="shared" si="12"/>
        <v>0.48393955504449193</v>
      </c>
      <c r="G8" s="6">
        <f t="shared" si="1"/>
        <v>1.1032978179493437E-3</v>
      </c>
      <c r="H8" s="1">
        <v>0.48</v>
      </c>
      <c r="I8" s="1"/>
      <c r="J8" s="1"/>
      <c r="K8" s="1"/>
      <c r="L8" s="1">
        <f t="shared" si="2"/>
        <v>5.3718104671673119</v>
      </c>
      <c r="M8" s="1">
        <f t="shared" si="3"/>
        <v>5.2893792013807067E-3</v>
      </c>
      <c r="N8" s="1">
        <v>7</v>
      </c>
      <c r="O8" s="1">
        <f>SQRT(6)*$E$3</f>
        <v>1.2247448713915889E-2</v>
      </c>
      <c r="Q8">
        <v>120</v>
      </c>
      <c r="R8">
        <v>43163</v>
      </c>
      <c r="S8" s="3">
        <f t="shared" si="4"/>
        <v>207.75706967513764</v>
      </c>
      <c r="T8" s="1">
        <v>2.8</v>
      </c>
      <c r="U8" s="1">
        <f>SQRT(6)*$E$3</f>
        <v>1.2247448713915889E-2</v>
      </c>
      <c r="V8" s="6">
        <f t="shared" si="5"/>
        <v>1.0624480820997471</v>
      </c>
      <c r="W8" s="6">
        <f t="shared" si="6"/>
        <v>4.9549936182889213E-3</v>
      </c>
      <c r="X8" s="1"/>
      <c r="Y8" s="1">
        <f>LN(R8/Q8-$B$15/$A$15)</f>
        <v>5.8531742296947682</v>
      </c>
      <c r="Z8" s="1">
        <f>SQRT(POWER((1/Q8/(R8/Q8-$B$15/$A$15)*S8),2)+POWER((1/$A$15/(R8/Q8-$B$15/$A$15)*$C$15),2))</f>
        <v>5.001086478300402E-3</v>
      </c>
      <c r="AA8" s="1">
        <v>2.8</v>
      </c>
      <c r="AB8" s="1">
        <f>SQRT(6)*$E$3</f>
        <v>1.2247448713915889E-2</v>
      </c>
      <c r="AD8">
        <v>120</v>
      </c>
      <c r="AE8">
        <v>71386</v>
      </c>
      <c r="AF8" s="3">
        <f t="shared" si="7"/>
        <v>267.18158619186318</v>
      </c>
      <c r="AG8" s="1">
        <v>12</v>
      </c>
      <c r="AH8" s="1">
        <f>SQRT(6)*$E$3</f>
        <v>1.2247448713915889E-2</v>
      </c>
      <c r="AI8" s="6">
        <f t="shared" si="8"/>
        <v>0.20512679681741647</v>
      </c>
      <c r="AJ8" s="6">
        <f t="shared" si="9"/>
        <v>3.7613155249735861E-4</v>
      </c>
      <c r="AL8" s="1">
        <f t="shared" si="10"/>
        <v>6.3690958642867104</v>
      </c>
      <c r="AM8" s="1">
        <f t="shared" si="13"/>
        <v>3.8299508982654476E-3</v>
      </c>
      <c r="AN8" s="1">
        <v>12</v>
      </c>
      <c r="AO8" s="1">
        <f>SQRT(6)*$E$3</f>
        <v>1.2247448713915889E-2</v>
      </c>
    </row>
    <row r="9" spans="1:41" x14ac:dyDescent="0.3">
      <c r="A9">
        <v>200</v>
      </c>
      <c r="B9">
        <v>27800</v>
      </c>
      <c r="C9" s="3">
        <f t="shared" si="0"/>
        <v>166.73332000533065</v>
      </c>
      <c r="D9" s="1">
        <v>8</v>
      </c>
      <c r="E9" s="1">
        <f>SQRT(7)*$E$3</f>
        <v>1.3228756555322954E-2</v>
      </c>
      <c r="F9" s="6">
        <f t="shared" si="12"/>
        <v>0.48453922718611614</v>
      </c>
      <c r="G9" s="6">
        <f t="shared" si="1"/>
        <v>1.0972794410420933E-3</v>
      </c>
      <c r="H9" s="1">
        <v>0.48</v>
      </c>
      <c r="I9" s="1"/>
      <c r="J9" s="1"/>
      <c r="K9" s="1"/>
      <c r="L9" s="1">
        <f t="shared" si="2"/>
        <v>4.849266030276949</v>
      </c>
      <c r="M9" s="1">
        <f t="shared" si="3"/>
        <v>6.704371957495711E-3</v>
      </c>
      <c r="N9" s="1">
        <v>8</v>
      </c>
      <c r="O9" s="1">
        <f>SQRT(7)*$E$3</f>
        <v>1.3228756555322954E-2</v>
      </c>
      <c r="Q9">
        <v>180</v>
      </c>
      <c r="R9">
        <v>42056</v>
      </c>
      <c r="S9" s="3">
        <f t="shared" si="4"/>
        <v>205.07559581773742</v>
      </c>
      <c r="T9" s="1">
        <v>3.28</v>
      </c>
      <c r="U9" s="1">
        <f>SQRT(7)*$E3</f>
        <v>1.3228756555322954E-2</v>
      </c>
      <c r="V9" s="6">
        <f t="shared" si="5"/>
        <v>1.0385065003808132</v>
      </c>
      <c r="W9" s="6">
        <f t="shared" si="6"/>
        <v>4.4444755181368397E-3</v>
      </c>
      <c r="X9" s="1"/>
      <c r="Y9" s="1">
        <f>LN(R9/Q9-$B$15/$A$15)</f>
        <v>5.4039878341657914</v>
      </c>
      <c r="Z9" s="1">
        <f>SQRT(POWER((1/Q9/(R9/Q9-$B$15/$A$15)*S9),2)+POWER((1/$A$15/(R9/Q9-$B$15/$A$15)*$C$15),2))</f>
        <v>5.1985711320475933E-3</v>
      </c>
      <c r="AA9" s="1">
        <v>3.28</v>
      </c>
      <c r="AB9" s="1">
        <f>SQRT(7)*$E$3</f>
        <v>1.3228756555322954E-2</v>
      </c>
      <c r="AD9">
        <v>120</v>
      </c>
      <c r="AE9">
        <v>49694</v>
      </c>
      <c r="AF9" s="3">
        <f t="shared" si="7"/>
        <v>222.92151085079252</v>
      </c>
      <c r="AG9" s="1">
        <v>14</v>
      </c>
      <c r="AH9" s="1">
        <f>SQRT(7)*$E$3</f>
        <v>1.3228756555322954E-2</v>
      </c>
      <c r="AI9" s="6">
        <f t="shared" si="8"/>
        <v>0.20169565228775277</v>
      </c>
      <c r="AJ9" s="6">
        <f t="shared" si="9"/>
        <v>3.7316868096652959E-4</v>
      </c>
      <c r="AL9" s="1">
        <f t="shared" si="10"/>
        <v>5.9983491272405312</v>
      </c>
      <c r="AM9" s="1">
        <f t="shared" si="13"/>
        <v>4.6372456230947354E-3</v>
      </c>
      <c r="AN9" s="1">
        <v>14</v>
      </c>
      <c r="AO9" s="1">
        <f>SQRT(7)*$E$3</f>
        <v>1.3228756555322954E-2</v>
      </c>
    </row>
    <row r="10" spans="1:41" x14ac:dyDescent="0.3">
      <c r="A10">
        <v>200</v>
      </c>
      <c r="B10">
        <v>17769</v>
      </c>
      <c r="C10" s="3">
        <f t="shared" si="0"/>
        <v>133.30041260251224</v>
      </c>
      <c r="D10" s="1">
        <v>9.1999999999999993</v>
      </c>
      <c r="E10" s="1">
        <f>SQRT(8)*$E$3</f>
        <v>1.4142135623730952E-2</v>
      </c>
      <c r="F10" s="6">
        <f t="shared" si="12"/>
        <v>0.46998852958941112</v>
      </c>
      <c r="G10" s="6">
        <f t="shared" si="1"/>
        <v>1.0894299615602791E-3</v>
      </c>
      <c r="H10" s="1">
        <v>0.47</v>
      </c>
      <c r="I10" s="1"/>
      <c r="J10" s="1"/>
      <c r="K10" s="1"/>
      <c r="L10" s="1">
        <f t="shared" si="2"/>
        <v>4.3501704036961515</v>
      </c>
      <c r="M10" s="1">
        <f t="shared" si="3"/>
        <v>8.9554928177476741E-3</v>
      </c>
      <c r="N10" s="1">
        <v>9.1999999999999993</v>
      </c>
      <c r="O10" s="1">
        <f>SQRT(8)*$E$3</f>
        <v>1.4142135623730952E-2</v>
      </c>
      <c r="Q10">
        <v>240</v>
      </c>
      <c r="R10">
        <v>39948</v>
      </c>
      <c r="S10" s="3">
        <f t="shared" si="4"/>
        <v>199.86995772251515</v>
      </c>
      <c r="T10" s="1">
        <v>3.77</v>
      </c>
      <c r="U10" s="1">
        <f>SQRT(8)*$E$3</f>
        <v>1.4142135623730952E-2</v>
      </c>
      <c r="V10" s="6">
        <f t="shared" si="5"/>
        <v>0.99347661772867557</v>
      </c>
      <c r="W10" s="6">
        <f t="shared" si="6"/>
        <v>3.9560064464992297E-3</v>
      </c>
      <c r="X10" s="1"/>
      <c r="Y10" s="1">
        <f>LN(R10/Q10-$B$15/$A$15)</f>
        <v>5.0440485784406937</v>
      </c>
      <c r="Z10" s="1">
        <f>SQRT(POWER((1/Q10/(R10/Q10-$B$15/$A$15)*S10),2)+POWER((1/$A$15/(R10/Q10-$B$15/$A$15)*$C$15),2))</f>
        <v>5.5122929960442499E-3</v>
      </c>
      <c r="AA10" s="1">
        <v>3.77</v>
      </c>
      <c r="AB10" s="1">
        <f>SQRT(8)*$E$3</f>
        <v>1.4142135623730952E-2</v>
      </c>
      <c r="AD10">
        <v>180</v>
      </c>
      <c r="AE10">
        <v>53635</v>
      </c>
      <c r="AF10" s="3">
        <f t="shared" si="7"/>
        <v>231.5923142075315</v>
      </c>
      <c r="AG10" s="1">
        <v>15.98</v>
      </c>
      <c r="AH10" s="1">
        <f>SQRT(8)*$E$3</f>
        <v>1.4142135623730952E-2</v>
      </c>
      <c r="AI10" s="6">
        <f t="shared" si="8"/>
        <v>0.19730204014743727</v>
      </c>
      <c r="AJ10" s="6">
        <f t="shared" si="9"/>
        <v>3.220237362437282E-4</v>
      </c>
      <c r="AL10" s="1">
        <f t="shared" si="10"/>
        <v>5.6581534200223444</v>
      </c>
      <c r="AM10" s="1">
        <f t="shared" si="13"/>
        <v>4.5393673002709677E-3</v>
      </c>
      <c r="AN10" s="1">
        <v>15.98</v>
      </c>
      <c r="AO10" s="1">
        <f>SQRT(8)*$E$3</f>
        <v>1.4142135623730952E-2</v>
      </c>
    </row>
    <row r="11" spans="1:41" x14ac:dyDescent="0.3">
      <c r="A11">
        <v>240</v>
      </c>
      <c r="B11">
        <v>14779</v>
      </c>
      <c r="C11" s="3">
        <f t="shared" si="0"/>
        <v>121.56891049935423</v>
      </c>
      <c r="D11" s="1">
        <v>10.4</v>
      </c>
      <c r="E11" s="1">
        <f>SQRT(9)*$E$3</f>
        <v>1.4999999999999999E-2</v>
      </c>
      <c r="F11" s="6">
        <f t="shared" si="12"/>
        <v>0.45100616737952298</v>
      </c>
      <c r="G11" s="6">
        <f t="shared" si="1"/>
        <v>1.0240725589073063E-3</v>
      </c>
      <c r="H11" s="1">
        <v>0.45</v>
      </c>
      <c r="I11" s="1"/>
      <c r="J11" s="1"/>
      <c r="K11" s="1"/>
      <c r="L11" s="1">
        <f t="shared" si="2"/>
        <v>3.9165295025660072</v>
      </c>
      <c r="M11" s="1">
        <f t="shared" si="3"/>
        <v>1.0794815501327918E-2</v>
      </c>
      <c r="N11" s="1">
        <v>10.4</v>
      </c>
      <c r="O11" s="1">
        <f>SQRT(9)*$E$3</f>
        <v>1.4999999999999999E-2</v>
      </c>
      <c r="Q11">
        <v>240</v>
      </c>
      <c r="R11">
        <v>29499</v>
      </c>
      <c r="S11" s="3">
        <f t="shared" si="4"/>
        <v>171.75272923595713</v>
      </c>
      <c r="T11" s="1">
        <v>4.2300000000000004</v>
      </c>
      <c r="U11" s="1">
        <f>SQRT(9)*$E$3</f>
        <v>1.4999999999999999E-2</v>
      </c>
      <c r="V11" s="6">
        <f t="shared" si="5"/>
        <v>0.95712271696261597</v>
      </c>
      <c r="W11" s="6">
        <f t="shared" si="6"/>
        <v>3.6625354594020353E-3</v>
      </c>
      <c r="X11" s="1"/>
      <c r="Y11" s="1">
        <f t="shared" ref="Y11:Y12" si="14">LN(R11/Q11-$B$15/$A$15)</f>
        <v>4.7145550929094693</v>
      </c>
      <c r="Z11" s="1">
        <f t="shared" ref="Z11:Z12" si="15">SQRT(POWER((1/Q11/(R11/Q11-$B$15/$A$15)*S11),2)+POWER((1/$A$15/(R11/Q11-$B$15/$A$15)*$C$15),2))</f>
        <v>6.6448288739039641E-3</v>
      </c>
      <c r="AA11" s="1">
        <v>4.2300000000000004</v>
      </c>
      <c r="AB11" s="1">
        <f>SQRT(9)*$E$3</f>
        <v>1.4999999999999999E-2</v>
      </c>
      <c r="AD11">
        <v>240</v>
      </c>
      <c r="AE11">
        <v>52454</v>
      </c>
      <c r="AF11" s="3">
        <f t="shared" si="7"/>
        <v>229.02838252059504</v>
      </c>
      <c r="AG11" s="1">
        <v>17.96</v>
      </c>
      <c r="AH11" s="1">
        <f>SQRT(9)*$E$3</f>
        <v>1.4999999999999999E-2</v>
      </c>
      <c r="AI11" s="6">
        <f t="shared" si="8"/>
        <v>0.19280812466676364</v>
      </c>
      <c r="AJ11" s="6">
        <f t="shared" si="9"/>
        <v>2.9186842609731957E-4</v>
      </c>
      <c r="AL11" s="1">
        <f t="shared" si="10"/>
        <v>5.3337086413683048</v>
      </c>
      <c r="AM11" s="1">
        <f t="shared" si="13"/>
        <v>4.699076628248899E-3</v>
      </c>
      <c r="AN11" s="1">
        <v>17.96</v>
      </c>
      <c r="AO11" s="1">
        <f>SQRT(9)*$E$3</f>
        <v>1.4999999999999999E-2</v>
      </c>
    </row>
    <row r="12" spans="1:41" x14ac:dyDescent="0.3">
      <c r="A12">
        <v>240</v>
      </c>
      <c r="B12">
        <v>10981</v>
      </c>
      <c r="C12" s="3">
        <f t="shared" si="0"/>
        <v>104.79026672358459</v>
      </c>
      <c r="D12" s="1">
        <v>11.4</v>
      </c>
      <c r="E12" s="1">
        <f>SQRT(10)*$E$3</f>
        <v>1.5811388300841899E-2</v>
      </c>
      <c r="F12" s="6">
        <f t="shared" si="12"/>
        <v>0.43750042880385082</v>
      </c>
      <c r="G12" s="6">
        <f t="shared" si="1"/>
        <v>1.0338903411082369E-3</v>
      </c>
      <c r="H12" s="1">
        <v>0.44</v>
      </c>
      <c r="I12" s="1"/>
      <c r="J12" s="1"/>
      <c r="K12" s="1"/>
      <c r="L12" s="1">
        <f t="shared" si="2"/>
        <v>3.5380807888921386</v>
      </c>
      <c r="M12" s="1">
        <f t="shared" si="3"/>
        <v>1.3880900456413815E-2</v>
      </c>
      <c r="N12" s="1">
        <v>11.4</v>
      </c>
      <c r="O12" s="1">
        <f>SQRT(10)*$E$3</f>
        <v>1.5811388300841899E-2</v>
      </c>
      <c r="Q12">
        <v>240</v>
      </c>
      <c r="R12">
        <v>25469</v>
      </c>
      <c r="S12" s="3">
        <f t="shared" si="4"/>
        <v>159.59009994357419</v>
      </c>
      <c r="T12" s="1">
        <v>4.71</v>
      </c>
      <c r="U12" s="1">
        <f>SQRT(10)*$E$3</f>
        <v>1.5811388300841899E-2</v>
      </c>
      <c r="V12" s="6">
        <f t="shared" si="5"/>
        <v>0.89076930591807113</v>
      </c>
      <c r="W12" s="6">
        <f t="shared" si="6"/>
        <v>3.2728835707170729E-3</v>
      </c>
      <c r="X12" s="1"/>
      <c r="Y12" s="1">
        <f t="shared" si="14"/>
        <v>4.5514265234781446</v>
      </c>
      <c r="Z12" s="1">
        <f t="shared" si="15"/>
        <v>7.307293989254636E-3</v>
      </c>
      <c r="AA12" s="1">
        <v>4.71</v>
      </c>
      <c r="AB12" s="1">
        <f>SQRT(10)*$E$3</f>
        <v>1.5811388300841899E-2</v>
      </c>
      <c r="AD12">
        <v>240</v>
      </c>
      <c r="AE12">
        <v>40352</v>
      </c>
      <c r="AF12" s="3">
        <f t="shared" si="7"/>
        <v>200.87807247183551</v>
      </c>
      <c r="AG12" s="1">
        <v>19.96</v>
      </c>
      <c r="AH12" s="1">
        <f>SQRT(10)*$E$3</f>
        <v>1.5811388300841899E-2</v>
      </c>
      <c r="AI12" s="6">
        <f t="shared" si="8"/>
        <v>0.18662973718811177</v>
      </c>
      <c r="AJ12" s="6">
        <f t="shared" si="9"/>
        <v>2.9013771837953011E-4</v>
      </c>
      <c r="AL12" s="1">
        <f t="shared" si="10"/>
        <v>5.0548435487605765</v>
      </c>
      <c r="AM12" s="1">
        <f t="shared" si="13"/>
        <v>5.4792094733841249E-3</v>
      </c>
      <c r="AN12" s="1">
        <v>19.96</v>
      </c>
      <c r="AO12" s="1">
        <f>SQRT(10)*$E$3</f>
        <v>1.5811388300841899E-2</v>
      </c>
    </row>
    <row r="13" spans="1:41" x14ac:dyDescent="0.3">
      <c r="F13" s="6">
        <f>AVERAGE(F4:F12)</f>
        <v>0.48142901912584091</v>
      </c>
      <c r="G13" s="6">
        <f>AVERAGE(G3:G12)</f>
        <v>1.666310988283606E-3</v>
      </c>
      <c r="V13" s="6">
        <f>AVERAGE(V3:V12)</f>
        <v>1.0895937914755451</v>
      </c>
      <c r="W13" s="1">
        <f>AVERAGE(W3:W12)</f>
        <v>6.5437125819765339E-3</v>
      </c>
      <c r="AI13" s="6">
        <f>AVERAGE(AI3:AI12)</f>
        <v>0.20802244732182032</v>
      </c>
      <c r="AJ13" s="1">
        <f>AVERAGE(AJ3:AJ12)</f>
        <v>6.1757259668689601E-4</v>
      </c>
    </row>
    <row r="14" spans="1:41" x14ac:dyDescent="0.3">
      <c r="A14" t="s">
        <v>10</v>
      </c>
      <c r="B14" t="s">
        <v>8</v>
      </c>
      <c r="C14" t="s">
        <v>9</v>
      </c>
    </row>
    <row r="15" spans="1:41" x14ac:dyDescent="0.3">
      <c r="A15" s="5">
        <v>300</v>
      </c>
      <c r="B15" s="5">
        <v>3406</v>
      </c>
      <c r="C15" s="2">
        <v>58</v>
      </c>
      <c r="R15" s="1">
        <f>1/T3*LN(70452/R3*Q3/10)</f>
        <v>1.2999548153877483</v>
      </c>
      <c r="AF15" s="1">
        <f>1/AG3*LN(69736/AE3*AD3/10)</f>
        <v>0.23661045670905281</v>
      </c>
    </row>
    <row r="16" spans="1:41" x14ac:dyDescent="0.3">
      <c r="R16" s="1">
        <f t="shared" ref="R16:R23" si="16">1/T4*LN(70452/R4*Q4/10)</f>
        <v>1.2226269084509169</v>
      </c>
      <c r="AF16" s="1">
        <f t="shared" ref="AF16:AF24" si="17">1/AG4*LN(69736/AE4*AD4/10)</f>
        <v>0.22312924693691377</v>
      </c>
    </row>
    <row r="17" spans="1:32" x14ac:dyDescent="0.3">
      <c r="A17" t="s">
        <v>13</v>
      </c>
      <c r="B17" t="s">
        <v>14</v>
      </c>
      <c r="C17" t="s">
        <v>15</v>
      </c>
      <c r="D17" t="s">
        <v>16</v>
      </c>
      <c r="E17" t="s">
        <v>17</v>
      </c>
      <c r="G17" t="s">
        <v>23</v>
      </c>
      <c r="H17" t="s">
        <v>22</v>
      </c>
      <c r="R17" s="1">
        <f>1/T5*LN(70452/R5*Q5/10)</f>
        <v>1.1975709436539659</v>
      </c>
      <c r="AF17" s="1">
        <f t="shared" si="17"/>
        <v>0.21627930486669603</v>
      </c>
    </row>
    <row r="18" spans="1:32" x14ac:dyDescent="0.3">
      <c r="A18">
        <f>L3-(-0.48585801*D3+8.88749127)</f>
        <v>-0.13381016382047761</v>
      </c>
      <c r="B18">
        <f>POWER(A18,2)</f>
        <v>1.7905159941663057E-2</v>
      </c>
      <c r="C18">
        <f>D3-(L3-8.88749127)/(-0.48585801)</f>
        <v>-0.27541001911335838</v>
      </c>
      <c r="D18">
        <f>POWER(C18,2)</f>
        <v>7.5850678628020432E-2</v>
      </c>
      <c r="E18" t="e">
        <f>SQRT((D30-E30)/8)</f>
        <v>#NUM!</v>
      </c>
      <c r="F18" t="s">
        <v>5</v>
      </c>
      <c r="G18" t="s">
        <v>25</v>
      </c>
      <c r="H18" t="s">
        <v>27</v>
      </c>
      <c r="R18" s="1">
        <f>1/T6*LN(70452/R6*Q6/10)</f>
        <v>1.1383916400114182</v>
      </c>
      <c r="AF18" s="1">
        <f t="shared" si="17"/>
        <v>0.21148323253423507</v>
      </c>
    </row>
    <row r="19" spans="1:32" x14ac:dyDescent="0.3">
      <c r="A19">
        <f>L4-(-0.48585801*D4+8.88749127)</f>
        <v>0.53518741032718609</v>
      </c>
      <c r="B19">
        <f t="shared" ref="B19:B27" si="18">POWER(A19,2)</f>
        <v>0.28642556417271986</v>
      </c>
      <c r="C19">
        <f t="shared" ref="C19:C27" si="19">D4-(L4-8.88749127)/(-0.48585801)</f>
        <v>1.1015304869156863</v>
      </c>
      <c r="D19">
        <f t="shared" ref="D19:D27" si="20">POWER(C19,2)</f>
        <v>1.2133694136047091</v>
      </c>
      <c r="F19" t="s">
        <v>20</v>
      </c>
      <c r="G19" t="s">
        <v>26</v>
      </c>
      <c r="H19" t="s">
        <v>28</v>
      </c>
      <c r="R19" s="1">
        <f t="shared" si="16"/>
        <v>1.0950703841614799</v>
      </c>
      <c r="AF19" s="1">
        <f t="shared" si="17"/>
        <v>0.20915988106382369</v>
      </c>
    </row>
    <row r="20" spans="1:32" x14ac:dyDescent="0.3">
      <c r="A20">
        <f>L5-(-0.48585801*D5+8.88749127)</f>
        <v>-0.14872928348658565</v>
      </c>
      <c r="B20">
        <f t="shared" si="18"/>
        <v>2.2120399766433159E-2</v>
      </c>
      <c r="C20">
        <f t="shared" si="19"/>
        <v>-0.30611676750288819</v>
      </c>
      <c r="D20">
        <f t="shared" si="20"/>
        <v>9.3707475346417296E-2</v>
      </c>
      <c r="F20" t="s">
        <v>21</v>
      </c>
      <c r="G20" t="s">
        <v>24</v>
      </c>
      <c r="H20" t="s">
        <v>29</v>
      </c>
      <c r="R20" s="1">
        <f t="shared" si="16"/>
        <v>1.0624480820997471</v>
      </c>
      <c r="AF20" s="1">
        <f t="shared" si="17"/>
        <v>0.20512679681741647</v>
      </c>
    </row>
    <row r="21" spans="1:32" x14ac:dyDescent="0.3">
      <c r="A21">
        <f>L6-(-0.48585801*D6+8.88749127)</f>
        <v>-0.13123880612631833</v>
      </c>
      <c r="B21">
        <f t="shared" si="18"/>
        <v>1.7223624233461368E-2</v>
      </c>
      <c r="C21">
        <f t="shared" si="19"/>
        <v>-0.27011761342849638</v>
      </c>
      <c r="D21">
        <f t="shared" si="20"/>
        <v>7.2963525084306605E-2</v>
      </c>
      <c r="R21" s="1">
        <f t="shared" si="16"/>
        <v>1.0385065003808132</v>
      </c>
      <c r="AF21" s="1">
        <f t="shared" si="17"/>
        <v>0.20169565228775277</v>
      </c>
    </row>
    <row r="22" spans="1:32" x14ac:dyDescent="0.3">
      <c r="A22">
        <f>L7-(-0.48585801*D7+8.88749127)</f>
        <v>-6.2866316302438108E-2</v>
      </c>
      <c r="B22">
        <f t="shared" si="18"/>
        <v>3.9521737254381954E-3</v>
      </c>
      <c r="C22">
        <f t="shared" si="19"/>
        <v>-0.12939236362993789</v>
      </c>
      <c r="D22">
        <f t="shared" si="20"/>
        <v>1.6742383765742073E-2</v>
      </c>
      <c r="R22" s="1">
        <f t="shared" si="16"/>
        <v>0.99347661772867557</v>
      </c>
      <c r="AF22" s="1">
        <f t="shared" si="17"/>
        <v>0.19730204014743727</v>
      </c>
    </row>
    <row r="23" spans="1:32" x14ac:dyDescent="0.3">
      <c r="A23">
        <f>L8-(-0.48585801*D8+8.88749127)</f>
        <v>-0.11467473283268781</v>
      </c>
      <c r="B23">
        <f t="shared" si="18"/>
        <v>1.3150294350248327E-2</v>
      </c>
      <c r="C23">
        <f t="shared" si="19"/>
        <v>-0.23602519763477403</v>
      </c>
      <c r="D23">
        <f t="shared" si="20"/>
        <v>5.5707893918534139E-2</v>
      </c>
      <c r="R23" s="1">
        <f t="shared" si="16"/>
        <v>0.95712271696261597</v>
      </c>
      <c r="AF23" s="1">
        <f t="shared" si="17"/>
        <v>0.19280812466676364</v>
      </c>
    </row>
    <row r="24" spans="1:32" x14ac:dyDescent="0.3">
      <c r="A24">
        <f>L9-(-0.48585801*D9+8.88749127)</f>
        <v>-0.15136115972305042</v>
      </c>
      <c r="B24">
        <f t="shared" si="18"/>
        <v>2.2910200672706781E-2</v>
      </c>
      <c r="C24">
        <f t="shared" si="19"/>
        <v>-0.31153373332890233</v>
      </c>
      <c r="D24">
        <f t="shared" si="20"/>
        <v>9.7053267001843635E-2</v>
      </c>
      <c r="R24" s="1">
        <f>1/T12*LN(70452/R12*Q12/10)</f>
        <v>0.89076930591807113</v>
      </c>
      <c r="AF24" s="1">
        <f t="shared" si="17"/>
        <v>0.18662973718811177</v>
      </c>
    </row>
    <row r="25" spans="1:32" x14ac:dyDescent="0.3">
      <c r="A25">
        <f>L10-(-0.48585801*D10+8.88749127)</f>
        <v>-6.7427174303849036E-2</v>
      </c>
      <c r="B25">
        <f t="shared" si="18"/>
        <v>4.5464238346016395E-3</v>
      </c>
      <c r="C25">
        <f t="shared" si="19"/>
        <v>-0.1387795876903386</v>
      </c>
      <c r="D25">
        <f t="shared" si="20"/>
        <v>1.9259773959500383E-2</v>
      </c>
      <c r="R25" s="1">
        <f>AVERAGE(R15:R24)</f>
        <v>1.0895937914755451</v>
      </c>
      <c r="AF25" s="1">
        <f>AVERAGE(AF15:AF24)</f>
        <v>0.20802244732182032</v>
      </c>
    </row>
    <row r="26" spans="1:32" x14ac:dyDescent="0.3">
      <c r="A26">
        <f>L11-(-0.48585801*D11+8.88749127)</f>
        <v>8.1961536566007354E-2</v>
      </c>
      <c r="B26">
        <f t="shared" si="18"/>
        <v>6.7176934762609606E-3</v>
      </c>
      <c r="C26">
        <f t="shared" si="19"/>
        <v>0.16869442281296898</v>
      </c>
      <c r="D26">
        <f t="shared" si="20"/>
        <v>2.8457808288200749E-2</v>
      </c>
    </row>
    <row r="27" spans="1:32" x14ac:dyDescent="0.3">
      <c r="A27">
        <f>L12-(-0.48585801*D12+8.88749127)</f>
        <v>0.18937083289213907</v>
      </c>
      <c r="B27">
        <f t="shared" si="18"/>
        <v>3.5861312350262464E-2</v>
      </c>
      <c r="C27">
        <f t="shared" si="19"/>
        <v>0.38976579369791331</v>
      </c>
      <c r="D27">
        <f t="shared" si="20"/>
        <v>0.15191737393696431</v>
      </c>
    </row>
    <row r="28" spans="1:32" x14ac:dyDescent="0.3">
      <c r="B28">
        <f>AVERAGE(B18:B27)</f>
        <v>4.3081284652379578E-2</v>
      </c>
      <c r="D28">
        <f>AVERAGE(D18:D27)</f>
        <v>0.18250295935342387</v>
      </c>
    </row>
    <row r="30" spans="1:32" x14ac:dyDescent="0.3">
      <c r="D30" s="8">
        <f>B28/D28</f>
        <v>0.23605800588115969</v>
      </c>
      <c r="E30" s="8">
        <f>POWER(-0.48585801,2)</f>
        <v>0.2360580058811601</v>
      </c>
      <c r="F30" s="8"/>
      <c r="G30" s="8"/>
      <c r="H30" s="8"/>
      <c r="I30" s="8"/>
      <c r="J30" s="8"/>
      <c r="K30" s="7"/>
    </row>
  </sheetData>
  <mergeCells count="4">
    <mergeCell ref="A1:E1"/>
    <mergeCell ref="Q1:U1"/>
    <mergeCell ref="AD1:AH1"/>
    <mergeCell ref="L1:O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</dc:creator>
  <cp:lastModifiedBy>Nata</cp:lastModifiedBy>
  <dcterms:created xsi:type="dcterms:W3CDTF">2022-09-10T12:53:43Z</dcterms:created>
  <dcterms:modified xsi:type="dcterms:W3CDTF">2022-09-17T20:30:19Z</dcterms:modified>
</cp:coreProperties>
</file>