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ovaleksandr/Учеба/5 Семестр/Лабы/5_8_1/"/>
    </mc:Choice>
  </mc:AlternateContent>
  <xr:revisionPtr revIDLastSave="0" documentId="13_ncr:1_{B9FCF905-B5DC-FD4E-9D06-6C176628114F}" xr6:coauthVersionLast="47" xr6:coauthVersionMax="47" xr10:uidLastSave="{00000000-0000-0000-0000-000000000000}"/>
  <bookViews>
    <workbookView xWindow="380" yWindow="500" windowWidth="28040" windowHeight="16020" xr2:uid="{88DD2283-2B78-6647-9C6C-4081D64ACD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4" i="1"/>
  <c r="M7" i="1"/>
  <c r="M10" i="1"/>
  <c r="M9" i="1"/>
  <c r="M8" i="1"/>
  <c r="M6" i="1"/>
  <c r="M5" i="1"/>
  <c r="M4" i="1"/>
  <c r="X4" i="1"/>
  <c r="T6" i="1"/>
  <c r="Y6" i="1" s="1"/>
  <c r="T7" i="1"/>
  <c r="Y7" i="1" s="1"/>
  <c r="T8" i="1"/>
  <c r="Y8" i="1" s="1"/>
  <c r="T9" i="1"/>
  <c r="Y9" i="1" s="1"/>
  <c r="T10" i="1"/>
  <c r="Y10" i="1" s="1"/>
  <c r="U8" i="1"/>
  <c r="Z8" i="1" s="1"/>
  <c r="U10" i="1"/>
  <c r="Z10" i="1" s="1"/>
  <c r="S5" i="1"/>
  <c r="U5" i="1" s="1"/>
  <c r="Z5" i="1" s="1"/>
  <c r="S6" i="1"/>
  <c r="U6" i="1" s="1"/>
  <c r="Z6" i="1" s="1"/>
  <c r="S7" i="1"/>
  <c r="U7" i="1" s="1"/>
  <c r="Z7" i="1" s="1"/>
  <c r="S8" i="1"/>
  <c r="S9" i="1"/>
  <c r="U9" i="1" s="1"/>
  <c r="Z9" i="1" s="1"/>
  <c r="S10" i="1"/>
  <c r="S4" i="1"/>
  <c r="U4" i="1" s="1"/>
  <c r="Z4" i="1" s="1"/>
  <c r="Q5" i="1"/>
  <c r="Q6" i="1"/>
  <c r="Q7" i="1"/>
  <c r="Q8" i="1"/>
  <c r="Q9" i="1"/>
  <c r="Q10" i="1"/>
  <c r="Q4" i="1"/>
  <c r="O5" i="1"/>
  <c r="X5" i="1" s="1"/>
  <c r="O6" i="1"/>
  <c r="X6" i="1" s="1"/>
  <c r="O7" i="1"/>
  <c r="X7" i="1" s="1"/>
  <c r="O8" i="1"/>
  <c r="X8" i="1" s="1"/>
  <c r="O9" i="1"/>
  <c r="X9" i="1" s="1"/>
  <c r="O10" i="1"/>
  <c r="X10" i="1" s="1"/>
  <c r="O4" i="1"/>
  <c r="K5" i="1"/>
  <c r="K4" i="1"/>
  <c r="G5" i="1"/>
  <c r="G6" i="1"/>
  <c r="G4" i="1"/>
  <c r="E6" i="1"/>
  <c r="E5" i="1"/>
  <c r="E4" i="1"/>
  <c r="T5" i="1"/>
  <c r="Y5" i="1" s="1"/>
  <c r="T4" i="1"/>
  <c r="Y4" i="1" s="1"/>
</calcChain>
</file>

<file path=xl/sharedStrings.xml><?xml version="1.0" encoding="utf-8"?>
<sst xmlns="http://schemas.openxmlformats.org/spreadsheetml/2006/main" count="24" uniqueCount="24">
  <si>
    <t>Напряжение, мВ</t>
  </si>
  <si>
    <t>Керамическая трубка</t>
  </si>
  <si>
    <t>Металлическая трубка</t>
  </si>
  <si>
    <t>ln(W)</t>
  </si>
  <si>
    <t>ln(T)</t>
  </si>
  <si>
    <t>Комнатная температура, ℃</t>
  </si>
  <si>
    <t>Постоянная термопары, мкВ/℃</t>
  </si>
  <si>
    <t>Температура(термопара), ℃</t>
  </si>
  <si>
    <t>Температура(пирометр), ℃</t>
  </si>
  <si>
    <t>Разность значений, %</t>
  </si>
  <si>
    <t>T_ярк, ℃</t>
  </si>
  <si>
    <t>𝜎T_ярк, ℃</t>
  </si>
  <si>
    <t>𝜎T, ℃</t>
  </si>
  <si>
    <t>I, А</t>
  </si>
  <si>
    <t>𝜎I, А</t>
  </si>
  <si>
    <t>U, В</t>
  </si>
  <si>
    <t>𝜎U, В</t>
  </si>
  <si>
    <t>W,Вт</t>
  </si>
  <si>
    <t>𝜎W, Вт</t>
  </si>
  <si>
    <t>𝜎ln(T)</t>
  </si>
  <si>
    <t>𝜎ln(W)</t>
  </si>
  <si>
    <t>T_ярк, K</t>
  </si>
  <si>
    <t>T, K</t>
  </si>
  <si>
    <t>Температура неоновой лампы(пирометр), 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</si>
</sst>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</a:t>
            </a:r>
            <a:r>
              <a:rPr lang="en-US" baseline="0"/>
              <a:t> = 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3288223933911583E-2"/>
          <c:y val="5.3537055626174071E-2"/>
          <c:w val="0.92774867035102648"/>
          <c:h val="0.886699904346766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Лист1!$O$4:$O$10</c:f>
                <c:numCache>
                  <c:formatCode>General</c:formatCode>
                  <c:ptCount val="7"/>
                  <c:pt idx="0">
                    <c:v>37.800000000000004</c:v>
                  </c:pt>
                  <c:pt idx="1">
                    <c:v>39.76</c:v>
                  </c:pt>
                  <c:pt idx="2">
                    <c:v>45.08</c:v>
                  </c:pt>
                  <c:pt idx="3">
                    <c:v>49</c:v>
                  </c:pt>
                  <c:pt idx="4">
                    <c:v>51.800000000000004</c:v>
                  </c:pt>
                  <c:pt idx="5">
                    <c:v>54.32</c:v>
                  </c:pt>
                  <c:pt idx="6">
                    <c:v>58.24</c:v>
                  </c:pt>
                </c:numCache>
              </c:numRef>
            </c:plus>
            <c:minus>
              <c:numRef>
                <c:f>Лист1!$O$4:$O$10</c:f>
                <c:numCache>
                  <c:formatCode>General</c:formatCode>
                  <c:ptCount val="7"/>
                  <c:pt idx="0">
                    <c:v>37.800000000000004</c:v>
                  </c:pt>
                  <c:pt idx="1">
                    <c:v>39.76</c:v>
                  </c:pt>
                  <c:pt idx="2">
                    <c:v>45.08</c:v>
                  </c:pt>
                  <c:pt idx="3">
                    <c:v>49</c:v>
                  </c:pt>
                  <c:pt idx="4">
                    <c:v>51.800000000000004</c:v>
                  </c:pt>
                  <c:pt idx="5">
                    <c:v>54.32</c:v>
                  </c:pt>
                  <c:pt idx="6">
                    <c:v>58.24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Лист1!$U$4:$U$10</c:f>
                <c:numCache>
                  <c:formatCode>General</c:formatCode>
                  <c:ptCount val="7"/>
                  <c:pt idx="0">
                    <c:v>1.0093242194656779E-2</c:v>
                  </c:pt>
                  <c:pt idx="1">
                    <c:v>1.1736558354134315E-2</c:v>
                  </c:pt>
                  <c:pt idx="2">
                    <c:v>1.8357057725027721E-2</c:v>
                  </c:pt>
                  <c:pt idx="3">
                    <c:v>2.2967959623788965E-2</c:v>
                  </c:pt>
                  <c:pt idx="4">
                    <c:v>3.100917793944238E-2</c:v>
                  </c:pt>
                  <c:pt idx="5">
                    <c:v>3.6291548437618365E-2</c:v>
                  </c:pt>
                  <c:pt idx="6">
                    <c:v>4.370768435870287E-2</c:v>
                  </c:pt>
                </c:numCache>
              </c:numRef>
            </c:plus>
            <c:minus>
              <c:numRef>
                <c:f>Лист1!$U$4:$U$10</c:f>
                <c:numCache>
                  <c:formatCode>General</c:formatCode>
                  <c:ptCount val="7"/>
                  <c:pt idx="0">
                    <c:v>1.0093242194656779E-2</c:v>
                  </c:pt>
                  <c:pt idx="1">
                    <c:v>1.1736558354134315E-2</c:v>
                  </c:pt>
                  <c:pt idx="2">
                    <c:v>1.8357057725027721E-2</c:v>
                  </c:pt>
                  <c:pt idx="3">
                    <c:v>2.2967959623788965E-2</c:v>
                  </c:pt>
                  <c:pt idx="4">
                    <c:v>3.100917793944238E-2</c:v>
                  </c:pt>
                  <c:pt idx="5">
                    <c:v>3.6291548437618365E-2</c:v>
                  </c:pt>
                  <c:pt idx="6">
                    <c:v>4.370768435870287E-2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Лист1!$N$4:$N$10</c:f>
              <c:numCache>
                <c:formatCode>0</c:formatCode>
                <c:ptCount val="7"/>
                <c:pt idx="0">
                  <c:v>1350</c:v>
                </c:pt>
                <c:pt idx="1">
                  <c:v>1420</c:v>
                </c:pt>
                <c:pt idx="2">
                  <c:v>1610</c:v>
                </c:pt>
                <c:pt idx="3">
                  <c:v>1750</c:v>
                </c:pt>
                <c:pt idx="4">
                  <c:v>1850</c:v>
                </c:pt>
                <c:pt idx="5">
                  <c:v>1940</c:v>
                </c:pt>
                <c:pt idx="6">
                  <c:v>2080</c:v>
                </c:pt>
              </c:numCache>
            </c:numRef>
          </c:xVal>
          <c:yVal>
            <c:numRef>
              <c:f>Лист1!$T$4:$T$10</c:f>
              <c:numCache>
                <c:formatCode>0.00</c:formatCode>
                <c:ptCount val="7"/>
                <c:pt idx="0">
                  <c:v>0.35685</c:v>
                </c:pt>
                <c:pt idx="1">
                  <c:v>0.41494999999999999</c:v>
                </c:pt>
                <c:pt idx="2">
                  <c:v>0.64901999999999993</c:v>
                </c:pt>
                <c:pt idx="3">
                  <c:v>0.81203999999999998</c:v>
                </c:pt>
                <c:pt idx="4">
                  <c:v>1.0963399999999999</c:v>
                </c:pt>
                <c:pt idx="5">
                  <c:v>1.2830999999999999</c:v>
                </c:pt>
                <c:pt idx="6">
                  <c:v>1.5452999999999999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9A-F24C-8994-F157CBB3B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00575"/>
        <c:axId val="999741487"/>
      </c:scatterChart>
      <c:valAx>
        <c:axId val="996600575"/>
        <c:scaling>
          <c:orientation val="minMax"/>
          <c:max val="2200"/>
          <c:min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741487"/>
        <c:crosses val="autoZero"/>
        <c:crossBetween val="midCat"/>
      </c:valAx>
      <c:valAx>
        <c:axId val="999741487"/>
        <c:scaling>
          <c:orientation val="minMax"/>
          <c:max val="1.7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W,</a:t>
                </a:r>
                <a:r>
                  <a:rPr lang="en-US" baseline="0"/>
                  <a:t> </a:t>
                </a:r>
                <a:r>
                  <a:rPr lang="ru-RU" baseline="0"/>
                  <a:t>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60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21434495821693"/>
          <c:y val="0.11312187109517795"/>
          <c:w val="0.83005906858579648"/>
          <c:h val="0.78361881883994378"/>
        </c:manualLayout>
      </c:layout>
      <c:scatterChart>
        <c:scatterStyle val="lineMarker"/>
        <c:varyColors val="0"/>
        <c:ser>
          <c:idx val="0"/>
          <c:order val="0"/>
          <c:tx>
            <c:v>ln(W) = f(ln(T))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728861173934581"/>
                  <c:y val="8.85762369318845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3,47x - 21,4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Лист1!$X$4:$X$10</c:f>
                <c:numCache>
                  <c:formatCode>General</c:formatCode>
                  <c:ptCount val="7"/>
                  <c:pt idx="0">
                    <c:v>2.8000000000000004E-2</c:v>
                  </c:pt>
                  <c:pt idx="1">
                    <c:v>2.7999999999999997E-2</c:v>
                  </c:pt>
                  <c:pt idx="2">
                    <c:v>2.8000000000000001E-2</c:v>
                  </c:pt>
                  <c:pt idx="3">
                    <c:v>2.8000000000000001E-2</c:v>
                  </c:pt>
                  <c:pt idx="4">
                    <c:v>2.8000000000000001E-2</c:v>
                  </c:pt>
                  <c:pt idx="5">
                    <c:v>2.8000000000000001E-2</c:v>
                  </c:pt>
                  <c:pt idx="6">
                    <c:v>2.8000000000000001E-2</c:v>
                  </c:pt>
                </c:numCache>
              </c:numRef>
            </c:plus>
            <c:minus>
              <c:numRef>
                <c:f>Лист1!$X$4:$X$10</c:f>
                <c:numCache>
                  <c:formatCode>General</c:formatCode>
                  <c:ptCount val="7"/>
                  <c:pt idx="0">
                    <c:v>2.8000000000000004E-2</c:v>
                  </c:pt>
                  <c:pt idx="1">
                    <c:v>2.7999999999999997E-2</c:v>
                  </c:pt>
                  <c:pt idx="2">
                    <c:v>2.8000000000000001E-2</c:v>
                  </c:pt>
                  <c:pt idx="3">
                    <c:v>2.8000000000000001E-2</c:v>
                  </c:pt>
                  <c:pt idx="4">
                    <c:v>2.8000000000000001E-2</c:v>
                  </c:pt>
                  <c:pt idx="5">
                    <c:v>2.8000000000000001E-2</c:v>
                  </c:pt>
                  <c:pt idx="6">
                    <c:v>2.8000000000000001E-2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Лист1!$Z$4:$Z$10</c:f>
                <c:numCache>
                  <c:formatCode>General</c:formatCode>
                  <c:ptCount val="7"/>
                  <c:pt idx="0">
                    <c:v>2.8284271247461901E-2</c:v>
                  </c:pt>
                  <c:pt idx="1">
                    <c:v>2.8284271247461901E-2</c:v>
                  </c:pt>
                  <c:pt idx="2">
                    <c:v>2.8284271247461901E-2</c:v>
                  </c:pt>
                  <c:pt idx="3">
                    <c:v>2.8284271247461905E-2</c:v>
                  </c:pt>
                  <c:pt idx="4">
                    <c:v>2.8284271247461905E-2</c:v>
                  </c:pt>
                  <c:pt idx="5">
                    <c:v>2.8284271247461901E-2</c:v>
                  </c:pt>
                  <c:pt idx="6">
                    <c:v>2.8284271247461898E-2</c:v>
                  </c:pt>
                </c:numCache>
              </c:numRef>
            </c:plus>
            <c:minus>
              <c:numRef>
                <c:f>Лист1!$Z$4:$Z$10</c:f>
                <c:numCache>
                  <c:formatCode>General</c:formatCode>
                  <c:ptCount val="7"/>
                  <c:pt idx="0">
                    <c:v>2.8284271247461901E-2</c:v>
                  </c:pt>
                  <c:pt idx="1">
                    <c:v>2.8284271247461901E-2</c:v>
                  </c:pt>
                  <c:pt idx="2">
                    <c:v>2.8284271247461901E-2</c:v>
                  </c:pt>
                  <c:pt idx="3">
                    <c:v>2.8284271247461905E-2</c:v>
                  </c:pt>
                  <c:pt idx="4">
                    <c:v>2.8284271247461905E-2</c:v>
                  </c:pt>
                  <c:pt idx="5">
                    <c:v>2.8284271247461901E-2</c:v>
                  </c:pt>
                  <c:pt idx="6">
                    <c:v>2.8284271247461898E-2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Лист1!$W$4:$W$10</c:f>
              <c:numCache>
                <c:formatCode>0.00</c:formatCode>
                <c:ptCount val="7"/>
                <c:pt idx="0">
                  <c:v>7.2078598714324755</c:v>
                </c:pt>
                <c:pt idx="1">
                  <c:v>7.2584121505953068</c:v>
                </c:pt>
                <c:pt idx="2">
                  <c:v>7.383989457978509</c:v>
                </c:pt>
                <c:pt idx="3">
                  <c:v>7.4673710669175595</c:v>
                </c:pt>
                <c:pt idx="4">
                  <c:v>7.5229409180723703</c:v>
                </c:pt>
                <c:pt idx="5">
                  <c:v>7.5704432520573741</c:v>
                </c:pt>
                <c:pt idx="6">
                  <c:v>7.6401231726953638</c:v>
                </c:pt>
              </c:numCache>
            </c:numRef>
          </c:xVal>
          <c:yVal>
            <c:numRef>
              <c:f>Лист1!$Y$4:$Y$10</c:f>
              <c:numCache>
                <c:formatCode>0.00</c:formatCode>
                <c:ptCount val="7"/>
                <c:pt idx="0">
                  <c:v>-1.0304397535650607</c:v>
                </c:pt>
                <c:pt idx="1">
                  <c:v>-0.87959724793768013</c:v>
                </c:pt>
                <c:pt idx="2">
                  <c:v>-0.43229174611188398</c:v>
                </c:pt>
                <c:pt idx="3">
                  <c:v>-0.20820567895000261</c:v>
                </c:pt>
                <c:pt idx="4">
                  <c:v>9.1977359395967753E-2</c:v>
                </c:pt>
                <c:pt idx="5">
                  <c:v>0.24927902491883552</c:v>
                </c:pt>
                <c:pt idx="6">
                  <c:v>0.43521806625751214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6-574B-A410-A49FF818E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87695"/>
        <c:axId val="1004753439"/>
      </c:scatterChart>
      <c:valAx>
        <c:axId val="1004787695"/>
        <c:scaling>
          <c:orientation val="minMax"/>
          <c:max val="7.7"/>
          <c:min val="7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4753439"/>
        <c:crossesAt val="-1.1000000000000001"/>
        <c:crossBetween val="midCat"/>
      </c:valAx>
      <c:valAx>
        <c:axId val="1004753439"/>
        <c:scaling>
          <c:orientation val="minMax"/>
          <c:max val="0.5"/>
          <c:min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Ln(W)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478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456629</xdr:colOff>
      <xdr:row>15</xdr:row>
      <xdr:rowOff>63499</xdr:rowOff>
    </xdr:from>
    <xdr:to>
      <xdr:col>21</xdr:col>
      <xdr:colOff>313933</xdr:colOff>
      <xdr:row>46</xdr:row>
      <xdr:rowOff>85618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6924326-D762-4E8F-188C-0C13F86F6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629380</xdr:colOff>
      <xdr:row>14</xdr:row>
      <xdr:rowOff>112390</xdr:rowOff>
    </xdr:from>
    <xdr:to>
      <xdr:col>30</xdr:col>
      <xdr:colOff>320988</xdr:colOff>
      <xdr:row>32</xdr:row>
      <xdr:rowOff>195385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B81830-D7DE-90BA-599E-A4CA304BF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B6BD-E539-9E49-B494-26C63022AC46}">
  <dimension ref="A1:Z24"/>
  <sheetViews>
    <sheetView tabSelected="1" zoomScale="107" workbookViewId="0">
      <selection activeCell="E12" sqref="E12"/>
    </sheetView>
  </sheetViews>
  <sheetFormatPr baseColWidth="10" defaultRowHeight="16" x14ac:dyDescent="0.2"/>
  <cols>
    <col min="1" max="1" width="41" bestFit="1" customWidth="1"/>
    <col min="2" max="2" width="7.5" customWidth="1"/>
    <col min="3" max="3" width="8.1640625" customWidth="1"/>
    <col min="4" max="4" width="15.33203125" bestFit="1" customWidth="1"/>
    <col min="5" max="5" width="26" bestFit="1" customWidth="1"/>
    <col min="6" max="6" width="25.1640625" bestFit="1" customWidth="1"/>
    <col min="7" max="7" width="19.6640625" bestFit="1" customWidth="1"/>
    <col min="8" max="8" width="24.1640625" bestFit="1" customWidth="1"/>
    <col min="9" max="9" width="20.6640625" bestFit="1" customWidth="1"/>
    <col min="10" max="10" width="9" bestFit="1" customWidth="1"/>
    <col min="11" max="11" width="10.33203125" bestFit="1" customWidth="1"/>
    <col min="13" max="13" width="9" bestFit="1" customWidth="1"/>
    <col min="14" max="14" width="8.6640625" bestFit="1" customWidth="1"/>
    <col min="15" max="15" width="6.33203125" bestFit="1" customWidth="1"/>
    <col min="16" max="17" width="6.1640625" bestFit="1" customWidth="1"/>
    <col min="18" max="18" width="7.5" bestFit="1" customWidth="1"/>
    <col min="19" max="19" width="6.1640625" bestFit="1" customWidth="1"/>
    <col min="20" max="20" width="7.5" bestFit="1" customWidth="1"/>
    <col min="21" max="21" width="7" bestFit="1" customWidth="1"/>
  </cols>
  <sheetData>
    <row r="1" spans="1:26" x14ac:dyDescent="0.2">
      <c r="A1" s="1"/>
      <c r="B1" s="1"/>
      <c r="C1" s="1"/>
      <c r="D1" s="1"/>
      <c r="E1" s="1"/>
    </row>
    <row r="2" spans="1:26" ht="17" thickBot="1" x14ac:dyDescent="0.25">
      <c r="A2" s="1"/>
      <c r="B2" s="1"/>
      <c r="C2" s="1"/>
      <c r="D2" s="1"/>
      <c r="E2" s="1"/>
    </row>
    <row r="3" spans="1:26" x14ac:dyDescent="0.2">
      <c r="A3" s="1" t="s">
        <v>5</v>
      </c>
      <c r="B3" s="1">
        <v>20</v>
      </c>
      <c r="C3" s="1"/>
      <c r="D3" s="7" t="s">
        <v>0</v>
      </c>
      <c r="E3" s="8" t="s">
        <v>7</v>
      </c>
      <c r="F3" s="8" t="s">
        <v>8</v>
      </c>
      <c r="G3" s="9" t="s">
        <v>9</v>
      </c>
      <c r="I3" s="17"/>
      <c r="J3" s="18" t="s">
        <v>10</v>
      </c>
      <c r="K3" s="9" t="s">
        <v>11</v>
      </c>
      <c r="M3" s="17" t="s">
        <v>21</v>
      </c>
      <c r="N3" s="18" t="s">
        <v>22</v>
      </c>
      <c r="O3" s="18" t="s">
        <v>12</v>
      </c>
      <c r="P3" s="8" t="s">
        <v>13</v>
      </c>
      <c r="Q3" s="18" t="s">
        <v>14</v>
      </c>
      <c r="R3" s="8" t="s">
        <v>15</v>
      </c>
      <c r="S3" s="18" t="s">
        <v>16</v>
      </c>
      <c r="T3" s="8" t="s">
        <v>17</v>
      </c>
      <c r="U3" s="9" t="s">
        <v>18</v>
      </c>
      <c r="W3" s="17" t="s">
        <v>4</v>
      </c>
      <c r="X3" s="18" t="s">
        <v>19</v>
      </c>
      <c r="Y3" s="18" t="s">
        <v>3</v>
      </c>
      <c r="Z3" s="9" t="s">
        <v>20</v>
      </c>
    </row>
    <row r="4" spans="1:26" x14ac:dyDescent="0.2">
      <c r="A4" s="1" t="s">
        <v>6</v>
      </c>
      <c r="B4" s="1">
        <v>41</v>
      </c>
      <c r="C4" s="1"/>
      <c r="D4" s="10">
        <v>48</v>
      </c>
      <c r="E4" s="6">
        <f>D4/B4*1000 + 20</f>
        <v>1190.7317073170732</v>
      </c>
      <c r="F4" s="4">
        <v>1197</v>
      </c>
      <c r="G4" s="11">
        <f>(F4 - E4)/E4 * 100</f>
        <v>0.52642359688652052</v>
      </c>
      <c r="I4" s="19" t="s">
        <v>1</v>
      </c>
      <c r="J4" s="5">
        <v>966</v>
      </c>
      <c r="K4" s="20">
        <f xml:space="preserve"> 0.028 * J4</f>
        <v>27.048000000000002</v>
      </c>
      <c r="M4" s="19">
        <f xml:space="preserve"> 1037 + 273</f>
        <v>1310</v>
      </c>
      <c r="N4" s="16">
        <v>1350</v>
      </c>
      <c r="O4" s="16">
        <f xml:space="preserve"> 0.028 * N4</f>
        <v>37.800000000000004</v>
      </c>
      <c r="P4" s="24">
        <v>0.91500000000000004</v>
      </c>
      <c r="Q4" s="25">
        <f xml:space="preserve"> P4 * 0.02</f>
        <v>1.83E-2</v>
      </c>
      <c r="R4" s="37">
        <v>0.39</v>
      </c>
      <c r="S4" s="5">
        <f xml:space="preserve"> R4 * 0.02</f>
        <v>7.8000000000000005E-3</v>
      </c>
      <c r="T4" s="26">
        <f>R4 * P4</f>
        <v>0.35685</v>
      </c>
      <c r="U4" s="27">
        <f xml:space="preserve"> SQRT( (P4 * S4) * (P4 * S4) + (R4 * Q4) * (R4 * Q4))</f>
        <v>1.0093242194656779E-2</v>
      </c>
      <c r="W4" s="33">
        <f>LN(N4)</f>
        <v>7.2078598714324755</v>
      </c>
      <c r="X4" s="5">
        <f xml:space="preserve"> O4 / N4</f>
        <v>2.8000000000000004E-2</v>
      </c>
      <c r="Y4" s="26">
        <f t="shared" ref="Y4:Y10" si="0">LN(T4)</f>
        <v>-1.0304397535650607</v>
      </c>
      <c r="Z4" s="35">
        <f xml:space="preserve"> U4 / T4</f>
        <v>2.8284271247461901E-2</v>
      </c>
    </row>
    <row r="5" spans="1:26" ht="17" thickBot="1" x14ac:dyDescent="0.25">
      <c r="A5" s="1"/>
      <c r="B5" s="1"/>
      <c r="C5" s="1"/>
      <c r="D5" s="10">
        <v>41.3</v>
      </c>
      <c r="E5" s="6">
        <f>D5/B4*1000 + 20</f>
        <v>1027.3170731707319</v>
      </c>
      <c r="F5" s="4">
        <v>1051</v>
      </c>
      <c r="G5" s="11">
        <f t="shared" ref="G5:G6" si="1">(F5 - E5)/E5 * 100</f>
        <v>2.3053181386514554</v>
      </c>
      <c r="I5" s="21" t="s">
        <v>2</v>
      </c>
      <c r="J5" s="22">
        <v>885</v>
      </c>
      <c r="K5" s="23">
        <f xml:space="preserve"> 0.028 * J5</f>
        <v>24.78</v>
      </c>
      <c r="M5" s="19">
        <f xml:space="preserve"> 1113 + 273</f>
        <v>1386</v>
      </c>
      <c r="N5" s="16">
        <v>1420</v>
      </c>
      <c r="O5" s="16">
        <f t="shared" ref="O5:O10" si="2" xml:space="preserve"> 0.028 * N5</f>
        <v>39.76</v>
      </c>
      <c r="P5" s="24">
        <v>0.96499999999999997</v>
      </c>
      <c r="Q5" s="25">
        <f t="shared" ref="Q5:Q10" si="3" xml:space="preserve"> P5 * 0.02</f>
        <v>1.9300000000000001E-2</v>
      </c>
      <c r="R5" s="37">
        <v>0.43</v>
      </c>
      <c r="S5" s="5">
        <f t="shared" ref="S5:S10" si="4" xml:space="preserve"> R5 * 0.02</f>
        <v>8.6E-3</v>
      </c>
      <c r="T5" s="26">
        <f>R5 * P5</f>
        <v>0.41494999999999999</v>
      </c>
      <c r="U5" s="27">
        <f t="shared" ref="U5:U10" si="5" xml:space="preserve"> SQRT( (P5 * S5) * (P5 * S5) + (R5 * Q5) * (R5 * Q5))</f>
        <v>1.1736558354134315E-2</v>
      </c>
      <c r="W5" s="33">
        <f t="shared" ref="W5:W10" si="6">LN(N5)</f>
        <v>7.2584121505953068</v>
      </c>
      <c r="X5" s="5">
        <f xml:space="preserve"> O5 / N5</f>
        <v>2.7999999999999997E-2</v>
      </c>
      <c r="Y5" s="26">
        <f t="shared" si="0"/>
        <v>-0.87959724793768013</v>
      </c>
      <c r="Z5" s="35">
        <f t="shared" ref="Z5:Z10" si="7" xml:space="preserve"> U5 / T5</f>
        <v>2.8284271247461901E-2</v>
      </c>
    </row>
    <row r="6" spans="1:26" ht="17" thickBot="1" x14ac:dyDescent="0.25">
      <c r="D6" s="12">
        <v>37.5</v>
      </c>
      <c r="E6" s="13">
        <f>D6/B4*1000 + 20</f>
        <v>934.63414634146341</v>
      </c>
      <c r="F6" s="14">
        <v>961</v>
      </c>
      <c r="G6" s="15">
        <f t="shared" si="1"/>
        <v>2.8209812108559511</v>
      </c>
      <c r="M6" s="19">
        <f xml:space="preserve"> 1306 + 273</f>
        <v>1579</v>
      </c>
      <c r="N6" s="16">
        <v>1610</v>
      </c>
      <c r="O6" s="16">
        <f t="shared" si="2"/>
        <v>45.08</v>
      </c>
      <c r="P6" s="24">
        <v>1.119</v>
      </c>
      <c r="Q6" s="25">
        <f t="shared" si="3"/>
        <v>2.2380000000000001E-2</v>
      </c>
      <c r="R6" s="37">
        <v>0.57999999999999996</v>
      </c>
      <c r="S6" s="5">
        <f t="shared" si="4"/>
        <v>1.1599999999999999E-2</v>
      </c>
      <c r="T6" s="26">
        <f t="shared" ref="T6:T10" si="8">R6 * P6</f>
        <v>0.64901999999999993</v>
      </c>
      <c r="U6" s="27">
        <f t="shared" si="5"/>
        <v>1.8357057725027721E-2</v>
      </c>
      <c r="W6" s="33">
        <f t="shared" si="6"/>
        <v>7.383989457978509</v>
      </c>
      <c r="X6" s="5">
        <f t="shared" ref="X6:X10" si="9" xml:space="preserve"> O6 / N6</f>
        <v>2.8000000000000001E-2</v>
      </c>
      <c r="Y6" s="26">
        <f t="shared" si="0"/>
        <v>-0.43229174611188398</v>
      </c>
      <c r="Z6" s="35">
        <f t="shared" si="7"/>
        <v>2.8284271247461901E-2</v>
      </c>
    </row>
    <row r="7" spans="1:26" x14ac:dyDescent="0.2">
      <c r="D7" s="1"/>
      <c r="E7" s="1"/>
      <c r="F7" s="2"/>
      <c r="G7" s="1"/>
      <c r="M7" s="19">
        <f xml:space="preserve"> 1410 +273</f>
        <v>1683</v>
      </c>
      <c r="N7" s="16">
        <v>1750</v>
      </c>
      <c r="O7" s="16">
        <f t="shared" si="2"/>
        <v>49</v>
      </c>
      <c r="P7" s="24">
        <v>1.212</v>
      </c>
      <c r="Q7" s="25">
        <f t="shared" si="3"/>
        <v>2.4240000000000001E-2</v>
      </c>
      <c r="R7" s="37">
        <v>0.67</v>
      </c>
      <c r="S7" s="5">
        <f t="shared" si="4"/>
        <v>1.34E-2</v>
      </c>
      <c r="T7" s="26">
        <f t="shared" si="8"/>
        <v>0.81203999999999998</v>
      </c>
      <c r="U7" s="27">
        <f t="shared" si="5"/>
        <v>2.2967959623788965E-2</v>
      </c>
      <c r="W7" s="33">
        <f t="shared" si="6"/>
        <v>7.4673710669175595</v>
      </c>
      <c r="X7" s="5">
        <f t="shared" si="9"/>
        <v>2.8000000000000001E-2</v>
      </c>
      <c r="Y7" s="26">
        <f t="shared" si="0"/>
        <v>-0.20820567895000261</v>
      </c>
      <c r="Z7" s="35">
        <f t="shared" si="7"/>
        <v>2.8284271247461905E-2</v>
      </c>
    </row>
    <row r="8" spans="1:26" x14ac:dyDescent="0.2">
      <c r="A8" s="39" t="s">
        <v>23</v>
      </c>
      <c r="B8" s="39">
        <v>868</v>
      </c>
      <c r="M8" s="19">
        <f xml:space="preserve"> 1513 + 273</f>
        <v>1786</v>
      </c>
      <c r="N8" s="16">
        <v>1850</v>
      </c>
      <c r="O8" s="16">
        <f t="shared" si="2"/>
        <v>51.800000000000004</v>
      </c>
      <c r="P8" s="24">
        <v>1.337</v>
      </c>
      <c r="Q8" s="25">
        <f t="shared" si="3"/>
        <v>2.674E-2</v>
      </c>
      <c r="R8" s="37">
        <v>0.82</v>
      </c>
      <c r="S8" s="5">
        <f t="shared" si="4"/>
        <v>1.6399999999999998E-2</v>
      </c>
      <c r="T8" s="26">
        <f t="shared" si="8"/>
        <v>1.0963399999999999</v>
      </c>
      <c r="U8" s="27">
        <f t="shared" si="5"/>
        <v>3.100917793944238E-2</v>
      </c>
      <c r="W8" s="33">
        <f t="shared" si="6"/>
        <v>7.5229409180723703</v>
      </c>
      <c r="X8" s="5">
        <f t="shared" si="9"/>
        <v>2.8000000000000001E-2</v>
      </c>
      <c r="Y8" s="26">
        <f t="shared" si="0"/>
        <v>9.1977359395967753E-2</v>
      </c>
      <c r="Z8" s="35">
        <f t="shared" si="7"/>
        <v>2.8284271247461905E-2</v>
      </c>
    </row>
    <row r="9" spans="1:26" x14ac:dyDescent="0.2">
      <c r="B9" s="39"/>
      <c r="D9" s="1"/>
      <c r="F9" s="2"/>
      <c r="M9" s="19">
        <f xml:space="preserve"> 1612 + 273</f>
        <v>1885</v>
      </c>
      <c r="N9" s="16">
        <v>1940</v>
      </c>
      <c r="O9" s="16">
        <f t="shared" si="2"/>
        <v>54.32</v>
      </c>
      <c r="P9" s="24">
        <v>1.41</v>
      </c>
      <c r="Q9" s="25">
        <f t="shared" si="3"/>
        <v>2.8199999999999999E-2</v>
      </c>
      <c r="R9" s="37">
        <v>0.91</v>
      </c>
      <c r="S9" s="5">
        <f t="shared" si="4"/>
        <v>1.8200000000000001E-2</v>
      </c>
      <c r="T9" s="26">
        <f t="shared" si="8"/>
        <v>1.2830999999999999</v>
      </c>
      <c r="U9" s="27">
        <f t="shared" si="5"/>
        <v>3.6291548437618365E-2</v>
      </c>
      <c r="W9" s="33">
        <f t="shared" si="6"/>
        <v>7.5704432520573741</v>
      </c>
      <c r="X9" s="5">
        <f t="shared" si="9"/>
        <v>2.8000000000000001E-2</v>
      </c>
      <c r="Y9" s="26">
        <f t="shared" si="0"/>
        <v>0.24927902491883552</v>
      </c>
      <c r="Z9" s="35">
        <f t="shared" si="7"/>
        <v>2.8284271247461901E-2</v>
      </c>
    </row>
    <row r="10" spans="1:26" ht="17" thickBot="1" x14ac:dyDescent="0.25">
      <c r="M10" s="21">
        <f xml:space="preserve"> 1718 + 273</f>
        <v>1991</v>
      </c>
      <c r="N10" s="28">
        <v>2080</v>
      </c>
      <c r="O10" s="28">
        <f t="shared" si="2"/>
        <v>58.24</v>
      </c>
      <c r="P10" s="29">
        <v>1.5149999999999999</v>
      </c>
      <c r="Q10" s="30">
        <f t="shared" si="3"/>
        <v>3.0299999999999997E-2</v>
      </c>
      <c r="R10" s="38">
        <v>1.02</v>
      </c>
      <c r="S10" s="22">
        <f t="shared" si="4"/>
        <v>2.0400000000000001E-2</v>
      </c>
      <c r="T10" s="32">
        <f t="shared" si="8"/>
        <v>1.5452999999999999</v>
      </c>
      <c r="U10" s="31">
        <f t="shared" si="5"/>
        <v>4.370768435870287E-2</v>
      </c>
      <c r="W10" s="34">
        <f t="shared" si="6"/>
        <v>7.6401231726953638</v>
      </c>
      <c r="X10" s="22">
        <f t="shared" si="9"/>
        <v>2.8000000000000001E-2</v>
      </c>
      <c r="Y10" s="32">
        <f t="shared" si="0"/>
        <v>0.43521806625751214</v>
      </c>
      <c r="Z10" s="36">
        <f t="shared" si="7"/>
        <v>2.8284271247461898E-2</v>
      </c>
    </row>
    <row r="12" spans="1:26" x14ac:dyDescent="0.2">
      <c r="H12" s="3"/>
    </row>
    <row r="23" spans="4:9" x14ac:dyDescent="0.2">
      <c r="D23" s="1"/>
      <c r="E23" s="1"/>
      <c r="F23" s="1"/>
      <c r="G23" s="1"/>
      <c r="H23" s="1"/>
      <c r="I23" s="1"/>
    </row>
    <row r="24" spans="4:9" x14ac:dyDescent="0.2">
      <c r="D24" s="1"/>
      <c r="E24" s="1"/>
      <c r="F24" s="1"/>
      <c r="G24" s="1"/>
      <c r="H24" s="1"/>
      <c r="I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2022-09-15T06:27:55Z</dcterms:created>
  <dcterms:modified xsi:type="dcterms:W3CDTF">2022-09-21T22:31:04Z</dcterms:modified>
</cp:coreProperties>
</file>