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ros/projects/ACCERT/tutorial/"/>
    </mc:Choice>
  </mc:AlternateContent>
  <xr:revisionPtr revIDLastSave="0" documentId="13_ncr:1_{899BA579-808B-C442-A532-95B88C6F5CD6}" xr6:coauthVersionLast="47" xr6:coauthVersionMax="47" xr10:uidLastSave="{00000000-0000-0000-0000-000000000000}"/>
  <bookViews>
    <workbookView xWindow="1380" yWindow="500" windowWidth="27420" windowHeight="17500" xr2:uid="{00000000-000D-0000-FFFF-FFFF00000000}"/>
  </bookViews>
  <sheets>
    <sheet name="Microreactors" sheetId="3" r:id="rId1"/>
  </sheets>
  <externalReferences>
    <externalReference r:id="rId2"/>
  </externalReferences>
  <definedNames>
    <definedName name="DesignOptions">'[1]1. Design Attributes'!$B$1:$D$1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D7" i="3" s="1"/>
  <c r="M26" i="3"/>
  <c r="M3" i="3"/>
  <c r="M7" i="3"/>
  <c r="M22" i="3"/>
  <c r="M19" i="3"/>
  <c r="M15" i="3"/>
  <c r="D11" i="3" s="1"/>
  <c r="M5" i="3"/>
  <c r="M4" i="3"/>
  <c r="D4" i="3" s="1"/>
  <c r="M13" i="3"/>
  <c r="M29" i="3"/>
  <c r="D23" i="3"/>
  <c r="M32" i="3"/>
  <c r="Q58" i="3"/>
  <c r="Q56" i="3"/>
  <c r="Q52" i="3"/>
  <c r="Q8" i="3"/>
  <c r="M10" i="3" s="1"/>
  <c r="Q4" i="3"/>
  <c r="M9" i="3" s="1"/>
  <c r="M6" i="3"/>
  <c r="M21" i="3"/>
  <c r="D17" i="3" s="1"/>
  <c r="M20" i="3"/>
  <c r="M14" i="3"/>
  <c r="D8" i="3" l="1"/>
  <c r="Q54" i="3"/>
  <c r="Q55" i="3" s="1"/>
  <c r="Q57" i="3" s="1"/>
  <c r="M28" i="3"/>
  <c r="H17" i="3" l="1"/>
  <c r="D6" i="3"/>
  <c r="H6" i="3" s="1"/>
  <c r="M35" i="3"/>
  <c r="D29" i="3" s="1"/>
  <c r="H29" i="3" s="1"/>
  <c r="M34" i="3"/>
  <c r="D28" i="3" s="1"/>
  <c r="H28" i="3" s="1"/>
  <c r="D26" i="3"/>
  <c r="H26" i="3" s="1"/>
  <c r="M31" i="3"/>
  <c r="D25" i="3" s="1"/>
  <c r="H25" i="3" s="1"/>
  <c r="M30" i="3"/>
  <c r="D24" i="3" s="1"/>
  <c r="H24" i="3" s="1"/>
  <c r="H23" i="3"/>
  <c r="D22" i="3"/>
  <c r="H22" i="3" s="1"/>
  <c r="M27" i="3"/>
  <c r="D21" i="3" s="1"/>
  <c r="H21" i="3" s="1"/>
  <c r="D20" i="3"/>
  <c r="H20" i="3" s="1"/>
  <c r="M25" i="3"/>
  <c r="D19" i="3" s="1"/>
  <c r="H19" i="3" s="1"/>
  <c r="M24" i="3"/>
  <c r="M23" i="3"/>
  <c r="D16" i="3"/>
  <c r="H16" i="3" s="1"/>
  <c r="D15" i="3"/>
  <c r="H15" i="3" s="1"/>
  <c r="M18" i="3"/>
  <c r="D14" i="3" s="1"/>
  <c r="H14" i="3" s="1"/>
  <c r="D18" i="3" l="1"/>
  <c r="H18" i="3" s="1"/>
  <c r="M33" i="3"/>
  <c r="D27" i="3" s="1"/>
  <c r="H27" i="3" s="1"/>
  <c r="M17" i="3"/>
  <c r="D13" i="3" s="1"/>
  <c r="H13" i="3" s="1"/>
  <c r="M16" i="3"/>
  <c r="D12" i="3" s="1"/>
  <c r="H12" i="3" s="1"/>
  <c r="H11" i="3"/>
  <c r="D10" i="3"/>
  <c r="H10" i="3" s="1"/>
  <c r="M12" i="3" l="1"/>
  <c r="M11" i="3"/>
  <c r="H7" i="3"/>
  <c r="D5" i="3"/>
  <c r="H5" i="3" s="1"/>
  <c r="H4" i="3"/>
  <c r="D3" i="3"/>
  <c r="D9" i="3" l="1"/>
  <c r="H8" i="3"/>
  <c r="H3" i="3"/>
  <c r="H9" i="3" l="1"/>
  <c r="D34" i="3"/>
  <c r="D35" i="3" s="1"/>
</calcChain>
</file>

<file path=xl/sharedStrings.xml><?xml version="1.0" encoding="utf-8"?>
<sst xmlns="http://schemas.openxmlformats.org/spreadsheetml/2006/main" count="446" uniqueCount="177">
  <si>
    <t>heat-pipe_microreactor_account</t>
  </si>
  <si>
    <t>heat-pipe_microreactor_cost_element</t>
  </si>
  <si>
    <t>ind</t>
  </si>
  <si>
    <t>code_of_account</t>
  </si>
  <si>
    <t>account_description</t>
  </si>
  <si>
    <t>total_cost</t>
  </si>
  <si>
    <t>unit</t>
  </si>
  <si>
    <t>level</t>
  </si>
  <si>
    <t>cost_elements</t>
  </si>
  <si>
    <t xml:space="preserve"> (million dollar</t>
  </si>
  <si>
    <t>cost_element</t>
  </si>
  <si>
    <t>cost_2017</t>
  </si>
  <si>
    <t>var_description</t>
  </si>
  <si>
    <t>var_value</t>
  </si>
  <si>
    <t>var_unit</t>
  </si>
  <si>
    <t>Land_and_land_rights</t>
  </si>
  <si>
    <t>dollar</t>
  </si>
  <si>
    <t>11_mat</t>
  </si>
  <si>
    <t>million</t>
  </si>
  <si>
    <t>land_surface_area</t>
  </si>
  <si>
    <t>m^2</t>
  </si>
  <si>
    <t>Site_permits</t>
  </si>
  <si>
    <t>12_lab</t>
  </si>
  <si>
    <t>containment__subVolume</t>
  </si>
  <si>
    <t>m^3</t>
  </si>
  <si>
    <t>Plant_licensing</t>
  </si>
  <si>
    <t>13_lab</t>
  </si>
  <si>
    <t>containment_ISO_width</t>
  </si>
  <si>
    <t>m</t>
  </si>
  <si>
    <t>14,15,16</t>
  </si>
  <si>
    <t>Plant_Permits_and_studies</t>
  </si>
  <si>
    <t>(14,15,16)_lab</t>
  </si>
  <si>
    <t>containment_ISO_length</t>
  </si>
  <si>
    <t>Yardwork</t>
  </si>
  <si>
    <t>211_lab</t>
  </si>
  <si>
    <t>18_lab</t>
  </si>
  <si>
    <t>containment_Sub_height</t>
  </si>
  <si>
    <t>Reactor_containment</t>
  </si>
  <si>
    <t>212_mat, 212_lab</t>
  </si>
  <si>
    <t>Containment_hole_volume</t>
  </si>
  <si>
    <t>Building_and_utilities</t>
  </si>
  <si>
    <t>213_mat, 213_lab</t>
  </si>
  <si>
    <t>212_mat</t>
  </si>
  <si>
    <t>Concrete_thickness</t>
  </si>
  <si>
    <t>218T</t>
  </si>
  <si>
    <t>_Reactor_startup_facility</t>
  </si>
  <si>
    <t>218T_fac</t>
  </si>
  <si>
    <t>212_lab</t>
  </si>
  <si>
    <t>Turbine_building_surface_area</t>
  </si>
  <si>
    <t>Outer_vessel</t>
  </si>
  <si>
    <t>221.12_mat, 221.12_lab</t>
  </si>
  <si>
    <t>213_mat</t>
  </si>
  <si>
    <t>Distance_to_utilities</t>
  </si>
  <si>
    <t>Inner_vessel</t>
  </si>
  <si>
    <t>221.13_mat</t>
  </si>
  <si>
    <t>213_lab</t>
  </si>
  <si>
    <t>Number_of_shipping_containers</t>
  </si>
  <si>
    <t>containers</t>
  </si>
  <si>
    <t>Reactivity_control_system</t>
  </si>
  <si>
    <t>221.21_mat</t>
  </si>
  <si>
    <t>Battery_capacity_required</t>
  </si>
  <si>
    <t>kWth</t>
  </si>
  <si>
    <t>Reflector</t>
  </si>
  <si>
    <t>221.22_mat</t>
  </si>
  <si>
    <t>221.12_mat</t>
  </si>
  <si>
    <t>primary_outer_vessel_SS_mass</t>
  </si>
  <si>
    <t>tons</t>
  </si>
  <si>
    <t>Shield</t>
  </si>
  <si>
    <t>221.23_mat</t>
  </si>
  <si>
    <t>221.12_lab</t>
  </si>
  <si>
    <t>primary_inner_vessel_SS_mass</t>
  </si>
  <si>
    <t>Moderator</t>
  </si>
  <si>
    <t>221.24_mat</t>
  </si>
  <si>
    <t>B4C_total_neutron_poison_mass_(Kg)</t>
  </si>
  <si>
    <t>Kg</t>
  </si>
  <si>
    <t>Reactor_coolant_system_(heat_pipes)</t>
  </si>
  <si>
    <t>222.12_mat</t>
  </si>
  <si>
    <t>Number_of_control_rod_drums</t>
  </si>
  <si>
    <t>drums</t>
  </si>
  <si>
    <t>Heat_exchangers</t>
  </si>
  <si>
    <t>222.13_mat, 222.13_lab</t>
  </si>
  <si>
    <t>number_of_emergency_control_rods</t>
  </si>
  <si>
    <t>rods</t>
  </si>
  <si>
    <t>Instrumentation_&amp;_control</t>
  </si>
  <si>
    <t>227_fac</t>
  </si>
  <si>
    <t>stainless_steel_316_reflector_mass</t>
  </si>
  <si>
    <t>23, 24, 25</t>
  </si>
  <si>
    <t>Turbine_and_electric_systems</t>
  </si>
  <si>
    <t>(23, 24, 25)_fac</t>
  </si>
  <si>
    <t>Al2O3_reflector_mass</t>
  </si>
  <si>
    <t>31,35,36,37,38</t>
  </si>
  <si>
    <t>Field_&amp;_factory_indirect_support_</t>
  </si>
  <si>
    <t>(31,35,36,37,38)_lab</t>
  </si>
  <si>
    <t>BeO_reflector_mass</t>
  </si>
  <si>
    <t>Factory_&amp;_construction_supervision</t>
  </si>
  <si>
    <t>32_lab</t>
  </si>
  <si>
    <t>222.13_mat</t>
  </si>
  <si>
    <t>shield_B4C_mass</t>
  </si>
  <si>
    <t>33, 34</t>
  </si>
  <si>
    <t>Commissioning, startup, and_demo_testing</t>
  </si>
  <si>
    <t>(33, 34)_lab</t>
  </si>
  <si>
    <t>222.13_lab</t>
  </si>
  <si>
    <t>moderator_ZrH_mass</t>
  </si>
  <si>
    <t>41,42,43</t>
  </si>
  <si>
    <t>Operating_staff_recruitment, training,etc</t>
  </si>
  <si>
    <t>(41,42,43)_lab</t>
  </si>
  <si>
    <t>222.13_fac</t>
  </si>
  <si>
    <t>number_of_core_cooling_heat_pipes</t>
  </si>
  <si>
    <t>pipes</t>
  </si>
  <si>
    <t>Reactor_module_shipping_&amp;_transportation</t>
  </si>
  <si>
    <t>511_lab</t>
  </si>
  <si>
    <t>mass_production_cost_reduction_factor</t>
  </si>
  <si>
    <t>%</t>
  </si>
  <si>
    <t>Fuel_shipping_</t>
  </si>
  <si>
    <t>512_lab</t>
  </si>
  <si>
    <t>number_of_heat_exchangers</t>
  </si>
  <si>
    <t>heat_exchangers</t>
  </si>
  <si>
    <t>Initial_fuel_load</t>
  </si>
  <si>
    <t>55_mat</t>
  </si>
  <si>
    <t>heat_exchangers_mass</t>
  </si>
  <si>
    <t>Decommissioning_costs</t>
  </si>
  <si>
    <t>58_lab</t>
  </si>
  <si>
    <t>number_of_IO_sensors</t>
  </si>
  <si>
    <t>sensors</t>
  </si>
  <si>
    <t>70s</t>
  </si>
  <si>
    <t>O&amp;M cost for the whole plant lifetime</t>
  </si>
  <si>
    <t>70s_lab</t>
  </si>
  <si>
    <t>reactor_thermal_power</t>
  </si>
  <si>
    <t>MWt</t>
  </si>
  <si>
    <t>reactor_electric_power</t>
  </si>
  <si>
    <t>Mwe</t>
  </si>
  <si>
    <t>number_of_factory_plant_managers</t>
  </si>
  <si>
    <t>heads</t>
  </si>
  <si>
    <t>number_of_factory_plant_assistant_managers</t>
  </si>
  <si>
    <t>number_of_factory_enviromental_control_people</t>
  </si>
  <si>
    <t>number_of_factory_QA_people</t>
  </si>
  <si>
    <t>number_of_factory_engineers</t>
  </si>
  <si>
    <t>Construction_period</t>
  </si>
  <si>
    <t>Years</t>
  </si>
  <si>
    <t>total_construction_labor_hours</t>
  </si>
  <si>
    <t>hours</t>
  </si>
  <si>
    <t>number_of_commissioning_plant_managers</t>
  </si>
  <si>
    <t>number_of_commissioning_plant_assistant_managers</t>
  </si>
  <si>
    <t>number_of_comission_enviromental_control_people</t>
  </si>
  <si>
    <t>number_of_commission_QA_people</t>
  </si>
  <si>
    <t>days</t>
  </si>
  <si>
    <t>number_of_commission_engineers</t>
  </si>
  <si>
    <t>Comissionning_duration</t>
  </si>
  <si>
    <t>staff_training_manager_</t>
  </si>
  <si>
    <t>staff_training_QA_people</t>
  </si>
  <si>
    <t>shift_operation_people</t>
  </si>
  <si>
    <t>staff_training_duration</t>
  </si>
  <si>
    <t>years</t>
  </si>
  <si>
    <t>number_of_remote_operating_staff</t>
  </si>
  <si>
    <t>No._of_training_staff</t>
  </si>
  <si>
    <t>reactor_shipping_distance</t>
  </si>
  <si>
    <t>miles</t>
  </si>
  <si>
    <t>uranium_dioxide_mass</t>
  </si>
  <si>
    <t>uranium_only_mass_(not_the_UO2_mass)</t>
  </si>
  <si>
    <t>Enrichment_(w%)</t>
  </si>
  <si>
    <t>natural_Uranium_Consumption</t>
  </si>
  <si>
    <t>tail_waste</t>
  </si>
  <si>
    <t>enrichment_value_fuction</t>
  </si>
  <si>
    <t>(unitless)</t>
  </si>
  <si>
    <t>enrichment_seperative_work_unit</t>
  </si>
  <si>
    <t>A_factor_that_changes_based_on_the_enrichmane_value_and_is_used_later_to_calculate_the_fuel_fabrication_costs</t>
  </si>
  <si>
    <t>interest_rate_during_construction</t>
  </si>
  <si>
    <t>refueling_period</t>
  </si>
  <si>
    <t>plant_lifetime</t>
  </si>
  <si>
    <t>operation_maintenance_headcount_managers</t>
  </si>
  <si>
    <t>operation_maintenance_headcount_QA</t>
  </si>
  <si>
    <t>operation_maintenance_headcount_shift_operators</t>
  </si>
  <si>
    <t>operation_maintenance_headcount_remote_operators</t>
  </si>
  <si>
    <t>operation_maintenance_headcount_security</t>
  </si>
  <si>
    <t>11</t>
  </si>
  <si>
    <t>Original variables</t>
  </si>
  <si>
    <t>var_value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</si>
</sst>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14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6" fillId="0" borderId="0" xfId="0" applyFont="1"/>
    <xf numFmtId="10" fontId="14" fillId="0" borderId="0" xfId="0" applyNumberFormat="1" applyFont="1"/>
    <xf numFmtId="1" fontId="16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left"/>
    </xf>
    <xf numFmtId="0" fontId="18" fillId="0" borderId="0" xfId="0" applyFont="1"/>
    <xf numFmtId="1" fontId="20" fillId="0" borderId="0" xfId="0" applyNumberFormat="1" applyFont="1"/>
    <xf numFmtId="49" fontId="20" fillId="0" borderId="0" xfId="0" applyNumberFormat="1" applyFont="1" applyAlignment="1">
      <alignment horizontal="left"/>
    </xf>
    <xf numFmtId="49" fontId="20" fillId="0" borderId="0" xfId="0" applyNumberFormat="1" applyFont="1"/>
    <xf numFmtId="49" fontId="18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33" borderId="0" xfId="0" applyNumberFormat="1" applyFill="1"/>
    <xf numFmtId="2" fontId="14" fillId="0" borderId="0" xfId="0" applyNumberFormat="1" applyFont="1"/>
    <xf numFmtId="0" fontId="21" fillId="0" borderId="0" xfId="0" applyFont="1"/>
    <xf numFmtId="49" fontId="19" fillId="0" borderId="0" xfId="0" applyNumberFormat="1" applyFont="1" applyAlignment="1">
      <alignment horizontal="left"/>
    </xf>
    <xf numFmtId="164" fontId="16" fillId="0" borderId="0" xfId="0" applyNumberFormat="1" applyFont="1"/>
    <xf numFmtId="0" fontId="19" fillId="0" borderId="0" xfId="0" applyFont="1"/>
    <xf numFmtId="0" fontId="14" fillId="0" borderId="0" xfId="0" applyFont="1" applyAlignment="1">
      <alignment horizontal="left"/>
    </xf>
    <xf numFmtId="49" fontId="20" fillId="33" borderId="0" xfId="0" applyNumberFormat="1" applyFont="1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left"/>
    </xf>
    <xf numFmtId="49" fontId="0" fillId="34" borderId="0" xfId="0" applyNumberFormat="1" applyFill="1" applyAlignment="1">
      <alignment horizontal="left"/>
    </xf>
    <xf numFmtId="1" fontId="0" fillId="34" borderId="0" xfId="0" applyNumberFormat="1" applyFill="1" applyAlignment="1">
      <alignment horizontal="left"/>
    </xf>
    <xf numFmtId="164" fontId="0" fillId="34" borderId="0" xfId="0" applyNumberFormat="1" applyFill="1"/>
    <xf numFmtId="0" fontId="14" fillId="34" borderId="0" xfId="0" applyFont="1" applyFill="1"/>
    <xf numFmtId="0" fontId="0" fillId="33" borderId="0" xfId="0" applyFill="1" applyAlignment="1">
      <alignment horizontal="left"/>
    </xf>
    <xf numFmtId="49" fontId="0" fillId="33" borderId="0" xfId="0" applyNumberFormat="1" applyFill="1" applyAlignment="1">
      <alignment horizontal="left"/>
    </xf>
    <xf numFmtId="1" fontId="0" fillId="33" borderId="0" xfId="0" applyNumberFormat="1" applyFill="1" applyAlignment="1">
      <alignment horizontal="left"/>
    </xf>
    <xf numFmtId="0" fontId="0" fillId="33" borderId="0" xfId="0" applyFill="1"/>
    <xf numFmtId="0" fontId="16" fillId="33" borderId="0" xfId="0" applyFont="1" applyFill="1" applyAlignment="1">
      <alignment horizontal="left"/>
    </xf>
    <xf numFmtId="0" fontId="22" fillId="0" borderId="0" xfId="0" applyFont="1"/>
    <xf numFmtId="1" fontId="19" fillId="35" borderId="0" xfId="0" applyNumberFormat="1" applyFont="1" applyFill="1" applyAlignment="1">
      <alignment horizontal="left"/>
    </xf>
    <xf numFmtId="49" fontId="19" fillId="35" borderId="0" xfId="0" applyNumberFormat="1" applyFont="1" applyFill="1" applyAlignment="1">
      <alignment horizontal="left"/>
    </xf>
    <xf numFmtId="2" fontId="22" fillId="35" borderId="0" xfId="0" applyNumberFormat="1" applyFont="1" applyFill="1"/>
    <xf numFmtId="0" fontId="22" fillId="35" borderId="0" xfId="0" applyFont="1" applyFill="1"/>
    <xf numFmtId="0" fontId="16" fillId="35" borderId="0" xfId="0" applyFont="1" applyFill="1"/>
    <xf numFmtId="11" fontId="16" fillId="35" borderId="0" xfId="0" applyNumberFormat="1" applyFont="1" applyFill="1"/>
    <xf numFmtId="3" fontId="20" fillId="0" borderId="0" xfId="0" applyNumberFormat="1" applyFont="1" applyAlignment="1">
      <alignment horizontal="left"/>
    </xf>
    <xf numFmtId="3" fontId="19" fillId="35" borderId="0" xfId="0" applyNumberFormat="1" applyFont="1" applyFill="1" applyAlignment="1">
      <alignment horizontal="left"/>
    </xf>
    <xf numFmtId="3" fontId="23" fillId="35" borderId="0" xfId="0" applyNumberFormat="1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3" xr:uid="{6BADE126-5F45-D144-A493-65C75CD642D3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E569D80-87CF-D249-A449-F2CC77E251B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l.sharepoint.com/sites/GRP-MicroreactorCostModeling/Shared%20Documents/General/SA&amp;I%20FY22/Economic%20Framework%20Modeling%20Tool%20-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versal Cost Est. Dashboard"/>
      <sheetName val="Universal Cost Est. Database"/>
      <sheetName val="Fuel Cost Database"/>
      <sheetName val="Change tracking"/>
      <sheetName val="Methodology Table"/>
      <sheetName val="1. Design Attributes"/>
      <sheetName val="2. Cost Factor Database"/>
      <sheetName val="3. Multiples"/>
      <sheetName val="2A. Batteries"/>
      <sheetName val="2B. Rods Drums"/>
      <sheetName val="2C. Turbine"/>
      <sheetName val="2D. O&amp;M"/>
      <sheetName val="3. MARVEL Summary Cost Table"/>
      <sheetName val="3. Design A Summary Cost Table"/>
      <sheetName val="3a. Design A Summary Cost Table"/>
      <sheetName val="Cost Drivers"/>
      <sheetName val="4. Summary Cost Figures"/>
      <sheetName val="5. Cash Flow"/>
      <sheetName val="Gen IV Intl Forum Cost Codes"/>
      <sheetName val="ARPA-E 2018 Reference Costs"/>
      <sheetName val="Design A and A Mod"/>
      <sheetName val="Matching Codes to Attributes"/>
      <sheetName val="Relevant Codes for Micro"/>
      <sheetName val="ACCERT 2019 - Dollar Sorted"/>
      <sheetName val="ACCERT 2019 - Code Sorted"/>
      <sheetName val="Learning Curve Examples"/>
      <sheetName val="Gen IV Intl Forum Code Note (2)"/>
      <sheetName val="Gen IV Intl Forum Code Notes"/>
      <sheetName val="Initial Modeling ---&gt;"/>
      <sheetName val="v3 NPV"/>
      <sheetName val="v3 CAPEX"/>
      <sheetName val="v3 Details"/>
      <sheetName val="v3 proposed addons"/>
      <sheetName val="proposed addons"/>
      <sheetName val="v3 predictive price model eq"/>
      <sheetName val="v2 Overall"/>
      <sheetName val="v2 Details"/>
      <sheetName val="v1 Overall"/>
      <sheetName val="v1 LCOE and Cost"/>
      <sheetName val="v1 ACCERT"/>
      <sheetName val="ARPA-E Reference Costs --&gt;"/>
      <sheetName val="User Inputs and Cost Calcs"/>
      <sheetName val="DOE Cost Report"/>
      <sheetName val="Other Reference Cost Sources"/>
      <sheetName val="LCOE Parameters and Inter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5C8C-9711-C341-8FD0-0ECD5FD115BE}">
  <dimension ref="A1:Y86"/>
  <sheetViews>
    <sheetView tabSelected="1" topLeftCell="H1" zoomScaleNormal="93" workbookViewId="0">
      <pane ySplit="2" topLeftCell="A3" activePane="bottomLeft" state="frozen"/>
      <selection pane="bottomLeft" activeCell="Q15" sqref="Q15"/>
    </sheetView>
  </sheetViews>
  <sheetFormatPr baseColWidth="10" defaultColWidth="11" defaultRowHeight="16" x14ac:dyDescent="0.2"/>
  <cols>
    <col min="1" max="1" width="6" style="7" customWidth="1"/>
    <col min="2" max="2" width="12.83203125" style="7" customWidth="1"/>
    <col min="3" max="3" width="41.6640625" style="7" customWidth="1"/>
    <col min="4" max="4" width="15.1640625" style="7" customWidth="1"/>
    <col min="5" max="5" width="6.6640625" style="7" customWidth="1"/>
    <col min="6" max="6" width="5.5" style="7" customWidth="1"/>
    <col min="7" max="7" width="22.1640625" style="7" customWidth="1"/>
    <col min="8" max="8" width="14" style="1" customWidth="1"/>
    <col min="9" max="9" width="20.33203125" customWidth="1"/>
    <col min="10" max="10" width="51.1640625" customWidth="1"/>
    <col min="11" max="11" width="9" customWidth="1"/>
    <col min="12" max="12" width="14.5" customWidth="1"/>
    <col min="13" max="13" width="14.6640625" style="2" customWidth="1"/>
    <col min="16" max="16" width="35.5" customWidth="1"/>
    <col min="17" max="17" width="20.1640625" customWidth="1"/>
    <col min="18" max="18" width="11.83203125" customWidth="1"/>
  </cols>
  <sheetData>
    <row r="1" spans="1:25" x14ac:dyDescent="0.2">
      <c r="A1" s="24" t="s">
        <v>0</v>
      </c>
      <c r="B1" s="24"/>
      <c r="C1" s="24"/>
      <c r="D1" s="24"/>
      <c r="E1" s="24"/>
      <c r="F1" s="24"/>
      <c r="G1" s="24"/>
      <c r="K1" t="s">
        <v>1</v>
      </c>
      <c r="W1" s="38" t="s">
        <v>175</v>
      </c>
      <c r="X1" s="38"/>
      <c r="Y1" s="38"/>
    </row>
    <row r="2" spans="1:25" x14ac:dyDescent="0.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25" t="s">
        <v>9</v>
      </c>
      <c r="K2" s="2" t="s">
        <v>2</v>
      </c>
      <c r="L2" t="s">
        <v>10</v>
      </c>
      <c r="M2" s="2" t="s">
        <v>11</v>
      </c>
      <c r="N2" t="s">
        <v>6</v>
      </c>
      <c r="P2" t="s">
        <v>12</v>
      </c>
      <c r="Q2" t="s">
        <v>176</v>
      </c>
      <c r="R2" t="s">
        <v>14</v>
      </c>
      <c r="W2" t="s">
        <v>12</v>
      </c>
      <c r="X2" t="s">
        <v>13</v>
      </c>
      <c r="Y2" t="s">
        <v>14</v>
      </c>
    </row>
    <row r="3" spans="1:25" x14ac:dyDescent="0.2">
      <c r="A3" s="9">
        <v>1</v>
      </c>
      <c r="B3" s="26" t="s">
        <v>174</v>
      </c>
      <c r="C3" s="12" t="s">
        <v>15</v>
      </c>
      <c r="D3" s="45">
        <f>M3</f>
        <v>125396.6498883492</v>
      </c>
      <c r="E3" s="12" t="s">
        <v>16</v>
      </c>
      <c r="F3" s="9">
        <v>1</v>
      </c>
      <c r="G3" s="12" t="s">
        <v>17</v>
      </c>
      <c r="H3" s="20">
        <f t="shared" ref="H3:H29" si="0">D3/1000000</f>
        <v>0.1253966498883492</v>
      </c>
      <c r="J3" s="27"/>
      <c r="K3" s="28">
        <v>1</v>
      </c>
      <c r="L3" s="29" t="s">
        <v>17</v>
      </c>
      <c r="M3" s="30">
        <f>3.13491624720873*Q3</f>
        <v>125396.6498883492</v>
      </c>
      <c r="N3" s="27" t="s">
        <v>18</v>
      </c>
      <c r="O3" s="27"/>
      <c r="P3" s="27" t="s">
        <v>19</v>
      </c>
      <c r="Q3" s="31">
        <v>40000</v>
      </c>
      <c r="R3" s="27" t="s">
        <v>20</v>
      </c>
      <c r="S3" s="27"/>
      <c r="W3" t="s">
        <v>19</v>
      </c>
      <c r="X3">
        <v>32000</v>
      </c>
      <c r="Y3" t="s">
        <v>20</v>
      </c>
    </row>
    <row r="4" spans="1:25" x14ac:dyDescent="0.2">
      <c r="A4" s="9">
        <v>2</v>
      </c>
      <c r="B4" s="26">
        <v>12</v>
      </c>
      <c r="C4" s="12" t="s">
        <v>21</v>
      </c>
      <c r="D4" s="45">
        <f>M4</f>
        <v>368813.67614220321</v>
      </c>
      <c r="E4" s="12" t="s">
        <v>16</v>
      </c>
      <c r="F4" s="9">
        <v>1</v>
      </c>
      <c r="G4" s="12" t="s">
        <v>22</v>
      </c>
      <c r="H4" s="20">
        <f t="shared" si="0"/>
        <v>0.36881367614220323</v>
      </c>
      <c r="J4" s="27"/>
      <c r="K4" s="28">
        <v>2</v>
      </c>
      <c r="L4" s="29" t="s">
        <v>22</v>
      </c>
      <c r="M4" s="30">
        <f>9.22034190355508*Q3</f>
        <v>368813.67614220321</v>
      </c>
      <c r="N4" s="27" t="s">
        <v>18</v>
      </c>
      <c r="O4" s="27"/>
      <c r="P4" s="27" t="s">
        <v>23</v>
      </c>
      <c r="Q4" s="31">
        <f>Q5*Q6*Q7</f>
        <v>94.793999999999983</v>
      </c>
      <c r="R4" s="27" t="s">
        <v>24</v>
      </c>
      <c r="S4" s="27"/>
      <c r="W4" t="s">
        <v>23</v>
      </c>
      <c r="X4">
        <v>76.783140000000003</v>
      </c>
      <c r="Y4" t="s">
        <v>24</v>
      </c>
    </row>
    <row r="5" spans="1:25" x14ac:dyDescent="0.2">
      <c r="A5" s="9">
        <v>3</v>
      </c>
      <c r="B5" s="26">
        <v>13</v>
      </c>
      <c r="C5" s="12" t="s">
        <v>25</v>
      </c>
      <c r="D5" s="45">
        <f t="shared" ref="D5:D6" si="1">M5</f>
        <v>885152.82274128788</v>
      </c>
      <c r="E5" s="12" t="s">
        <v>16</v>
      </c>
      <c r="F5" s="9">
        <v>1</v>
      </c>
      <c r="G5" s="12" t="s">
        <v>26</v>
      </c>
      <c r="H5" s="20">
        <f t="shared" si="0"/>
        <v>0.88515282274128793</v>
      </c>
      <c r="J5" s="27"/>
      <c r="K5" s="28">
        <v>3</v>
      </c>
      <c r="L5" s="29" t="s">
        <v>26</v>
      </c>
      <c r="M5" s="30">
        <f>22.1288205685322*Q3</f>
        <v>885152.82274128788</v>
      </c>
      <c r="N5" s="27" t="s">
        <v>18</v>
      </c>
      <c r="O5" s="27"/>
      <c r="P5" s="27" t="s">
        <v>27</v>
      </c>
      <c r="Q5" s="31">
        <v>3</v>
      </c>
      <c r="R5" s="27" t="s">
        <v>28</v>
      </c>
      <c r="S5" s="27"/>
      <c r="W5" t="s">
        <v>27</v>
      </c>
      <c r="X5">
        <v>2.4300000000000002</v>
      </c>
      <c r="Y5" t="s">
        <v>28</v>
      </c>
    </row>
    <row r="6" spans="1:25" s="1" customFormat="1" x14ac:dyDescent="0.2">
      <c r="A6" s="9">
        <v>4</v>
      </c>
      <c r="B6" s="26" t="s">
        <v>29</v>
      </c>
      <c r="C6" s="12" t="s">
        <v>30</v>
      </c>
      <c r="D6" s="45">
        <f t="shared" si="1"/>
        <v>416000</v>
      </c>
      <c r="E6" s="12" t="s">
        <v>16</v>
      </c>
      <c r="F6" s="9">
        <v>1</v>
      </c>
      <c r="G6" s="12" t="s">
        <v>31</v>
      </c>
      <c r="H6" s="20">
        <f t="shared" si="0"/>
        <v>0.41599999999999998</v>
      </c>
      <c r="J6" s="32"/>
      <c r="K6" s="28">
        <v>4</v>
      </c>
      <c r="L6" s="29" t="s">
        <v>31</v>
      </c>
      <c r="M6" s="30">
        <f>10.4*Q3</f>
        <v>416000</v>
      </c>
      <c r="N6" s="27" t="s">
        <v>18</v>
      </c>
      <c r="O6" s="27"/>
      <c r="P6" s="27" t="s">
        <v>32</v>
      </c>
      <c r="Q6" s="31">
        <v>12.2</v>
      </c>
      <c r="R6" s="27" t="s">
        <v>28</v>
      </c>
      <c r="S6" s="32"/>
      <c r="W6" s="1" t="s">
        <v>32</v>
      </c>
      <c r="X6" s="1">
        <v>12.2</v>
      </c>
      <c r="Y6" s="1" t="s">
        <v>28</v>
      </c>
    </row>
    <row r="7" spans="1:25" s="1" customFormat="1" x14ac:dyDescent="0.2">
      <c r="A7" s="39">
        <v>6</v>
      </c>
      <c r="B7" s="40">
        <v>211</v>
      </c>
      <c r="C7" s="40" t="s">
        <v>33</v>
      </c>
      <c r="D7" s="47">
        <f>M8</f>
        <v>3261788.1518016439</v>
      </c>
      <c r="E7" s="40" t="s">
        <v>16</v>
      </c>
      <c r="F7" s="39">
        <v>2</v>
      </c>
      <c r="G7" s="40" t="s">
        <v>34</v>
      </c>
      <c r="H7" s="41">
        <f t="shared" si="0"/>
        <v>3.2617881518016438</v>
      </c>
      <c r="I7" s="42"/>
      <c r="J7" s="32"/>
      <c r="K7" s="28">
        <v>5</v>
      </c>
      <c r="L7" s="29" t="s">
        <v>35</v>
      </c>
      <c r="M7" s="30">
        <f>0</f>
        <v>0</v>
      </c>
      <c r="N7" s="27" t="s">
        <v>18</v>
      </c>
      <c r="O7" s="27"/>
      <c r="P7" s="27" t="s">
        <v>36</v>
      </c>
      <c r="Q7" s="31">
        <v>2.59</v>
      </c>
      <c r="R7" s="27" t="s">
        <v>28</v>
      </c>
      <c r="S7" s="32"/>
      <c r="W7" s="1" t="s">
        <v>36</v>
      </c>
      <c r="X7" s="1">
        <v>2.59</v>
      </c>
      <c r="Y7" s="1" t="s">
        <v>28</v>
      </c>
    </row>
    <row r="8" spans="1:25" x14ac:dyDescent="0.2">
      <c r="A8" s="39">
        <v>7</v>
      </c>
      <c r="B8" s="40">
        <v>212</v>
      </c>
      <c r="C8" s="40" t="s">
        <v>37</v>
      </c>
      <c r="D8" s="47">
        <f>M9+M10</f>
        <v>452203.63479409605</v>
      </c>
      <c r="E8" s="40" t="s">
        <v>16</v>
      </c>
      <c r="F8" s="39">
        <v>2</v>
      </c>
      <c r="G8" s="40" t="s">
        <v>38</v>
      </c>
      <c r="H8" s="41">
        <f t="shared" si="0"/>
        <v>0.45220363479409603</v>
      </c>
      <c r="I8" s="43"/>
      <c r="J8" s="12" t="s">
        <v>33</v>
      </c>
      <c r="K8" s="33">
        <v>6</v>
      </c>
      <c r="L8" s="34" t="s">
        <v>34</v>
      </c>
      <c r="M8" s="35">
        <f>81.5447037950411*Q3</f>
        <v>3261788.1518016439</v>
      </c>
      <c r="N8" s="36" t="s">
        <v>18</v>
      </c>
      <c r="P8" t="s">
        <v>39</v>
      </c>
      <c r="Q8" s="17">
        <f>(2*Q9+Q5)*(2*Q9+Q6)*(2*Q9+Q7)-Q5*Q6*Q7</f>
        <v>480.36449999999991</v>
      </c>
      <c r="R8" t="s">
        <v>24</v>
      </c>
      <c r="W8" t="s">
        <v>39</v>
      </c>
      <c r="X8">
        <v>446.33721000000003</v>
      </c>
      <c r="Y8" t="s">
        <v>24</v>
      </c>
    </row>
    <row r="9" spans="1:25" x14ac:dyDescent="0.2">
      <c r="A9" s="39">
        <v>8</v>
      </c>
      <c r="B9" s="40">
        <v>213</v>
      </c>
      <c r="C9" s="40" t="s">
        <v>40</v>
      </c>
      <c r="D9" s="47">
        <f>M11+M12</f>
        <v>209796698.06141889</v>
      </c>
      <c r="E9" s="40" t="s">
        <v>16</v>
      </c>
      <c r="F9" s="39">
        <v>2</v>
      </c>
      <c r="G9" s="40" t="s">
        <v>41</v>
      </c>
      <c r="H9" s="41">
        <f t="shared" si="0"/>
        <v>209.79669806141888</v>
      </c>
      <c r="I9" s="43"/>
      <c r="J9" s="12" t="s">
        <v>37</v>
      </c>
      <c r="K9" s="33">
        <v>7</v>
      </c>
      <c r="L9" s="34" t="s">
        <v>42</v>
      </c>
      <c r="M9" s="35">
        <f>130.795037636272*Q4</f>
        <v>12398.584797692767</v>
      </c>
      <c r="N9" s="36" t="s">
        <v>18</v>
      </c>
      <c r="P9" t="s">
        <v>43</v>
      </c>
      <c r="Q9" s="17">
        <v>1.65</v>
      </c>
      <c r="R9" t="s">
        <v>28</v>
      </c>
      <c r="W9" t="s">
        <v>43</v>
      </c>
      <c r="X9">
        <v>1.65</v>
      </c>
      <c r="Y9" t="s">
        <v>28</v>
      </c>
    </row>
    <row r="10" spans="1:25" x14ac:dyDescent="0.2">
      <c r="A10" s="39">
        <v>9</v>
      </c>
      <c r="B10" s="40" t="s">
        <v>44</v>
      </c>
      <c r="C10" s="40" t="s">
        <v>45</v>
      </c>
      <c r="D10" s="47">
        <f>M13</f>
        <v>1141100</v>
      </c>
      <c r="E10" s="40" t="s">
        <v>16</v>
      </c>
      <c r="F10" s="39">
        <v>2</v>
      </c>
      <c r="G10" s="40" t="s">
        <v>46</v>
      </c>
      <c r="H10" s="41">
        <f t="shared" si="0"/>
        <v>1.1411</v>
      </c>
      <c r="I10" s="44"/>
      <c r="K10" s="33">
        <v>8</v>
      </c>
      <c r="L10" s="34" t="s">
        <v>47</v>
      </c>
      <c r="M10" s="35">
        <f>915.565263453905*Q8</f>
        <v>439805.04999640328</v>
      </c>
      <c r="N10" s="36" t="s">
        <v>18</v>
      </c>
      <c r="P10" t="s">
        <v>48</v>
      </c>
      <c r="Q10" s="17">
        <v>2000</v>
      </c>
      <c r="R10" t="s">
        <v>20</v>
      </c>
      <c r="W10" t="s">
        <v>48</v>
      </c>
      <c r="X10">
        <v>1000</v>
      </c>
      <c r="Y10" t="s">
        <v>20</v>
      </c>
    </row>
    <row r="11" spans="1:25" x14ac:dyDescent="0.2">
      <c r="A11" s="39">
        <v>10</v>
      </c>
      <c r="B11" s="40">
        <v>221.12</v>
      </c>
      <c r="C11" s="40" t="s">
        <v>49</v>
      </c>
      <c r="D11" s="46">
        <f>M15+M14</f>
        <v>324080</v>
      </c>
      <c r="E11" s="40" t="s">
        <v>16</v>
      </c>
      <c r="F11" s="39">
        <v>3</v>
      </c>
      <c r="G11" s="40" t="s">
        <v>50</v>
      </c>
      <c r="H11" s="41">
        <f t="shared" si="0"/>
        <v>0.32407999999999998</v>
      </c>
      <c r="I11" s="43"/>
      <c r="J11" s="12" t="s">
        <v>40</v>
      </c>
      <c r="K11" s="33">
        <v>9</v>
      </c>
      <c r="L11" s="34" t="s">
        <v>51</v>
      </c>
      <c r="M11" s="35">
        <f>6458.34903070945*Q10</f>
        <v>12916698.0614189</v>
      </c>
      <c r="N11" s="36" t="s">
        <v>18</v>
      </c>
      <c r="P11" t="s">
        <v>52</v>
      </c>
      <c r="Q11" s="17">
        <v>20000</v>
      </c>
      <c r="R11" t="s">
        <v>28</v>
      </c>
      <c r="W11" t="s">
        <v>52</v>
      </c>
      <c r="X11">
        <v>1000</v>
      </c>
      <c r="Y11" t="s">
        <v>28</v>
      </c>
    </row>
    <row r="12" spans="1:25" x14ac:dyDescent="0.2">
      <c r="A12" s="39">
        <v>11</v>
      </c>
      <c r="B12" s="40">
        <v>221.13</v>
      </c>
      <c r="C12" s="40" t="s">
        <v>53</v>
      </c>
      <c r="D12" s="46">
        <f t="shared" ref="D12:D16" si="2">M16</f>
        <v>155000</v>
      </c>
      <c r="E12" s="40" t="s">
        <v>16</v>
      </c>
      <c r="F12" s="39">
        <v>3</v>
      </c>
      <c r="G12" s="40" t="s">
        <v>54</v>
      </c>
      <c r="H12" s="41">
        <f t="shared" si="0"/>
        <v>0.155</v>
      </c>
      <c r="I12" s="43"/>
      <c r="K12" s="33">
        <v>10</v>
      </c>
      <c r="L12" s="34" t="s">
        <v>55</v>
      </c>
      <c r="M12" s="35">
        <f>9843*Q11+10000*Q12</f>
        <v>196880000</v>
      </c>
      <c r="N12" s="36" t="s">
        <v>18</v>
      </c>
      <c r="P12" t="s">
        <v>56</v>
      </c>
      <c r="Q12" s="17">
        <v>2</v>
      </c>
      <c r="R12" t="s">
        <v>57</v>
      </c>
      <c r="W12" t="s">
        <v>56</v>
      </c>
      <c r="X12">
        <v>0</v>
      </c>
      <c r="Y12" t="s">
        <v>57</v>
      </c>
    </row>
    <row r="13" spans="1:25" x14ac:dyDescent="0.2">
      <c r="A13" s="39">
        <v>12</v>
      </c>
      <c r="B13" s="40">
        <v>221.21</v>
      </c>
      <c r="C13" s="40" t="s">
        <v>58</v>
      </c>
      <c r="D13" s="46">
        <f t="shared" si="2"/>
        <v>12160000</v>
      </c>
      <c r="E13" s="40" t="s">
        <v>16</v>
      </c>
      <c r="F13" s="39">
        <v>3</v>
      </c>
      <c r="G13" s="40" t="s">
        <v>59</v>
      </c>
      <c r="H13" s="41">
        <f t="shared" si="0"/>
        <v>12.16</v>
      </c>
      <c r="I13" s="43"/>
      <c r="J13" s="12" t="s">
        <v>45</v>
      </c>
      <c r="K13" s="33">
        <v>11</v>
      </c>
      <c r="L13" s="34" t="s">
        <v>46</v>
      </c>
      <c r="M13" s="35">
        <f>7600*Q13+1100</f>
        <v>1141100</v>
      </c>
      <c r="N13" s="36" t="s">
        <v>18</v>
      </c>
      <c r="P13" t="s">
        <v>60</v>
      </c>
      <c r="Q13" s="17">
        <v>150</v>
      </c>
      <c r="R13" t="s">
        <v>61</v>
      </c>
      <c r="W13" t="s">
        <v>60</v>
      </c>
      <c r="X13">
        <v>135</v>
      </c>
      <c r="Y13" t="s">
        <v>61</v>
      </c>
    </row>
    <row r="14" spans="1:25" s="4" customFormat="1" x14ac:dyDescent="0.2">
      <c r="A14" s="39">
        <v>13</v>
      </c>
      <c r="B14" s="40">
        <v>221.22</v>
      </c>
      <c r="C14" s="40" t="s">
        <v>62</v>
      </c>
      <c r="D14" s="46">
        <f t="shared" si="2"/>
        <v>5720000</v>
      </c>
      <c r="E14" s="40" t="s">
        <v>16</v>
      </c>
      <c r="F14" s="39">
        <v>3</v>
      </c>
      <c r="G14" s="40" t="s">
        <v>63</v>
      </c>
      <c r="H14" s="41">
        <f t="shared" si="0"/>
        <v>5.72</v>
      </c>
      <c r="I14" s="43"/>
      <c r="J14" s="12" t="s">
        <v>49</v>
      </c>
      <c r="K14" s="37">
        <v>12</v>
      </c>
      <c r="L14" s="34" t="s">
        <v>64</v>
      </c>
      <c r="M14" s="35">
        <f>310000*Q14</f>
        <v>310000</v>
      </c>
      <c r="N14" s="36" t="s">
        <v>18</v>
      </c>
      <c r="O14"/>
      <c r="P14" s="4" t="s">
        <v>65</v>
      </c>
      <c r="Q14" s="23">
        <v>1</v>
      </c>
      <c r="R14" s="4" t="s">
        <v>66</v>
      </c>
      <c r="W14" s="4" t="s">
        <v>65</v>
      </c>
      <c r="X14" s="4">
        <v>0.32074102357930301</v>
      </c>
      <c r="Y14" s="4" t="s">
        <v>66</v>
      </c>
    </row>
    <row r="15" spans="1:25" x14ac:dyDescent="0.2">
      <c r="A15" s="39">
        <v>14</v>
      </c>
      <c r="B15" s="40">
        <v>221.23</v>
      </c>
      <c r="C15" s="40" t="s">
        <v>67</v>
      </c>
      <c r="D15" s="46">
        <f t="shared" si="2"/>
        <v>6649206.5458000004</v>
      </c>
      <c r="E15" s="40" t="s">
        <v>16</v>
      </c>
      <c r="F15" s="39">
        <v>3</v>
      </c>
      <c r="G15" s="40" t="s">
        <v>68</v>
      </c>
      <c r="H15" s="41">
        <f t="shared" si="0"/>
        <v>6.6492065458000003</v>
      </c>
      <c r="I15" s="43"/>
      <c r="K15" s="33">
        <v>13</v>
      </c>
      <c r="L15" s="34" t="s">
        <v>69</v>
      </c>
      <c r="M15" s="35">
        <f>14080*Q14</f>
        <v>14080</v>
      </c>
      <c r="N15" s="36" t="s">
        <v>18</v>
      </c>
      <c r="P15" t="s">
        <v>70</v>
      </c>
      <c r="Q15" s="17">
        <v>0.5</v>
      </c>
      <c r="R15" t="s">
        <v>66</v>
      </c>
      <c r="W15" t="s">
        <v>70</v>
      </c>
      <c r="X15">
        <v>1.02818899680995</v>
      </c>
      <c r="Y15" t="s">
        <v>66</v>
      </c>
    </row>
    <row r="16" spans="1:25" s="1" customFormat="1" x14ac:dyDescent="0.2">
      <c r="A16" s="39">
        <v>15</v>
      </c>
      <c r="B16" s="40">
        <v>221.24</v>
      </c>
      <c r="C16" s="40" t="s">
        <v>71</v>
      </c>
      <c r="D16" s="46">
        <f t="shared" si="2"/>
        <v>62000</v>
      </c>
      <c r="E16" s="40" t="s">
        <v>16</v>
      </c>
      <c r="F16" s="39">
        <v>3</v>
      </c>
      <c r="G16" s="40" t="s">
        <v>72</v>
      </c>
      <c r="H16" s="41">
        <f t="shared" si="0"/>
        <v>6.2E-2</v>
      </c>
      <c r="I16" s="42"/>
      <c r="J16" s="12" t="s">
        <v>53</v>
      </c>
      <c r="K16" s="33">
        <v>14</v>
      </c>
      <c r="L16" s="34" t="s">
        <v>54</v>
      </c>
      <c r="M16" s="35">
        <f>310000*Q15</f>
        <v>155000</v>
      </c>
      <c r="N16" s="36" t="s">
        <v>18</v>
      </c>
      <c r="O16"/>
      <c r="P16" t="s">
        <v>73</v>
      </c>
      <c r="Q16" s="17">
        <v>600</v>
      </c>
      <c r="R16" t="s">
        <v>74</v>
      </c>
      <c r="W16" s="1" t="s">
        <v>73</v>
      </c>
      <c r="X16" s="1">
        <v>529.89871606629742</v>
      </c>
      <c r="Y16" s="1" t="s">
        <v>74</v>
      </c>
    </row>
    <row r="17" spans="1:25" x14ac:dyDescent="0.2">
      <c r="A17" s="39">
        <v>16</v>
      </c>
      <c r="B17" s="40">
        <v>222.12</v>
      </c>
      <c r="C17" s="40" t="s">
        <v>75</v>
      </c>
      <c r="D17" s="46">
        <f>M21</f>
        <v>7500000</v>
      </c>
      <c r="E17" s="40" t="s">
        <v>16</v>
      </c>
      <c r="F17" s="39">
        <v>3</v>
      </c>
      <c r="G17" s="40" t="s">
        <v>76</v>
      </c>
      <c r="H17" s="41">
        <f t="shared" si="0"/>
        <v>7.5</v>
      </c>
      <c r="I17" s="43"/>
      <c r="J17" s="12" t="s">
        <v>58</v>
      </c>
      <c r="K17" s="33">
        <v>15</v>
      </c>
      <c r="L17" s="34" t="s">
        <v>59</v>
      </c>
      <c r="M17" s="35">
        <f>950*Q16+610000*(Q17+Q18)</f>
        <v>12160000</v>
      </c>
      <c r="N17" s="36" t="s">
        <v>18</v>
      </c>
      <c r="P17" t="s">
        <v>77</v>
      </c>
      <c r="Q17" s="17">
        <v>15</v>
      </c>
      <c r="R17" t="s">
        <v>78</v>
      </c>
      <c r="W17" t="s">
        <v>77</v>
      </c>
      <c r="X17">
        <v>12</v>
      </c>
      <c r="Y17" t="s">
        <v>78</v>
      </c>
    </row>
    <row r="18" spans="1:25" x14ac:dyDescent="0.2">
      <c r="A18" s="39">
        <v>17</v>
      </c>
      <c r="B18" s="40">
        <v>222.13</v>
      </c>
      <c r="C18" s="40" t="s">
        <v>79</v>
      </c>
      <c r="D18" s="46">
        <f>M22+M23+M24</f>
        <v>1304000</v>
      </c>
      <c r="E18" s="40" t="s">
        <v>16</v>
      </c>
      <c r="F18" s="39">
        <v>3</v>
      </c>
      <c r="G18" s="40" t="s">
        <v>80</v>
      </c>
      <c r="H18" s="41">
        <f t="shared" si="0"/>
        <v>1.304</v>
      </c>
      <c r="I18" s="43"/>
      <c r="J18" s="22" t="s">
        <v>62</v>
      </c>
      <c r="K18" s="33">
        <v>16</v>
      </c>
      <c r="L18" s="34" t="s">
        <v>63</v>
      </c>
      <c r="M18" s="35">
        <f>310000*Q19+120000*Q20+1000000*Q21</f>
        <v>5720000</v>
      </c>
      <c r="N18" s="36" t="s">
        <v>18</v>
      </c>
      <c r="P18" t="s">
        <v>81</v>
      </c>
      <c r="Q18" s="17">
        <v>4</v>
      </c>
      <c r="R18" t="s">
        <v>82</v>
      </c>
      <c r="W18" t="s">
        <v>81</v>
      </c>
      <c r="X18">
        <v>2</v>
      </c>
      <c r="Y18" t="s">
        <v>82</v>
      </c>
    </row>
    <row r="19" spans="1:25" x14ac:dyDescent="0.2">
      <c r="A19" s="39">
        <v>18</v>
      </c>
      <c r="B19" s="40">
        <v>227</v>
      </c>
      <c r="C19" s="40" t="s">
        <v>83</v>
      </c>
      <c r="D19" s="46">
        <f t="shared" ref="D19:D29" si="3">M25</f>
        <v>8500000</v>
      </c>
      <c r="E19" s="40" t="s">
        <v>16</v>
      </c>
      <c r="F19" s="39">
        <v>2</v>
      </c>
      <c r="G19" s="40" t="s">
        <v>84</v>
      </c>
      <c r="H19" s="41">
        <f t="shared" si="0"/>
        <v>8.5</v>
      </c>
      <c r="I19" s="43"/>
      <c r="J19" s="12" t="s">
        <v>67</v>
      </c>
      <c r="K19" s="33">
        <v>17</v>
      </c>
      <c r="L19" s="34" t="s">
        <v>68</v>
      </c>
      <c r="M19" s="35">
        <f>949.8866494*Q22</f>
        <v>6649206.5458000004</v>
      </c>
      <c r="N19" s="36" t="s">
        <v>18</v>
      </c>
      <c r="P19" t="s">
        <v>85</v>
      </c>
      <c r="Q19" s="17">
        <v>4</v>
      </c>
      <c r="R19" t="s">
        <v>66</v>
      </c>
      <c r="W19" t="s">
        <v>85</v>
      </c>
      <c r="X19">
        <v>2.0299999999999998</v>
      </c>
      <c r="Y19" t="s">
        <v>66</v>
      </c>
    </row>
    <row r="20" spans="1:25" x14ac:dyDescent="0.2">
      <c r="A20" s="39">
        <v>19</v>
      </c>
      <c r="B20" s="40" t="s">
        <v>86</v>
      </c>
      <c r="C20" s="40" t="s">
        <v>87</v>
      </c>
      <c r="D20" s="46">
        <f t="shared" si="3"/>
        <v>18734510.992774624</v>
      </c>
      <c r="E20" s="40" t="s">
        <v>16</v>
      </c>
      <c r="F20" s="39">
        <v>1</v>
      </c>
      <c r="G20" s="40" t="s">
        <v>88</v>
      </c>
      <c r="H20" s="41">
        <f t="shared" si="0"/>
        <v>18.734510992774624</v>
      </c>
      <c r="I20" s="43"/>
      <c r="J20" s="12" t="s">
        <v>71</v>
      </c>
      <c r="K20" s="33">
        <v>18</v>
      </c>
      <c r="L20" s="34" t="s">
        <v>72</v>
      </c>
      <c r="M20" s="35">
        <f>310000*Q23</f>
        <v>62000</v>
      </c>
      <c r="N20" s="36" t="s">
        <v>18</v>
      </c>
      <c r="P20" t="s">
        <v>89</v>
      </c>
      <c r="Q20" s="17">
        <v>4</v>
      </c>
      <c r="R20" t="s">
        <v>66</v>
      </c>
      <c r="W20" t="s">
        <v>89</v>
      </c>
      <c r="X20">
        <v>7.9</v>
      </c>
      <c r="Y20" t="s">
        <v>66</v>
      </c>
    </row>
    <row r="21" spans="1:25" x14ac:dyDescent="0.2">
      <c r="A21" s="9">
        <v>20</v>
      </c>
      <c r="B21" s="26" t="s">
        <v>90</v>
      </c>
      <c r="C21" s="12" t="s">
        <v>91</v>
      </c>
      <c r="D21" s="45">
        <f>M27</f>
        <v>1496000</v>
      </c>
      <c r="E21" s="12" t="s">
        <v>16</v>
      </c>
      <c r="F21" s="9">
        <v>1</v>
      </c>
      <c r="G21" s="12" t="s">
        <v>92</v>
      </c>
      <c r="H21" s="20">
        <f t="shared" si="0"/>
        <v>1.496</v>
      </c>
      <c r="J21" s="12" t="s">
        <v>75</v>
      </c>
      <c r="K21" s="33">
        <v>19</v>
      </c>
      <c r="L21" s="34" t="s">
        <v>76</v>
      </c>
      <c r="M21" s="35">
        <f>10000*Q24*(1-Q25)</f>
        <v>7500000</v>
      </c>
      <c r="N21" s="36" t="s">
        <v>18</v>
      </c>
      <c r="P21" t="s">
        <v>93</v>
      </c>
      <c r="Q21" s="21">
        <v>4</v>
      </c>
      <c r="R21" t="s">
        <v>66</v>
      </c>
      <c r="W21" t="s">
        <v>93</v>
      </c>
      <c r="X21">
        <v>1.7</v>
      </c>
      <c r="Y21" t="s">
        <v>66</v>
      </c>
    </row>
    <row r="22" spans="1:25" x14ac:dyDescent="0.2">
      <c r="A22" s="9">
        <v>21</v>
      </c>
      <c r="B22" s="26">
        <v>32</v>
      </c>
      <c r="C22" s="12" t="s">
        <v>94</v>
      </c>
      <c r="D22" s="45">
        <f t="shared" si="3"/>
        <v>1800000</v>
      </c>
      <c r="E22" s="12" t="s">
        <v>16</v>
      </c>
      <c r="F22" s="9">
        <v>1</v>
      </c>
      <c r="G22" s="12" t="s">
        <v>95</v>
      </c>
      <c r="H22" s="20">
        <f t="shared" si="0"/>
        <v>1.8</v>
      </c>
      <c r="J22" s="12" t="s">
        <v>79</v>
      </c>
      <c r="K22" s="33">
        <v>20</v>
      </c>
      <c r="L22" s="34" t="s">
        <v>96</v>
      </c>
      <c r="M22" s="35">
        <f>50000*Q26</f>
        <v>100000</v>
      </c>
      <c r="N22" s="36" t="s">
        <v>18</v>
      </c>
      <c r="P22" t="s">
        <v>97</v>
      </c>
      <c r="Q22" s="17">
        <v>7000</v>
      </c>
      <c r="R22" t="s">
        <v>74</v>
      </c>
      <c r="W22" t="s">
        <v>97</v>
      </c>
      <c r="X22">
        <v>4108.4902102126271</v>
      </c>
      <c r="Y22" t="s">
        <v>74</v>
      </c>
    </row>
    <row r="23" spans="1:25" x14ac:dyDescent="0.2">
      <c r="A23" s="9">
        <v>22</v>
      </c>
      <c r="B23" s="26" t="s">
        <v>98</v>
      </c>
      <c r="C23" s="12" t="s">
        <v>99</v>
      </c>
      <c r="D23" s="45">
        <f>M29</f>
        <v>225287.67123287672</v>
      </c>
      <c r="E23" s="12" t="s">
        <v>16</v>
      </c>
      <c r="F23" s="9">
        <v>1</v>
      </c>
      <c r="G23" s="12" t="s">
        <v>100</v>
      </c>
      <c r="H23" s="20">
        <f t="shared" si="0"/>
        <v>0.22528767123287671</v>
      </c>
      <c r="K23" s="33">
        <v>21</v>
      </c>
      <c r="L23" s="34" t="s">
        <v>101</v>
      </c>
      <c r="M23" s="35">
        <f>530000*Q26</f>
        <v>1060000</v>
      </c>
      <c r="N23" s="36" t="s">
        <v>18</v>
      </c>
      <c r="P23" t="s">
        <v>102</v>
      </c>
      <c r="Q23" s="17">
        <v>0.2</v>
      </c>
      <c r="R23" t="s">
        <v>66</v>
      </c>
      <c r="W23" t="s">
        <v>102</v>
      </c>
      <c r="X23">
        <v>0</v>
      </c>
      <c r="Y23" t="s">
        <v>66</v>
      </c>
    </row>
    <row r="24" spans="1:25" x14ac:dyDescent="0.2">
      <c r="A24" s="9">
        <v>23</v>
      </c>
      <c r="B24" s="26" t="s">
        <v>103</v>
      </c>
      <c r="C24" s="12" t="s">
        <v>104</v>
      </c>
      <c r="D24" s="45">
        <f t="shared" si="3"/>
        <v>1965000</v>
      </c>
      <c r="E24" s="12" t="s">
        <v>16</v>
      </c>
      <c r="F24" s="9">
        <v>1</v>
      </c>
      <c r="G24" s="12" t="s">
        <v>105</v>
      </c>
      <c r="H24" s="20">
        <f t="shared" si="0"/>
        <v>1.9650000000000001</v>
      </c>
      <c r="K24" s="33">
        <v>22</v>
      </c>
      <c r="L24" s="34" t="s">
        <v>106</v>
      </c>
      <c r="M24" s="35">
        <f>120000*Q26*Q27</f>
        <v>144000</v>
      </c>
      <c r="N24" s="36" t="s">
        <v>18</v>
      </c>
      <c r="P24" t="s">
        <v>107</v>
      </c>
      <c r="Q24" s="17">
        <v>1500</v>
      </c>
      <c r="R24" t="s">
        <v>108</v>
      </c>
      <c r="W24" t="s">
        <v>107</v>
      </c>
      <c r="X24">
        <v>1134</v>
      </c>
      <c r="Y24" t="s">
        <v>108</v>
      </c>
    </row>
    <row r="25" spans="1:25" x14ac:dyDescent="0.2">
      <c r="A25" s="9">
        <v>24</v>
      </c>
      <c r="B25" s="26">
        <v>511</v>
      </c>
      <c r="C25" s="12" t="s">
        <v>109</v>
      </c>
      <c r="D25" s="45">
        <f t="shared" si="3"/>
        <v>1455000</v>
      </c>
      <c r="E25" s="12" t="s">
        <v>16</v>
      </c>
      <c r="F25" s="9">
        <v>2</v>
      </c>
      <c r="G25" s="12" t="s">
        <v>110</v>
      </c>
      <c r="H25" s="20">
        <f t="shared" si="0"/>
        <v>1.4550000000000001</v>
      </c>
      <c r="J25" s="12" t="s">
        <v>83</v>
      </c>
      <c r="K25" s="33">
        <v>23</v>
      </c>
      <c r="L25" s="34" t="s">
        <v>84</v>
      </c>
      <c r="M25" s="35">
        <f>2000*Q28+6500000</f>
        <v>8500000</v>
      </c>
      <c r="N25" s="36" t="s">
        <v>18</v>
      </c>
      <c r="P25" t="s">
        <v>111</v>
      </c>
      <c r="Q25" s="18">
        <v>0.5</v>
      </c>
      <c r="R25" t="s">
        <v>112</v>
      </c>
      <c r="W25" t="s">
        <v>111</v>
      </c>
      <c r="X25">
        <v>0</v>
      </c>
      <c r="Y25" t="s">
        <v>112</v>
      </c>
    </row>
    <row r="26" spans="1:25" x14ac:dyDescent="0.2">
      <c r="A26" s="9">
        <v>25</v>
      </c>
      <c r="B26" s="26">
        <v>512</v>
      </c>
      <c r="C26" s="13" t="s">
        <v>113</v>
      </c>
      <c r="D26" s="45">
        <f t="shared" si="3"/>
        <v>249120.00000000003</v>
      </c>
      <c r="E26" s="12" t="s">
        <v>16</v>
      </c>
      <c r="F26" s="9">
        <v>2</v>
      </c>
      <c r="G26" s="12" t="s">
        <v>114</v>
      </c>
      <c r="H26" s="20">
        <f t="shared" si="0"/>
        <v>0.24912000000000004</v>
      </c>
      <c r="J26" s="12" t="s">
        <v>87</v>
      </c>
      <c r="K26" s="33">
        <v>24</v>
      </c>
      <c r="L26" s="34" t="s">
        <v>88</v>
      </c>
      <c r="M26" s="35">
        <f>282553*Q29+213800000*(((Q30/1144)^0.4)+((Q29/3431)^0.8))</f>
        <v>18734510.992774624</v>
      </c>
      <c r="N26" s="36" t="s">
        <v>18</v>
      </c>
      <c r="P26" t="s">
        <v>115</v>
      </c>
      <c r="Q26" s="17">
        <v>2</v>
      </c>
      <c r="R26" t="s">
        <v>116</v>
      </c>
      <c r="W26" t="s">
        <v>115</v>
      </c>
      <c r="X26">
        <v>2</v>
      </c>
      <c r="Y26" t="s">
        <v>116</v>
      </c>
    </row>
    <row r="27" spans="1:25" ht="26" customHeight="1" x14ac:dyDescent="0.2">
      <c r="A27" s="9">
        <v>26</v>
      </c>
      <c r="B27" s="26">
        <v>55</v>
      </c>
      <c r="C27" s="14" t="s">
        <v>117</v>
      </c>
      <c r="D27" s="45">
        <f t="shared" si="3"/>
        <v>27689151.729621693</v>
      </c>
      <c r="E27" s="12" t="s">
        <v>16</v>
      </c>
      <c r="F27" s="9">
        <v>1</v>
      </c>
      <c r="G27" s="12" t="s">
        <v>118</v>
      </c>
      <c r="H27" s="20">
        <f t="shared" si="0"/>
        <v>27.689151729621692</v>
      </c>
      <c r="K27" s="2">
        <v>25</v>
      </c>
      <c r="L27" s="15" t="s">
        <v>92</v>
      </c>
      <c r="M27" s="3">
        <f>(216000*Q31+151000*Q32+95000*Q33+110000*Q34+88000*Q35)*Q36</f>
        <v>1496000</v>
      </c>
      <c r="N27" t="s">
        <v>18</v>
      </c>
      <c r="P27" t="s">
        <v>119</v>
      </c>
      <c r="Q27" s="17">
        <v>0.6</v>
      </c>
      <c r="R27" t="s">
        <v>66</v>
      </c>
      <c r="W27" t="s">
        <v>119</v>
      </c>
      <c r="X27">
        <v>0.39493200000000001</v>
      </c>
      <c r="Y27" t="s">
        <v>66</v>
      </c>
    </row>
    <row r="28" spans="1:25" x14ac:dyDescent="0.2">
      <c r="A28" s="9">
        <v>27</v>
      </c>
      <c r="B28" s="26">
        <v>58</v>
      </c>
      <c r="C28" s="14" t="s">
        <v>120</v>
      </c>
      <c r="D28" s="45">
        <f t="shared" si="3"/>
        <v>9167440.0598450769</v>
      </c>
      <c r="E28" s="12" t="s">
        <v>16</v>
      </c>
      <c r="F28" s="9">
        <v>1</v>
      </c>
      <c r="G28" s="12" t="s">
        <v>121</v>
      </c>
      <c r="H28" s="20">
        <f t="shared" si="0"/>
        <v>9.1674400598450774</v>
      </c>
      <c r="K28" s="2">
        <v>26</v>
      </c>
      <c r="L28" s="15" t="s">
        <v>95</v>
      </c>
      <c r="M28" s="3">
        <f>300*Q37</f>
        <v>1800000</v>
      </c>
      <c r="N28" t="s">
        <v>18</v>
      </c>
      <c r="P28" t="s">
        <v>122</v>
      </c>
      <c r="Q28" s="17">
        <v>1000</v>
      </c>
      <c r="R28" t="s">
        <v>123</v>
      </c>
      <c r="W28" t="s">
        <v>122</v>
      </c>
      <c r="X28">
        <v>1000</v>
      </c>
      <c r="Y28" t="s">
        <v>123</v>
      </c>
    </row>
    <row r="29" spans="1:25" x14ac:dyDescent="0.2">
      <c r="A29" s="9">
        <v>28</v>
      </c>
      <c r="B29" s="26" t="s">
        <v>124</v>
      </c>
      <c r="C29" s="13" t="s">
        <v>125</v>
      </c>
      <c r="D29" s="45">
        <f t="shared" si="3"/>
        <v>4660000</v>
      </c>
      <c r="E29" s="12" t="s">
        <v>16</v>
      </c>
      <c r="F29" s="9">
        <v>2</v>
      </c>
      <c r="G29" s="12" t="s">
        <v>126</v>
      </c>
      <c r="H29" s="20">
        <f t="shared" si="0"/>
        <v>4.66</v>
      </c>
      <c r="K29" s="2">
        <v>27</v>
      </c>
      <c r="L29" s="15" t="s">
        <v>100</v>
      </c>
      <c r="M29" s="3">
        <f>(216000*Q38+151000*Q39+95000*Q40+110000*Q41+88000*Q42)*Q43/365</f>
        <v>225287.67123287672</v>
      </c>
      <c r="N29" t="s">
        <v>18</v>
      </c>
      <c r="P29" t="s">
        <v>127</v>
      </c>
      <c r="Q29" s="17">
        <v>5</v>
      </c>
      <c r="R29" t="s">
        <v>128</v>
      </c>
      <c r="W29" t="s">
        <v>127</v>
      </c>
      <c r="X29">
        <v>5</v>
      </c>
      <c r="Y29" t="s">
        <v>128</v>
      </c>
    </row>
    <row r="30" spans="1:25" x14ac:dyDescent="0.2">
      <c r="A30" s="9"/>
      <c r="D30" s="45"/>
      <c r="E30" s="8"/>
      <c r="F30" s="8"/>
      <c r="G30" s="12"/>
      <c r="H30" s="5"/>
      <c r="K30" s="2">
        <v>28</v>
      </c>
      <c r="L30" s="15" t="s">
        <v>105</v>
      </c>
      <c r="M30" s="3">
        <f>Q47*((216000*Q44+110000*Q45+93000*Q46)*1.25+140000*Q48+132500*Q49)</f>
        <v>1965000</v>
      </c>
      <c r="N30" t="s">
        <v>18</v>
      </c>
      <c r="P30" t="s">
        <v>129</v>
      </c>
      <c r="Q30" s="17">
        <v>1.8</v>
      </c>
      <c r="R30" t="s">
        <v>130</v>
      </c>
      <c r="W30" t="s">
        <v>129</v>
      </c>
      <c r="X30">
        <v>1.8</v>
      </c>
      <c r="Y30" t="s">
        <v>130</v>
      </c>
    </row>
    <row r="31" spans="1:25" x14ac:dyDescent="0.2">
      <c r="A31" s="9"/>
      <c r="D31" s="9"/>
      <c r="E31" s="8"/>
      <c r="F31" s="8"/>
      <c r="H31" s="5"/>
      <c r="K31" s="2">
        <v>29</v>
      </c>
      <c r="L31" s="15" t="s">
        <v>110</v>
      </c>
      <c r="M31" s="3">
        <f>1000*Q50</f>
        <v>1455000</v>
      </c>
      <c r="N31" t="s">
        <v>18</v>
      </c>
      <c r="P31" t="s">
        <v>131</v>
      </c>
      <c r="Q31" s="17">
        <v>1</v>
      </c>
      <c r="R31" t="s">
        <v>132</v>
      </c>
      <c r="W31" t="s">
        <v>131</v>
      </c>
      <c r="X31">
        <v>1</v>
      </c>
      <c r="Y31" t="s">
        <v>132</v>
      </c>
    </row>
    <row r="32" spans="1:25" x14ac:dyDescent="0.2">
      <c r="A32" s="9"/>
      <c r="D32" s="9"/>
      <c r="E32" s="8"/>
      <c r="F32" s="8"/>
      <c r="H32" s="5"/>
      <c r="K32" s="2">
        <v>30</v>
      </c>
      <c r="L32" s="15" t="s">
        <v>114</v>
      </c>
      <c r="M32" s="3">
        <f>48000*Q51</f>
        <v>249120.00000000003</v>
      </c>
      <c r="N32" t="s">
        <v>18</v>
      </c>
      <c r="P32" t="s">
        <v>133</v>
      </c>
      <c r="Q32" s="17">
        <v>1</v>
      </c>
      <c r="R32" t="s">
        <v>132</v>
      </c>
      <c r="W32" t="s">
        <v>133</v>
      </c>
      <c r="X32">
        <v>1</v>
      </c>
      <c r="Y32" t="s">
        <v>132</v>
      </c>
    </row>
    <row r="33" spans="1:25" x14ac:dyDescent="0.2">
      <c r="A33" s="9"/>
      <c r="D33" s="9"/>
      <c r="E33" s="8"/>
      <c r="F33" s="8"/>
      <c r="H33" s="5"/>
      <c r="K33" s="2">
        <v>31</v>
      </c>
      <c r="L33" s="15" t="s">
        <v>118</v>
      </c>
      <c r="M33" s="3">
        <f>51507.74*Q54+870000*Q51+47*Q58*Q57</f>
        <v>27689151.729621693</v>
      </c>
      <c r="N33" t="s">
        <v>18</v>
      </c>
      <c r="P33" t="s">
        <v>134</v>
      </c>
      <c r="Q33" s="17">
        <v>1</v>
      </c>
      <c r="R33" t="s">
        <v>132</v>
      </c>
      <c r="W33" t="s">
        <v>134</v>
      </c>
      <c r="X33">
        <v>1</v>
      </c>
      <c r="Y33" t="s">
        <v>132</v>
      </c>
    </row>
    <row r="34" spans="1:25" x14ac:dyDescent="0.2">
      <c r="A34" s="8"/>
      <c r="C34" s="10"/>
      <c r="D34" s="9">
        <f>SUM(D7:D20)</f>
        <v>275760587.38658923</v>
      </c>
      <c r="E34" s="8"/>
      <c r="F34" s="8"/>
      <c r="H34" s="5"/>
      <c r="K34" s="2">
        <v>32</v>
      </c>
      <c r="L34" s="15" t="s">
        <v>121</v>
      </c>
      <c r="M34" s="3">
        <f>14764253.8907811/(1+0.01*Q59)^Q60</f>
        <v>9167440.0598450769</v>
      </c>
      <c r="N34" t="s">
        <v>18</v>
      </c>
      <c r="P34" t="s">
        <v>135</v>
      </c>
      <c r="Q34" s="17">
        <v>1</v>
      </c>
      <c r="R34" t="s">
        <v>132</v>
      </c>
      <c r="W34" t="s">
        <v>135</v>
      </c>
      <c r="X34">
        <v>1</v>
      </c>
      <c r="Y34" t="s">
        <v>132</v>
      </c>
    </row>
    <row r="35" spans="1:25" x14ac:dyDescent="0.2">
      <c r="D35" s="7">
        <f>D34/1000000</f>
        <v>275.76058738658924</v>
      </c>
      <c r="H35" s="5"/>
      <c r="K35" s="2">
        <v>33</v>
      </c>
      <c r="L35" s="15" t="s">
        <v>126</v>
      </c>
      <c r="M35" s="3">
        <f>Q61*(216000*Q62+110000*Q63+93000*Q64+140000*Q65+70000*Q66)</f>
        <v>4660000</v>
      </c>
      <c r="N35" t="s">
        <v>18</v>
      </c>
      <c r="P35" t="s">
        <v>136</v>
      </c>
      <c r="Q35" s="17">
        <v>2</v>
      </c>
      <c r="R35" t="s">
        <v>132</v>
      </c>
      <c r="W35" t="s">
        <v>136</v>
      </c>
      <c r="X35">
        <v>2</v>
      </c>
      <c r="Y35" t="s">
        <v>132</v>
      </c>
    </row>
    <row r="36" spans="1:25" x14ac:dyDescent="0.2">
      <c r="H36" s="5"/>
      <c r="K36" s="2"/>
      <c r="L36" s="15"/>
      <c r="M36" s="3"/>
      <c r="P36" t="s">
        <v>137</v>
      </c>
      <c r="Q36" s="17">
        <v>2</v>
      </c>
      <c r="R36" t="s">
        <v>138</v>
      </c>
      <c r="W36" t="s">
        <v>137</v>
      </c>
      <c r="X36">
        <v>2</v>
      </c>
      <c r="Y36" t="s">
        <v>138</v>
      </c>
    </row>
    <row r="37" spans="1:25" x14ac:dyDescent="0.2">
      <c r="H37" s="5"/>
      <c r="K37" s="2"/>
      <c r="L37" s="15"/>
      <c r="M37" s="3"/>
      <c r="P37" t="s">
        <v>139</v>
      </c>
      <c r="Q37" s="17">
        <v>6000</v>
      </c>
      <c r="R37" t="s">
        <v>140</v>
      </c>
      <c r="W37" t="s">
        <v>139</v>
      </c>
      <c r="X37">
        <v>6000</v>
      </c>
      <c r="Y37" t="s">
        <v>140</v>
      </c>
    </row>
    <row r="38" spans="1:25" x14ac:dyDescent="0.2">
      <c r="H38" s="5"/>
      <c r="K38" s="2"/>
      <c r="M38" s="6"/>
      <c r="P38" t="s">
        <v>141</v>
      </c>
      <c r="Q38" s="17">
        <v>1</v>
      </c>
      <c r="R38" t="s">
        <v>132</v>
      </c>
      <c r="W38" t="s">
        <v>141</v>
      </c>
      <c r="X38">
        <v>1</v>
      </c>
      <c r="Y38" t="s">
        <v>132</v>
      </c>
    </row>
    <row r="39" spans="1:25" x14ac:dyDescent="0.2">
      <c r="H39" s="5"/>
      <c r="K39" s="2"/>
      <c r="L39" s="15"/>
      <c r="M39" s="3"/>
      <c r="P39" t="s">
        <v>142</v>
      </c>
      <c r="Q39" s="17">
        <v>1</v>
      </c>
      <c r="R39" t="s">
        <v>132</v>
      </c>
      <c r="W39" t="s">
        <v>142</v>
      </c>
      <c r="X39">
        <v>1</v>
      </c>
      <c r="Y39" t="s">
        <v>132</v>
      </c>
    </row>
    <row r="40" spans="1:25" x14ac:dyDescent="0.2">
      <c r="H40" s="5"/>
      <c r="K40" s="2"/>
      <c r="L40" s="15"/>
      <c r="M40" s="3"/>
      <c r="P40" t="s">
        <v>143</v>
      </c>
      <c r="Q40" s="17">
        <v>6</v>
      </c>
      <c r="R40" t="s">
        <v>132</v>
      </c>
      <c r="W40" t="s">
        <v>143</v>
      </c>
      <c r="X40">
        <v>6</v>
      </c>
      <c r="Y40" t="s">
        <v>132</v>
      </c>
    </row>
    <row r="41" spans="1:25" x14ac:dyDescent="0.2">
      <c r="D41" s="11"/>
      <c r="K41" s="2"/>
      <c r="L41" s="15"/>
      <c r="M41" s="6"/>
      <c r="P41" t="s">
        <v>144</v>
      </c>
      <c r="Q41" s="17">
        <v>10</v>
      </c>
      <c r="R41" t="s">
        <v>145</v>
      </c>
      <c r="W41" t="s">
        <v>144</v>
      </c>
      <c r="X41">
        <v>10</v>
      </c>
      <c r="Y41" t="s">
        <v>145</v>
      </c>
    </row>
    <row r="42" spans="1:25" x14ac:dyDescent="0.2">
      <c r="K42" s="2"/>
      <c r="L42" s="15"/>
      <c r="M42" s="3"/>
      <c r="P42" t="s">
        <v>146</v>
      </c>
      <c r="Q42" s="17">
        <v>8</v>
      </c>
      <c r="R42" t="s">
        <v>132</v>
      </c>
      <c r="W42" t="s">
        <v>146</v>
      </c>
      <c r="X42">
        <v>8</v>
      </c>
      <c r="Y42" t="s">
        <v>132</v>
      </c>
    </row>
    <row r="43" spans="1:25" x14ac:dyDescent="0.2">
      <c r="K43" s="2"/>
      <c r="L43" s="15"/>
      <c r="M43" s="3"/>
      <c r="P43" t="s">
        <v>147</v>
      </c>
      <c r="Q43" s="17">
        <v>30</v>
      </c>
      <c r="R43" t="s">
        <v>145</v>
      </c>
      <c r="W43" t="s">
        <v>147</v>
      </c>
      <c r="X43">
        <v>30</v>
      </c>
      <c r="Y43" t="s">
        <v>145</v>
      </c>
    </row>
    <row r="44" spans="1:25" x14ac:dyDescent="0.2">
      <c r="K44" s="2"/>
      <c r="L44" s="15"/>
      <c r="M44" s="3"/>
      <c r="P44" t="s">
        <v>148</v>
      </c>
      <c r="Q44" s="17">
        <v>1</v>
      </c>
      <c r="R44" t="s">
        <v>132</v>
      </c>
      <c r="W44" t="s">
        <v>148</v>
      </c>
      <c r="X44">
        <v>1</v>
      </c>
      <c r="Y44" t="s">
        <v>132</v>
      </c>
    </row>
    <row r="45" spans="1:25" x14ac:dyDescent="0.2">
      <c r="K45" s="2"/>
      <c r="L45" s="15"/>
      <c r="M45" s="3"/>
      <c r="P45" t="s">
        <v>149</v>
      </c>
      <c r="Q45" s="17">
        <v>1</v>
      </c>
      <c r="R45" t="s">
        <v>132</v>
      </c>
      <c r="W45" t="s">
        <v>149</v>
      </c>
      <c r="X45">
        <v>1</v>
      </c>
      <c r="Y45" t="s">
        <v>132</v>
      </c>
    </row>
    <row r="46" spans="1:25" x14ac:dyDescent="0.2">
      <c r="K46" s="2"/>
      <c r="L46" s="15"/>
      <c r="M46" s="3"/>
      <c r="P46" t="s">
        <v>150</v>
      </c>
      <c r="Q46" s="17">
        <v>2</v>
      </c>
      <c r="R46" t="s">
        <v>132</v>
      </c>
      <c r="W46" t="s">
        <v>150</v>
      </c>
      <c r="X46">
        <v>2</v>
      </c>
      <c r="Y46" t="s">
        <v>132</v>
      </c>
    </row>
    <row r="47" spans="1:25" x14ac:dyDescent="0.2">
      <c r="K47" s="2"/>
      <c r="L47" s="15"/>
      <c r="M47" s="3"/>
      <c r="P47" t="s">
        <v>151</v>
      </c>
      <c r="Q47" s="17">
        <v>1.5</v>
      </c>
      <c r="R47" t="s">
        <v>152</v>
      </c>
      <c r="W47" t="s">
        <v>151</v>
      </c>
      <c r="X47">
        <v>1.5</v>
      </c>
      <c r="Y47" t="s">
        <v>152</v>
      </c>
    </row>
    <row r="48" spans="1:25" x14ac:dyDescent="0.2">
      <c r="K48" s="2"/>
      <c r="L48" s="15"/>
      <c r="M48" s="3"/>
      <c r="P48" t="s">
        <v>153</v>
      </c>
      <c r="Q48" s="17">
        <v>1</v>
      </c>
      <c r="R48" t="s">
        <v>132</v>
      </c>
      <c r="W48" t="s">
        <v>153</v>
      </c>
      <c r="X48">
        <v>1</v>
      </c>
      <c r="Y48" t="s">
        <v>132</v>
      </c>
    </row>
    <row r="49" spans="11:25" x14ac:dyDescent="0.2">
      <c r="K49" s="2"/>
      <c r="L49" s="15"/>
      <c r="M49" s="3"/>
      <c r="P49" t="s">
        <v>154</v>
      </c>
      <c r="Q49" s="17">
        <v>4</v>
      </c>
      <c r="R49" t="s">
        <v>132</v>
      </c>
      <c r="W49" t="s">
        <v>154</v>
      </c>
      <c r="X49">
        <v>4</v>
      </c>
      <c r="Y49" t="s">
        <v>132</v>
      </c>
    </row>
    <row r="50" spans="11:25" x14ac:dyDescent="0.2">
      <c r="K50" s="2"/>
      <c r="L50" s="15"/>
      <c r="M50" s="3"/>
      <c r="P50" t="s">
        <v>155</v>
      </c>
      <c r="Q50" s="17">
        <v>1455</v>
      </c>
      <c r="R50" t="s">
        <v>156</v>
      </c>
      <c r="W50" t="s">
        <v>155</v>
      </c>
      <c r="X50">
        <v>1455</v>
      </c>
      <c r="Y50" t="s">
        <v>156</v>
      </c>
    </row>
    <row r="51" spans="11:25" x14ac:dyDescent="0.2">
      <c r="K51" s="2"/>
      <c r="L51" s="15"/>
      <c r="M51" s="3"/>
      <c r="P51" t="s">
        <v>157</v>
      </c>
      <c r="Q51" s="17">
        <v>5.19</v>
      </c>
      <c r="R51" t="s">
        <v>66</v>
      </c>
      <c r="W51" t="s">
        <v>157</v>
      </c>
      <c r="X51">
        <v>5.19</v>
      </c>
      <c r="Y51" t="s">
        <v>66</v>
      </c>
    </row>
    <row r="52" spans="11:25" x14ac:dyDescent="0.2">
      <c r="K52" s="2"/>
      <c r="L52" s="15"/>
      <c r="M52" s="3"/>
      <c r="P52" t="s">
        <v>158</v>
      </c>
      <c r="Q52" s="17">
        <f>0.880539499036609*Q51</f>
        <v>4.5700000000000012</v>
      </c>
      <c r="R52" t="s">
        <v>66</v>
      </c>
      <c r="W52" t="s">
        <v>158</v>
      </c>
      <c r="X52">
        <v>4.5700000000000012</v>
      </c>
      <c r="Y52" t="s">
        <v>66</v>
      </c>
    </row>
    <row r="53" spans="11:25" x14ac:dyDescent="0.2">
      <c r="K53" s="2"/>
      <c r="L53" s="15"/>
      <c r="M53" s="3"/>
      <c r="P53" t="s">
        <v>159</v>
      </c>
      <c r="Q53" s="19">
        <v>19.75</v>
      </c>
      <c r="R53" t="s">
        <v>112</v>
      </c>
      <c r="W53" t="s">
        <v>159</v>
      </c>
      <c r="X53">
        <v>19.75</v>
      </c>
      <c r="Y53" t="s">
        <v>112</v>
      </c>
    </row>
    <row r="54" spans="11:25" x14ac:dyDescent="0.2">
      <c r="K54" s="2"/>
      <c r="L54" s="15"/>
      <c r="M54" s="3"/>
      <c r="P54" t="s">
        <v>160</v>
      </c>
      <c r="Q54" s="17">
        <f>2.17*Q52*(Q53-0.25)</f>
        <v>193.37955000000002</v>
      </c>
      <c r="R54" t="s">
        <v>66</v>
      </c>
      <c r="W54" t="s">
        <v>160</v>
      </c>
      <c r="X54">
        <v>193.37955000000002</v>
      </c>
      <c r="Y54" t="s">
        <v>66</v>
      </c>
    </row>
    <row r="55" spans="11:25" x14ac:dyDescent="0.2">
      <c r="K55" s="2"/>
      <c r="L55" s="15"/>
      <c r="M55" s="3"/>
      <c r="P55" t="s">
        <v>161</v>
      </c>
      <c r="Q55" s="17">
        <f>Q54-Q52</f>
        <v>188.80955000000003</v>
      </c>
      <c r="R55" t="s">
        <v>66</v>
      </c>
      <c r="W55" t="s">
        <v>161</v>
      </c>
      <c r="X55">
        <v>188.80955000000003</v>
      </c>
      <c r="Y55" t="s">
        <v>66</v>
      </c>
    </row>
    <row r="56" spans="11:25" x14ac:dyDescent="0.2">
      <c r="K56" s="2"/>
      <c r="L56" s="15"/>
      <c r="M56" s="3"/>
      <c r="P56" t="s">
        <v>162</v>
      </c>
      <c r="Q56" s="17">
        <f>(1-0.02*Q53)*LN((1-0.01*Q53)/(0.01*Q53))</f>
        <v>0.84820592875111156</v>
      </c>
      <c r="R56" t="s">
        <v>163</v>
      </c>
      <c r="W56" t="s">
        <v>162</v>
      </c>
      <c r="X56">
        <v>0.84820592875111156</v>
      </c>
      <c r="Y56" t="s">
        <v>163</v>
      </c>
    </row>
    <row r="57" spans="11:25" x14ac:dyDescent="0.2">
      <c r="L57" s="16"/>
      <c r="M57" s="3"/>
      <c r="P57" t="s">
        <v>164</v>
      </c>
      <c r="Q57" s="17">
        <f>1000*(Q52*Q56+Q55*5.96-Q54*4.87)</f>
        <v>187422.81059439279</v>
      </c>
      <c r="R57" t="s">
        <v>74</v>
      </c>
      <c r="W57" t="s">
        <v>164</v>
      </c>
      <c r="X57">
        <v>187422.81059439279</v>
      </c>
      <c r="Y57" t="s">
        <v>74</v>
      </c>
    </row>
    <row r="58" spans="11:25" x14ac:dyDescent="0.2">
      <c r="L58" s="16"/>
      <c r="M58" s="3"/>
      <c r="P58" t="s">
        <v>165</v>
      </c>
      <c r="Q58" s="17">
        <f>1.5</f>
        <v>1.5</v>
      </c>
      <c r="R58" t="s">
        <v>163</v>
      </c>
      <c r="W58" t="s">
        <v>165</v>
      </c>
      <c r="X58">
        <v>1.5</v>
      </c>
      <c r="Y58" t="s">
        <v>163</v>
      </c>
    </row>
    <row r="59" spans="11:25" x14ac:dyDescent="0.2">
      <c r="L59" s="16"/>
      <c r="M59" s="3"/>
      <c r="P59" t="s">
        <v>166</v>
      </c>
      <c r="Q59" s="17">
        <v>10</v>
      </c>
      <c r="R59" t="s">
        <v>112</v>
      </c>
      <c r="W59" t="s">
        <v>166</v>
      </c>
      <c r="X59">
        <v>10</v>
      </c>
      <c r="Y59" t="s">
        <v>112</v>
      </c>
    </row>
    <row r="60" spans="11:25" x14ac:dyDescent="0.2">
      <c r="L60" s="16"/>
      <c r="M60" s="3"/>
      <c r="P60" t="s">
        <v>167</v>
      </c>
      <c r="Q60" s="17">
        <v>5</v>
      </c>
      <c r="R60" t="s">
        <v>152</v>
      </c>
      <c r="W60" t="s">
        <v>167</v>
      </c>
      <c r="X60">
        <v>5</v>
      </c>
      <c r="Y60" t="s">
        <v>152</v>
      </c>
    </row>
    <row r="61" spans="11:25" x14ac:dyDescent="0.2">
      <c r="L61" s="16"/>
      <c r="M61" s="3"/>
      <c r="P61" t="s">
        <v>168</v>
      </c>
      <c r="Q61" s="17">
        <v>5</v>
      </c>
      <c r="R61" t="s">
        <v>152</v>
      </c>
      <c r="W61" t="s">
        <v>168</v>
      </c>
      <c r="X61">
        <v>5</v>
      </c>
      <c r="Y61" t="s">
        <v>152</v>
      </c>
    </row>
    <row r="62" spans="11:25" x14ac:dyDescent="0.2">
      <c r="L62" s="16"/>
      <c r="M62" s="3"/>
      <c r="P62" t="s">
        <v>169</v>
      </c>
      <c r="Q62" s="17">
        <v>1</v>
      </c>
      <c r="R62" t="s">
        <v>132</v>
      </c>
      <c r="W62" t="s">
        <v>169</v>
      </c>
      <c r="X62">
        <v>1</v>
      </c>
      <c r="Y62" t="s">
        <v>132</v>
      </c>
    </row>
    <row r="63" spans="11:25" x14ac:dyDescent="0.2">
      <c r="L63" s="16"/>
      <c r="M63" s="3"/>
      <c r="P63" t="s">
        <v>170</v>
      </c>
      <c r="Q63" s="17">
        <v>1</v>
      </c>
      <c r="R63" t="s">
        <v>132</v>
      </c>
      <c r="W63" t="s">
        <v>170</v>
      </c>
      <c r="X63">
        <v>1</v>
      </c>
      <c r="Y63" t="s">
        <v>132</v>
      </c>
    </row>
    <row r="64" spans="11:25" x14ac:dyDescent="0.2">
      <c r="L64" s="16"/>
      <c r="M64" s="3"/>
      <c r="P64" t="s">
        <v>171</v>
      </c>
      <c r="Q64" s="17">
        <v>2</v>
      </c>
      <c r="R64" t="s">
        <v>132</v>
      </c>
      <c r="W64" t="s">
        <v>171</v>
      </c>
      <c r="X64">
        <v>2</v>
      </c>
      <c r="Y64" t="s">
        <v>132</v>
      </c>
    </row>
    <row r="65" spans="12:25" x14ac:dyDescent="0.2">
      <c r="L65" s="16"/>
      <c r="M65" s="3"/>
      <c r="P65" t="s">
        <v>172</v>
      </c>
      <c r="Q65" s="17">
        <v>1</v>
      </c>
      <c r="R65" t="s">
        <v>132</v>
      </c>
      <c r="W65" t="s">
        <v>172</v>
      </c>
      <c r="X65">
        <v>1</v>
      </c>
      <c r="Y65" t="s">
        <v>132</v>
      </c>
    </row>
    <row r="66" spans="12:25" x14ac:dyDescent="0.2">
      <c r="L66" s="16"/>
      <c r="M66" s="3"/>
      <c r="P66" t="s">
        <v>173</v>
      </c>
      <c r="Q66" s="17">
        <v>4</v>
      </c>
      <c r="R66" t="s">
        <v>132</v>
      </c>
      <c r="W66" t="s">
        <v>173</v>
      </c>
      <c r="X66">
        <v>4</v>
      </c>
      <c r="Y66" t="s">
        <v>132</v>
      </c>
    </row>
    <row r="67" spans="12:25" x14ac:dyDescent="0.2">
      <c r="L67" s="16"/>
      <c r="M67" s="3"/>
    </row>
    <row r="68" spans="12:25" x14ac:dyDescent="0.2">
      <c r="L68" s="16"/>
      <c r="M68" s="3"/>
    </row>
    <row r="69" spans="12:25" x14ac:dyDescent="0.2">
      <c r="M69" s="3"/>
    </row>
    <row r="70" spans="12:25" x14ac:dyDescent="0.2">
      <c r="M70" s="3"/>
    </row>
    <row r="71" spans="12:25" x14ac:dyDescent="0.2">
      <c r="M71" s="3"/>
    </row>
    <row r="72" spans="12:25" x14ac:dyDescent="0.2">
      <c r="M72" s="3"/>
    </row>
    <row r="73" spans="12:25" x14ac:dyDescent="0.2">
      <c r="M73" s="3"/>
    </row>
    <row r="74" spans="12:25" x14ac:dyDescent="0.2">
      <c r="M74" s="3"/>
    </row>
    <row r="75" spans="12:25" x14ac:dyDescent="0.2">
      <c r="M75" s="3"/>
    </row>
    <row r="76" spans="12:25" x14ac:dyDescent="0.2">
      <c r="M76" s="3"/>
    </row>
    <row r="77" spans="12:25" x14ac:dyDescent="0.2">
      <c r="M77" s="3"/>
    </row>
    <row r="78" spans="12:25" x14ac:dyDescent="0.2">
      <c r="M78" s="3"/>
    </row>
    <row r="79" spans="12:25" x14ac:dyDescent="0.2">
      <c r="M79" s="3"/>
    </row>
    <row r="80" spans="12:25" x14ac:dyDescent="0.2">
      <c r="M80" s="3"/>
    </row>
    <row r="81" spans="13:13" x14ac:dyDescent="0.2">
      <c r="M81" s="3"/>
    </row>
    <row r="82" spans="13:13" x14ac:dyDescent="0.2">
      <c r="M82" s="3"/>
    </row>
    <row r="83" spans="13:13" x14ac:dyDescent="0.2">
      <c r="M83" s="3"/>
    </row>
    <row r="84" spans="13:13" x14ac:dyDescent="0.2">
      <c r="M84" s="3"/>
    </row>
    <row r="85" spans="13:13" x14ac:dyDescent="0.2">
      <c r="M85" s="3"/>
    </row>
    <row r="86" spans="13:13" x14ac:dyDescent="0.2">
      <c r="M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Microreactors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2023-01-05T20:07:33Z</dcterms:created>
  <dcterms:modified xsi:type="dcterms:W3CDTF">2023-11-23T18:53:53Z</dcterms:modified>
  <cp:category/>
  <cp:contentStatus/>
</cp:coreProperties>
</file>