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inl.sharepoint.com/sites/GRP-GAINSupplyChain/Shared Documents/General/DataCenter/PDscope_DataCenter/github_repo/nuc_DataCenters/src/"/>
    </mc:Choice>
  </mc:AlternateContent>
  <xr:revisionPtr revIDLastSave="419" documentId="8_{5DB5BADE-4EDB-8342-8FD1-0765167B9F29}" xr6:coauthVersionLast="47" xr6:coauthVersionMax="47" xr10:uidLastSave="{3028EB4A-9194-0145-BE96-A22759920350}"/>
  <bookViews>
    <workbookView xWindow="0" yWindow="760" windowWidth="30240" windowHeight="17360" activeTab="2" xr2:uid="{08C93FC6-372E-B84D-87BC-8AFFC8B9C44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3" l="1"/>
  <c r="AK4" i="3"/>
  <c r="AK5" i="3"/>
  <c r="AK6" i="3"/>
  <c r="AK7" i="3"/>
  <c r="AK8" i="3"/>
  <c r="AK2" i="3"/>
  <c r="V2" i="3"/>
  <c r="V5" i="3"/>
  <c r="U5" i="3"/>
  <c r="V3" i="3"/>
  <c r="AA3" i="3"/>
  <c r="AA4" i="3"/>
  <c r="AA2" i="3"/>
  <c r="Z3" i="3"/>
  <c r="Z4" i="3"/>
  <c r="Z2" i="3"/>
  <c r="V4" i="3"/>
  <c r="U3" i="3"/>
  <c r="U4" i="3"/>
  <c r="U2" i="3"/>
  <c r="K3" i="3"/>
  <c r="M3" i="3"/>
  <c r="I2" i="3"/>
  <c r="F3" i="3" s="1"/>
  <c r="E5" i="3"/>
  <c r="D3" i="3"/>
  <c r="E3" i="3" s="1"/>
  <c r="D4" i="3"/>
  <c r="E4" i="3" s="1"/>
  <c r="D5" i="3"/>
  <c r="D2" i="3"/>
  <c r="E2" i="3" s="1"/>
  <c r="F2" i="3" l="1"/>
  <c r="F5" i="3"/>
  <c r="F4" i="3"/>
  <c r="C22" i="1"/>
  <c r="B16" i="1"/>
  <c r="H16" i="1"/>
  <c r="A3" i="2"/>
  <c r="C3" i="2" s="1"/>
  <c r="B3" i="2"/>
  <c r="A4" i="2"/>
  <c r="B4" i="2"/>
  <c r="A5" i="2"/>
  <c r="B5" i="2"/>
  <c r="B6" i="2"/>
  <c r="C4" i="2"/>
  <c r="C5" i="2"/>
  <c r="C2" i="2"/>
  <c r="B19" i="2"/>
  <c r="B22" i="2"/>
  <c r="B21" i="2"/>
  <c r="B20" i="2"/>
  <c r="B2" i="2"/>
  <c r="A2" i="2"/>
  <c r="H11" i="1"/>
  <c r="H5" i="1"/>
  <c r="H6" i="1"/>
  <c r="F6" i="1"/>
  <c r="F5" i="1"/>
  <c r="F4" i="1"/>
  <c r="F11" i="1"/>
  <c r="F10" i="1"/>
</calcChain>
</file>

<file path=xl/sharedStrings.xml><?xml version="1.0" encoding="utf-8"?>
<sst xmlns="http://schemas.openxmlformats.org/spreadsheetml/2006/main" count="35" uniqueCount="33">
  <si>
    <t>SFR SA Inc</t>
  </si>
  <si>
    <t>ALMR</t>
  </si>
  <si>
    <t>NEI</t>
  </si>
  <si>
    <t>https://www.nei.org/resources/reports-briefs/nuclear-costs-in-context</t>
  </si>
  <si>
    <t>USA</t>
  </si>
  <si>
    <t>19 plants have one reactor, 31 have two, four have three, and one has four</t>
  </si>
  <si>
    <t>average multi =</t>
  </si>
  <si>
    <t>num</t>
  </si>
  <si>
    <t>Cost</t>
  </si>
  <si>
    <t>Source</t>
  </si>
  <si>
    <t>https://www.osti.gov/biblio/713993: Table2</t>
  </si>
  <si>
    <t>non fuel O&amp;M</t>
  </si>
  <si>
    <t>fuel O&amp;M</t>
  </si>
  <si>
    <t>Total</t>
  </si>
  <si>
    <t>Total normzlied</t>
  </si>
  <si>
    <t>amount of cost that does not scale</t>
  </si>
  <si>
    <t>Amount of cost the scales</t>
  </si>
  <si>
    <t>cost</t>
  </si>
  <si>
    <t>number of units</t>
  </si>
  <si>
    <t>cumulative cost</t>
  </si>
  <si>
    <t>ORNL 1988</t>
  </si>
  <si>
    <t>https://www.osti.gov/servlets/purl/6511284</t>
  </si>
  <si>
    <t>Table 4.24</t>
  </si>
  <si>
    <t>Assumes 1/3 O&amp;M cost remains constant (e.g., general support) and the remaining 2/3 doubles.</t>
  </si>
  <si>
    <t># of Units: NEI</t>
  </si>
  <si>
    <t>number of units:ICONE 2008</t>
  </si>
  <si>
    <t>NEI 2023</t>
  </si>
  <si>
    <t>BECHTEL 1987</t>
  </si>
  <si>
    <t>Carelli 2008</t>
  </si>
  <si>
    <t>https://watermark.silverchair.com/499_1.pdf?token=AQECAHi208BE49Ooan9kkhW_Ercy7Dm3ZL_9Cf3qfKAc485ysgAABIIwggR-BgkqhkiG9w0BBwagggRvMIIEawIBADCCBGQGCSqGSIb3DQEHATAeBglghkgBZQMEAS4wEQQMj8V8-VlbLIms_kcXAgEQgIIENVMEgQ27mYUP87jUFg3U_lMpIHYHam4WXTkDRRgZNSBkz7d8ZJ3MpSpT_Gt_3vKZIZip0G1rZJwE5hZVMCDn_2Ac2yGXLdIyyZUq42poQpbWK5WT6fteS3399FGVH13ZQeeUG45yqvp4RatPa68u7IYWBnsUJN1594wvjMQGO1EBHhzOFhXCFDbuBAkWdYhcLpUjB6kS7J5qTwJQWR1Nb5gcNDkwi-Ar4toj-b221GH0pwHR6K73sGzRhA0x8Gj9YlWbrBEJNSU4TOdyVHPvQs_Y3uu39IppOfW-kWAPsLV3Kr9DfgL5YVg69Am2-r1zP5R_gTWb_2V2-JjBN9KUsAMjiyZeEjn1TbdD2XCV-4pBsOumQhQU_UaESe47jLyhLwy4duzOHWAiaWg_RP4Gv6CkLQUggEk61NY3kCCsWF7XJESt28NMkegAwanRvQm0xKCl0_vpQ4piSjHWVx_PF-pHLy8c4aQ0Kr-d-O4MltG-xnC51h04Ni8188aZKnP1WgEkYODy7-rKNzykpQYhLXc8MLjZTZd9bqhUio2zGFHzH9u-RAg0LmXILrCuQ-LKiMuzIk0ldimzFwZFnzaJEXCs73TfbwPT7l07kNG8K2p_9qklVSmi3B_gjnuWRUXSUjjMwRMDpyAyeUNoPrPGyKOVd8a-T102uQHMTdXK29yxVcEhRqCfVAmTX4ZruDQMeWfBnrucDILAI2FeK630rqYxTotq25GvK4mQAmXFxce0MZdauwqOueKUytlOzaZyWxvLqxK28n9KR2wx2vL8ikEtb_w5grPBhjee6WxZcLIGFzKUzMx0rxKXjeIGMYbP0PEzKXAJiex-zeYFbvHKmv3wxCNV7f1MCxoncq2mbw6CGQVILxqLLXqUH50icV2xZsc2upVfnd5M7EY6haaHEzIGezsRA5vEDO1H16WCs9i-FFgNVH2pO4LaL3z33Uq3-0jSE_RgCQZ5u_ezaUTbBq4H6HbY0XsKVdo-ujkQfB8Eziuxpj7zCnTC-c-lLCCM08cD6nVRX0WyzHi-b88J4aDfyoqzM5f-6Ub-mcCVoce3vP3jt7jxdcJveBnxYfXiGk0r2UWrsdz-wNoSQzjATUR_qjJjLWw13oQfzSApHRtbOfR76KvWazVbqUDSQ48bILfBTSEXXrmYzmS9ac22FY6-KxZ4-aTJi65nttdT2zLqquFAnzsif5kJeM_cfyoI4Gc0IhwoDuUZIZYN9-q0sy1Ku1CXleNE32y6l9s-L5nMAwX7pdjdCp62S4093yzdwhqk2uovCkI7fjUHDyCBU2G-pfep5KrE33-BhDy0MCbDI3u3crmn68efsau3oLFWdefYSq6APGl-u1MbStML6SKRNQWCasRpoZyV2idjvWJhusAZ9o8TdBVI2tS7NM59UVeJWCIuzVH11T4ZF0VC4jF66Nl4tg</t>
  </si>
  <si>
    <t>DOE 1987 - Num Units</t>
  </si>
  <si>
    <t>units</t>
  </si>
  <si>
    <t>cost reduction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</si>
</sst>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4" fontId="0" fillId="2" borderId="0" xfId="0" applyNumberFormat="1" applyFill="1"/>
    <xf numFmtId="44" fontId="0" fillId="2" borderId="0" xfId="1" applyFont="1" applyFill="1"/>
    <xf numFmtId="4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2"/>
    <xf numFmtId="16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O&amp;M cost = f (number</a:t>
            </a:r>
            <a:r>
              <a:rPr lang="en-US" baseline="0"/>
              <a:t> of reactors)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3</c:v>
                </c:pt>
                <c:pt idx="4">
                  <c:v>10</c:v>
                </c:pt>
              </c:numCache>
            </c:numRef>
          </c:xVal>
          <c:yVal>
            <c:numRef>
              <c:f>Sheet2!$B$2:$B$6</c:f>
              <c:numCache>
                <c:formatCode>0.00</c:formatCode>
                <c:ptCount val="5"/>
                <c:pt idx="0">
                  <c:v>1</c:v>
                </c:pt>
                <c:pt idx="1">
                  <c:v>0.81580892892748391</c:v>
                </c:pt>
                <c:pt idx="2">
                  <c:v>0.7804442432815607</c:v>
                </c:pt>
                <c:pt idx="3">
                  <c:v>0.87606837606837618</c:v>
                </c:pt>
                <c:pt idx="4">
                  <c:v>0.69717624148003898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C-434A-83AC-9A19EE751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422496"/>
        <c:axId val="1415029280"/>
      </c:scatterChart>
      <c:valAx>
        <c:axId val="14154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029280"/>
        <c:crosses val="autoZero"/>
        <c:crossBetween val="midCat"/>
      </c:valAx>
      <c:valAx>
        <c:axId val="14150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42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Total normzlied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Sheet3!$E$2:$E$8</c:f>
              <c:numCache>
                <c:formatCode>General</c:formatCode>
                <c:ptCount val="7"/>
                <c:pt idx="0">
                  <c:v>1</c:v>
                </c:pt>
                <c:pt idx="1">
                  <c:v>0.72903225806451621</c:v>
                </c:pt>
                <c:pt idx="2">
                  <c:v>0.6064516129032258</c:v>
                </c:pt>
                <c:pt idx="3">
                  <c:v>0.5741935483870968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2-E64E-A6CD-63CE2914F288}"/>
            </c:ext>
          </c:extLst>
        </c:ser>
        <c:ser>
          <c:idx val="1"/>
          <c:order val="1"/>
          <c:tx>
            <c:strRef>
              <c:f>Sheet3!$M$1</c:f>
              <c:strCache>
                <c:ptCount val="1"/>
                <c:pt idx="0">
                  <c:v>NEI 2023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Sheet3!$K$2:$K$3</c:f>
              <c:numCache>
                <c:formatCode>General</c:formatCode>
                <c:ptCount val="2"/>
                <c:pt idx="0">
                  <c:v>1</c:v>
                </c:pt>
                <c:pt idx="1">
                  <c:v>2.1666666666666665</c:v>
                </c:pt>
              </c:numCache>
            </c:numRef>
          </c:xVal>
          <c:yVal>
            <c:numRef>
              <c:f>Sheet3!$M$2:$M$3</c:f>
              <c:numCache>
                <c:formatCode>0.00</c:formatCode>
                <c:ptCount val="2"/>
                <c:pt idx="0">
                  <c:v>1</c:v>
                </c:pt>
                <c:pt idx="1">
                  <c:v>0.69717624148003898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92-E64E-A6CD-63CE2914F288}"/>
            </c:ext>
          </c:extLst>
        </c:ser>
        <c:ser>
          <c:idx val="2"/>
          <c:order val="2"/>
          <c:tx>
            <c:strRef>
              <c:f>Sheet3!$T$1</c:f>
              <c:strCache>
                <c:ptCount val="1"/>
                <c:pt idx="0">
                  <c:v>number of units:ICONE 2008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Sheet3!$T$2:$T$5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Sheet3!$V$2:$V$5</c:f>
              <c:numCache>
                <c:formatCode>General</c:formatCode>
                <c:ptCount val="4"/>
                <c:pt idx="0">
                  <c:v>1</c:v>
                </c:pt>
                <c:pt idx="1">
                  <c:v>0.78458409789675077</c:v>
                </c:pt>
                <c:pt idx="2">
                  <c:v>0.61557220667245816</c:v>
                </c:pt>
                <c:pt idx="3">
                  <c:v>0.48296816446242274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92-E64E-A6CD-63CE2914F288}"/>
            </c:ext>
          </c:extLst>
        </c:ser>
        <c:ser>
          <c:idx val="3"/>
          <c:order val="3"/>
          <c:tx>
            <c:strRef>
              <c:f>Sheet3!$AK$1</c:f>
              <c:strCache>
                <c:ptCount val="1"/>
                <c:pt idx="0">
                  <c:v>cost reduction factor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Sheet3!$AJ$2:$AJ$8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  <c:pt idx="6">
                  <c:v>10000</c:v>
                </c:pt>
              </c:numCache>
            </c:numRef>
          </c:xVal>
          <c:yVal>
            <c:numRef>
              <c:f>Sheet3!$AK$2:$AK$8</c:f>
              <c:numCache>
                <c:formatCode>General</c:formatCode>
                <c:ptCount val="7"/>
                <c:pt idx="0">
                  <c:v>1</c:v>
                </c:pt>
                <c:pt idx="1">
                  <c:v>0.73670692000000004</c:v>
                </c:pt>
                <c:pt idx="2">
                  <c:v>0.64894255999999995</c:v>
                </c:pt>
                <c:pt idx="3">
                  <c:v>0.52607245599999997</c:v>
                </c:pt>
                <c:pt idx="4">
                  <c:v>0.47867970159999995</c:v>
                </c:pt>
                <c:pt idx="5">
                  <c:v>0.47394042615999998</c:v>
                </c:pt>
                <c:pt idx="6">
                  <c:v>0.47346649861599999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92-E64E-A6CD-63CE2914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152464"/>
        <c:axId val="1911154176"/>
      </c:scatterChart>
      <c:valAx>
        <c:axId val="1911152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154176"/>
        <c:crosses val="autoZero"/>
        <c:crossBetween val="midCat"/>
      </c:valAx>
      <c:valAx>
        <c:axId val="19111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15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747274</xdr:colOff>
      <xdr:row>3</xdr:row>
      <xdr:rowOff>77913</xdr:rowOff>
    </xdr:from>
    <xdr:to>
      <xdr:col>11</xdr:col>
      <xdr:colOff>46748</xdr:colOff>
      <xdr:row>16</xdr:row>
      <xdr:rowOff>116013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78339-DF47-1346-0A61-165F5C7FF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674980</xdr:colOff>
      <xdr:row>5</xdr:row>
      <xdr:rowOff>63177</xdr:rowOff>
    </xdr:from>
    <xdr:to>
      <xdr:col>4</xdr:col>
      <xdr:colOff>1556410</xdr:colOff>
      <xdr:row>18</xdr:row>
      <xdr:rowOff>147986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E1886-6DC9-8C72-25D1-10358A3A8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i.org/resources/reports-briefs/nuclear-costs-in-conte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sti.gov/servlets/purl/6511284" TargetMode="External"/><Relationship Id="rId2" Type="http://schemas.openxmlformats.org/officeDocument/2006/relationships/hyperlink" Target="https://www.nei.org/resources/reports-briefs/nuclear-costs-in-context" TargetMode="External"/><Relationship Id="rId1" Type="http://schemas.openxmlformats.org/officeDocument/2006/relationships/hyperlink" Target="https://www.osti.gov/biblio/713993:%20Table2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688B-8CA3-384F-A65F-3A21AB01C746}">
  <dimension ref="B3:H22"/>
  <sheetViews>
    <sheetView zoomScale="137" workbookViewId="0">
      <selection activeCell="B16" sqref="B16"/>
    </sheetView>
  </sheetViews>
  <sheetFormatPr baseColWidth="10" defaultColWidth="11" defaultRowHeight="16" x14ac:dyDescent="0.2"/>
  <cols>
    <col min="3" max="3" width="16.33203125" customWidth="1"/>
    <col min="4" max="4" width="62.6640625" customWidth="1"/>
  </cols>
  <sheetData>
    <row r="3" spans="2:8" x14ac:dyDescent="0.2">
      <c r="C3" t="s">
        <v>0</v>
      </c>
    </row>
    <row r="4" spans="2:8" x14ac:dyDescent="0.2">
      <c r="B4">
        <v>1</v>
      </c>
      <c r="C4" s="1">
        <v>32.231448232379201</v>
      </c>
      <c r="D4" s="2">
        <v>22.06</v>
      </c>
      <c r="F4" s="3">
        <f>SUM(C4:D4)</f>
        <v>54.291448232379196</v>
      </c>
      <c r="H4" s="4">
        <v>1</v>
      </c>
    </row>
    <row r="5" spans="2:8" x14ac:dyDescent="0.2">
      <c r="B5">
        <v>4</v>
      </c>
      <c r="C5" s="1">
        <v>22.231448232379208</v>
      </c>
      <c r="D5" s="2">
        <v>22.06</v>
      </c>
      <c r="F5" s="3">
        <f>SUM(C5:D5)</f>
        <v>44.29144823237921</v>
      </c>
      <c r="H5" s="4">
        <f>F5/F4</f>
        <v>0.81580892892748391</v>
      </c>
    </row>
    <row r="6" spans="2:8" x14ac:dyDescent="0.2">
      <c r="B6">
        <v>10</v>
      </c>
      <c r="C6" s="1">
        <v>20.231448232379208</v>
      </c>
      <c r="D6" s="2">
        <v>22.14</v>
      </c>
      <c r="F6" s="3">
        <f>SUM(C6:D6)</f>
        <v>42.371448232379208</v>
      </c>
      <c r="H6" s="4">
        <f>F6/F4</f>
        <v>0.7804442432815607</v>
      </c>
    </row>
    <row r="9" spans="2:8" x14ac:dyDescent="0.2">
      <c r="C9" t="s">
        <v>1</v>
      </c>
    </row>
    <row r="10" spans="2:8" x14ac:dyDescent="0.2">
      <c r="B10">
        <v>1</v>
      </c>
      <c r="C10" s="5">
        <v>11</v>
      </c>
      <c r="D10" s="5">
        <v>12.4</v>
      </c>
      <c r="F10" s="3">
        <f>SUM(C10:D10)</f>
        <v>23.4</v>
      </c>
      <c r="H10" s="4">
        <v>1</v>
      </c>
    </row>
    <row r="11" spans="2:8" x14ac:dyDescent="0.2">
      <c r="B11">
        <v>3</v>
      </c>
      <c r="C11" s="5">
        <v>8.1</v>
      </c>
      <c r="D11" s="5">
        <v>12.4</v>
      </c>
      <c r="F11" s="3">
        <f t="shared" ref="F11" si="0">SUM(C11:D11)</f>
        <v>20.5</v>
      </c>
      <c r="H11" s="4">
        <f>F11/F10</f>
        <v>0.87606837606837618</v>
      </c>
    </row>
    <row r="12" spans="2:8" x14ac:dyDescent="0.2">
      <c r="F12" s="3"/>
      <c r="H12" s="4"/>
    </row>
    <row r="14" spans="2:8" x14ac:dyDescent="0.2">
      <c r="C14" t="s">
        <v>2</v>
      </c>
      <c r="D14" s="7" t="s">
        <v>3</v>
      </c>
    </row>
    <row r="15" spans="2:8" x14ac:dyDescent="0.2">
      <c r="B15">
        <v>1</v>
      </c>
      <c r="C15">
        <v>41.08</v>
      </c>
      <c r="H15" s="4">
        <v>1</v>
      </c>
    </row>
    <row r="16" spans="2:8" x14ac:dyDescent="0.2">
      <c r="B16" s="6">
        <f>C22</f>
        <v>2.1666666666666665</v>
      </c>
      <c r="C16">
        <v>28.64</v>
      </c>
      <c r="H16" s="4">
        <f>C16/C15</f>
        <v>0.69717624148003898</v>
      </c>
    </row>
    <row r="20" spans="2:3" x14ac:dyDescent="0.2">
      <c r="B20" t="s">
        <v>4</v>
      </c>
      <c r="C20" t="s">
        <v>5</v>
      </c>
    </row>
    <row r="22" spans="2:3" x14ac:dyDescent="0.2">
      <c r="B22" t="s">
        <v>6</v>
      </c>
      <c r="C22">
        <f>(31*2+4*3+1*4)/(31+4+1)</f>
        <v>2.1666666666666665</v>
      </c>
    </row>
  </sheetData>
  <hyperlinks>
    <hyperlink ref="D14" r:id="rId1" xr:uid="{275450E9-9F11-2B4F-9496-0B980BE920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A2F6-A25E-B349-A7B0-07B205172835}">
  <dimension ref="A1:D22"/>
  <sheetViews>
    <sheetView workbookViewId="0">
      <selection activeCell="B32" sqref="B32"/>
    </sheetView>
  </sheetViews>
  <sheetFormatPr baseColWidth="10" defaultColWidth="11" defaultRowHeight="16" x14ac:dyDescent="0.2"/>
  <cols>
    <col min="1" max="1" width="14.6640625" customWidth="1"/>
    <col min="2" max="2" width="16.5" customWidth="1"/>
  </cols>
  <sheetData>
    <row r="1" spans="1:4" x14ac:dyDescent="0.2">
      <c r="A1" t="s">
        <v>7</v>
      </c>
      <c r="B1" t="s">
        <v>8</v>
      </c>
      <c r="D1">
        <v>0.08</v>
      </c>
    </row>
    <row r="2" spans="1:4" x14ac:dyDescent="0.2">
      <c r="A2">
        <f>Sheet1!B4</f>
        <v>1</v>
      </c>
      <c r="B2" s="4">
        <f>Sheet1!H4</f>
        <v>1</v>
      </c>
      <c r="C2">
        <f>(1-$D$1)^(LOG(A2,2))</f>
        <v>1</v>
      </c>
    </row>
    <row r="3" spans="1:4" x14ac:dyDescent="0.2">
      <c r="A3">
        <f>Sheet1!B5</f>
        <v>4</v>
      </c>
      <c r="B3" s="4">
        <f>Sheet1!H5</f>
        <v>0.81580892892748391</v>
      </c>
      <c r="C3">
        <f t="shared" ref="C3:C5" si="0">(1-$D$1)^(LOG(A3,2))</f>
        <v>0.84640000000000004</v>
      </c>
    </row>
    <row r="4" spans="1:4" x14ac:dyDescent="0.2">
      <c r="A4">
        <f>Sheet1!B6</f>
        <v>10</v>
      </c>
      <c r="B4" s="4">
        <f>Sheet1!H6</f>
        <v>0.7804442432815607</v>
      </c>
      <c r="C4">
        <f t="shared" si="0"/>
        <v>0.75806381416425961</v>
      </c>
    </row>
    <row r="5" spans="1:4" x14ac:dyDescent="0.2">
      <c r="A5">
        <f>Sheet1!B11</f>
        <v>3</v>
      </c>
      <c r="B5" s="4">
        <f>Sheet1!H11</f>
        <v>0.87606837606837618</v>
      </c>
      <c r="C5">
        <f t="shared" si="0"/>
        <v>0.87620366268500505</v>
      </c>
    </row>
    <row r="6" spans="1:4" x14ac:dyDescent="0.2">
      <c r="A6">
        <v>10</v>
      </c>
      <c r="B6" s="4">
        <f>Sheet1!H16</f>
        <v>0.69717624148003898</v>
      </c>
    </row>
    <row r="7" spans="1:4" x14ac:dyDescent="0.2">
      <c r="B7" s="4"/>
    </row>
    <row r="8" spans="1:4" x14ac:dyDescent="0.2">
      <c r="B8" s="4"/>
    </row>
    <row r="9" spans="1:4" x14ac:dyDescent="0.2">
      <c r="B9" s="4"/>
    </row>
    <row r="10" spans="1:4" x14ac:dyDescent="0.2">
      <c r="B10" s="4"/>
    </row>
    <row r="11" spans="1:4" x14ac:dyDescent="0.2">
      <c r="A11" s="4"/>
    </row>
    <row r="12" spans="1:4" x14ac:dyDescent="0.2">
      <c r="B12" s="4"/>
    </row>
    <row r="13" spans="1:4" x14ac:dyDescent="0.2">
      <c r="B13" s="4"/>
    </row>
    <row r="14" spans="1:4" x14ac:dyDescent="0.2">
      <c r="B14" s="4"/>
    </row>
    <row r="15" spans="1:4" x14ac:dyDescent="0.2">
      <c r="B15" s="4"/>
    </row>
    <row r="16" spans="1:4" x14ac:dyDescent="0.2">
      <c r="B16" s="4"/>
    </row>
    <row r="17" spans="1:2" x14ac:dyDescent="0.2">
      <c r="B17" s="4"/>
    </row>
    <row r="18" spans="1:2" x14ac:dyDescent="0.2">
      <c r="B18" s="4"/>
    </row>
    <row r="19" spans="1:2" x14ac:dyDescent="0.2">
      <c r="A19">
        <v>10</v>
      </c>
      <c r="B19" s="4">
        <f>0.9869*(A19^-0.111)</f>
        <v>0.76431634825130568</v>
      </c>
    </row>
    <row r="20" spans="1:2" x14ac:dyDescent="0.2">
      <c r="A20">
        <v>100</v>
      </c>
      <c r="B20" s="4">
        <f>0.9869*(A20^-0.111)</f>
        <v>0.59193381315656213</v>
      </c>
    </row>
    <row r="21" spans="1:2" x14ac:dyDescent="0.2">
      <c r="A21">
        <v>1000</v>
      </c>
      <c r="B21" s="4">
        <f>0.9869*(A21^-0.111)</f>
        <v>0.45843012511733139</v>
      </c>
    </row>
    <row r="22" spans="1:2" x14ac:dyDescent="0.2">
      <c r="A22">
        <v>10000</v>
      </c>
      <c r="B22" s="4">
        <f>0.9869*(A22^-0.111)</f>
        <v>0.35503661886520205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C4F5-99BC-224D-ABA1-9F73D868505C}">
  <dimension ref="A1:AK8"/>
  <sheetViews>
    <sheetView tabSelected="1" topLeftCell="V1" zoomScale="125" workbookViewId="0">
      <selection activeCell="W17" sqref="W17"/>
    </sheetView>
  </sheetViews>
  <sheetFormatPr baseColWidth="10" defaultRowHeight="16" x14ac:dyDescent="0.2"/>
  <cols>
    <col min="1" max="1" width="23.83203125" customWidth="1"/>
    <col min="2" max="2" width="20.1640625" customWidth="1"/>
    <col min="3" max="4" width="14.1640625" customWidth="1"/>
    <col min="5" max="5" width="21" customWidth="1"/>
    <col min="6" max="6" width="24.5" customWidth="1"/>
    <col min="7" max="7" width="40.5" customWidth="1"/>
    <col min="8" max="8" width="31.1640625" customWidth="1"/>
    <col min="11" max="11" width="22.1640625" customWidth="1"/>
    <col min="14" max="14" width="61.33203125" customWidth="1"/>
    <col min="20" max="20" width="32.6640625" customWidth="1"/>
    <col min="21" max="21" width="14.5" customWidth="1"/>
    <col min="22" max="22" width="26.1640625" customWidth="1"/>
    <col min="23" max="23" width="131.83203125" customWidth="1"/>
    <col min="25" max="25" width="28.83203125" customWidth="1"/>
    <col min="28" max="28" width="42.5" customWidth="1"/>
  </cols>
  <sheetData>
    <row r="1" spans="1:37" x14ac:dyDescent="0.2">
      <c r="A1" t="s">
        <v>30</v>
      </c>
      <c r="B1" t="s">
        <v>11</v>
      </c>
      <c r="C1" t="s">
        <v>12</v>
      </c>
      <c r="D1" t="s">
        <v>13</v>
      </c>
      <c r="E1" t="s">
        <v>14</v>
      </c>
      <c r="F1" t="s">
        <v>27</v>
      </c>
      <c r="G1" t="s">
        <v>9</v>
      </c>
      <c r="H1" t="s">
        <v>15</v>
      </c>
      <c r="I1" s="8">
        <v>0.50897477000000002</v>
      </c>
      <c r="K1" t="s">
        <v>24</v>
      </c>
      <c r="L1" t="s">
        <v>17</v>
      </c>
      <c r="M1" t="s">
        <v>26</v>
      </c>
      <c r="T1" t="s">
        <v>25</v>
      </c>
      <c r="U1" t="s">
        <v>19</v>
      </c>
      <c r="V1" t="s">
        <v>28</v>
      </c>
      <c r="W1" t="s">
        <v>29</v>
      </c>
      <c r="Y1" t="s">
        <v>18</v>
      </c>
      <c r="Z1" t="s">
        <v>19</v>
      </c>
      <c r="AA1" t="s">
        <v>20</v>
      </c>
      <c r="AB1" s="7" t="s">
        <v>21</v>
      </c>
      <c r="AJ1" t="s">
        <v>31</v>
      </c>
      <c r="AK1" t="s">
        <v>32</v>
      </c>
    </row>
    <row r="2" spans="1:37" x14ac:dyDescent="0.2">
      <c r="A2">
        <v>1</v>
      </c>
      <c r="B2">
        <v>20.5</v>
      </c>
      <c r="C2">
        <v>10.5</v>
      </c>
      <c r="D2">
        <f>C2+B2</f>
        <v>31</v>
      </c>
      <c r="E2">
        <f>D2/$D$2</f>
        <v>1</v>
      </c>
      <c r="F2">
        <f>($I$1/A2)+$I$2</f>
        <v>1</v>
      </c>
      <c r="G2" s="7" t="s">
        <v>10</v>
      </c>
      <c r="H2" t="s">
        <v>16</v>
      </c>
      <c r="I2" s="8">
        <f>1-I1</f>
        <v>0.49102522999999998</v>
      </c>
      <c r="K2">
        <v>1</v>
      </c>
      <c r="L2">
        <v>41.08</v>
      </c>
      <c r="M2" s="4">
        <v>1</v>
      </c>
      <c r="N2" s="7" t="s">
        <v>3</v>
      </c>
      <c r="T2">
        <v>1</v>
      </c>
      <c r="U2">
        <f>T2^0.65</f>
        <v>1</v>
      </c>
      <c r="V2">
        <f>U2/T2</f>
        <v>1</v>
      </c>
      <c r="Y2">
        <v>1</v>
      </c>
      <c r="Z2">
        <f>(1/3)+(2/3)*Y2</f>
        <v>1</v>
      </c>
      <c r="AA2">
        <f>Z2/Y2</f>
        <v>1</v>
      </c>
      <c r="AB2" t="s">
        <v>22</v>
      </c>
      <c r="AJ2">
        <v>1</v>
      </c>
      <c r="AK2">
        <f>(0.52658616/AJ2)+(1-0.52658616)</f>
        <v>1</v>
      </c>
    </row>
    <row r="3" spans="1:37" x14ac:dyDescent="0.2">
      <c r="A3">
        <v>2</v>
      </c>
      <c r="B3">
        <v>12.2</v>
      </c>
      <c r="C3">
        <v>10.4</v>
      </c>
      <c r="D3">
        <f t="shared" ref="D3:D5" si="0">C3+B3</f>
        <v>22.6</v>
      </c>
      <c r="E3">
        <f t="shared" ref="E3:E5" si="1">D3/$D$2</f>
        <v>0.72903225806451621</v>
      </c>
      <c r="F3">
        <f t="shared" ref="F3:F5" si="2">($I$1/A3)+$I$2</f>
        <v>0.74551261499999999</v>
      </c>
      <c r="K3" s="6">
        <f>Sheet1!B16</f>
        <v>2.1666666666666665</v>
      </c>
      <c r="L3">
        <v>28.64</v>
      </c>
      <c r="M3" s="4">
        <f>L3/L2</f>
        <v>0.69717624148003898</v>
      </c>
      <c r="T3">
        <v>2</v>
      </c>
      <c r="U3">
        <f t="shared" ref="U3:U5" si="3">T3^0.65</f>
        <v>1.5691681957935015</v>
      </c>
      <c r="V3">
        <f>U3/T3</f>
        <v>0.78458409789675077</v>
      </c>
      <c r="Y3">
        <v>2</v>
      </c>
      <c r="Z3">
        <f t="shared" ref="Z3:Z4" si="4">(1/3)+(2/3)*Y3</f>
        <v>1.6666666666666665</v>
      </c>
      <c r="AA3">
        <f t="shared" ref="AA3:AA4" si="5">Z3/Y3</f>
        <v>0.83333333333333326</v>
      </c>
      <c r="AB3" t="s">
        <v>23</v>
      </c>
      <c r="AJ3">
        <v>2</v>
      </c>
      <c r="AK3">
        <f t="shared" ref="AK3:AK8" si="6">(0.52658616/AJ3)+(1-0.52658616)</f>
        <v>0.73670692000000004</v>
      </c>
    </row>
    <row r="4" spans="1:37" x14ac:dyDescent="0.2">
      <c r="A4">
        <v>4</v>
      </c>
      <c r="B4">
        <v>8.4</v>
      </c>
      <c r="C4">
        <v>10.4</v>
      </c>
      <c r="D4">
        <f t="shared" si="0"/>
        <v>18.8</v>
      </c>
      <c r="E4">
        <f t="shared" si="1"/>
        <v>0.6064516129032258</v>
      </c>
      <c r="F4">
        <f t="shared" si="2"/>
        <v>0.61826892249999998</v>
      </c>
      <c r="T4">
        <v>4</v>
      </c>
      <c r="U4">
        <f t="shared" si="3"/>
        <v>2.4622888266898326</v>
      </c>
      <c r="V4">
        <f t="shared" ref="V4:V5" si="7">U4/T4</f>
        <v>0.61557220667245816</v>
      </c>
      <c r="Y4">
        <v>4</v>
      </c>
      <c r="Z4">
        <f t="shared" si="4"/>
        <v>3</v>
      </c>
      <c r="AA4">
        <f t="shared" si="5"/>
        <v>0.75</v>
      </c>
      <c r="AJ4">
        <v>3</v>
      </c>
      <c r="AK4">
        <f t="shared" si="6"/>
        <v>0.64894255999999995</v>
      </c>
    </row>
    <row r="5" spans="1:37" x14ac:dyDescent="0.2">
      <c r="A5">
        <v>8</v>
      </c>
      <c r="B5">
        <v>7.4</v>
      </c>
      <c r="C5">
        <v>10.4</v>
      </c>
      <c r="D5">
        <f t="shared" si="0"/>
        <v>17.8</v>
      </c>
      <c r="E5">
        <f t="shared" si="1"/>
        <v>0.5741935483870968</v>
      </c>
      <c r="F5">
        <f t="shared" si="2"/>
        <v>0.55464707624999998</v>
      </c>
      <c r="T5">
        <v>8</v>
      </c>
      <c r="U5">
        <f t="shared" si="3"/>
        <v>3.863745315699382</v>
      </c>
      <c r="V5">
        <f t="shared" si="7"/>
        <v>0.48296816446242274</v>
      </c>
      <c r="AJ5">
        <v>10</v>
      </c>
      <c r="AK5">
        <f t="shared" si="6"/>
        <v>0.52607245599999997</v>
      </c>
    </row>
    <row r="6" spans="1:37" x14ac:dyDescent="0.2">
      <c r="AJ6">
        <v>100</v>
      </c>
      <c r="AK6">
        <f t="shared" si="6"/>
        <v>0.47867970159999995</v>
      </c>
    </row>
    <row r="7" spans="1:37" x14ac:dyDescent="0.2">
      <c r="AJ7">
        <v>1000</v>
      </c>
      <c r="AK7">
        <f t="shared" si="6"/>
        <v>0.47394042615999998</v>
      </c>
    </row>
    <row r="8" spans="1:37" x14ac:dyDescent="0.2">
      <c r="AJ8">
        <v>10000</v>
      </c>
      <c r="AK8">
        <f t="shared" si="6"/>
        <v>0.47346649861599999</v>
      </c>
    </row>
  </sheetData>
  <hyperlinks>
    <hyperlink ref="G2" r:id="rId1" xr:uid="{F867EB08-3933-1E4F-9666-0DF51B3D38A8}"/>
    <hyperlink ref="N2" r:id="rId2" xr:uid="{A124BE18-C1C3-484A-B3AB-837C014E12D8}"/>
    <hyperlink ref="AB1" r:id="rId3" xr:uid="{B867B980-DD65-0B41-80CC-9C954668D2C6}"/>
  </hyperlinks>
  <pageMargins left="0.7" right="0.7" top="0.75" bottom="0.75" header="0.3" footer="0.3"/>
  <pageSetup orientation="portrait" horizontalDpi="0" verticalDpi="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7A0E2AA753C47926177B947DD6391" ma:contentTypeVersion="13" ma:contentTypeDescription="Create a new document." ma:contentTypeScope="" ma:versionID="5012c4acee56117f3f4e80412ca95e20">
  <xsd:schema xmlns:xsd="http://www.w3.org/2001/XMLSchema" xmlns:xs="http://www.w3.org/2001/XMLSchema" xmlns:p="http://schemas.microsoft.com/office/2006/metadata/properties" xmlns:ns2="0943e46d-6530-4b5a-a099-77978fe84e80" xmlns:ns3="d6972360-6434-421a-bdc3-f3efb9efa244" targetNamespace="http://schemas.microsoft.com/office/2006/metadata/properties" ma:root="true" ma:fieldsID="c4e4319f6035978bd33442b9a917a35e" ns2:_="" ns3:_="">
    <xsd:import namespace="0943e46d-6530-4b5a-a099-77978fe84e80"/>
    <xsd:import namespace="d6972360-6434-421a-bdc3-f3efb9efa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3e46d-6530-4b5a-a099-77978fe84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72360-6434-421a-bdc3-f3efb9efa2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bb6ae0-887b-4e86-81c1-0ea42d428874}" ma:internalName="TaxCatchAll" ma:showField="CatchAllData" ma:web="d6972360-6434-421a-bdc3-f3efb9efa2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E4B09-545F-428C-964F-34D014FD5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3e46d-6530-4b5a-a099-77978fe84e80"/>
    <ds:schemaRef ds:uri="d6972360-6434-421a-bdc3-f3efb9efa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91D083-7DB1-43C8-9CC7-2E6E924EDD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Abdalla Abou Jaoude</dc:creator>
  <cp:keywords/>
  <dc:description/>
  <cp:lastModifiedBy>Botros N. Hanna</cp:lastModifiedBy>
  <cp:revision/>
  <dcterms:created xsi:type="dcterms:W3CDTF">2024-07-15T00:05:58Z</dcterms:created>
  <dcterms:modified xsi:type="dcterms:W3CDTF">2024-08-12T14:57:52Z</dcterms:modified>
  <cp:category/>
  <cp:contentStatus/>
</cp:coreProperties>
</file>