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Oihan\Desktop\AC Project\"/>
    </mc:Choice>
  </mc:AlternateContent>
  <xr:revisionPtr revIDLastSave="0" documentId="13_ncr:1_{10CBD99C-69E1-4639-A0DD-B2A7A8A8E40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8" i="1" l="1"/>
  <c r="F10" i="1"/>
  <c r="G10" i="1" s="1"/>
  <c r="G8" i="1"/>
  <c r="F7" i="1"/>
  <c r="G7" i="1" s="1"/>
  <c r="AB14" i="1"/>
  <c r="AA14" i="1"/>
  <c r="Z14" i="1"/>
  <c r="Y14" i="1"/>
  <c r="X14" i="1"/>
  <c r="T14" i="1"/>
  <c r="U14" i="1" s="1"/>
  <c r="S14" i="1"/>
  <c r="R14" i="1"/>
  <c r="Q14" i="1"/>
  <c r="M14" i="1"/>
  <c r="N14" i="1" s="1"/>
  <c r="L14" i="1"/>
  <c r="K14" i="1"/>
  <c r="J14" i="1"/>
  <c r="G14" i="1"/>
  <c r="F14" i="1"/>
  <c r="E14" i="1"/>
  <c r="D14" i="1"/>
  <c r="C14" i="1"/>
  <c r="AA13" i="1"/>
  <c r="AB13" i="1" s="1"/>
  <c r="Z13" i="1"/>
  <c r="Y13" i="1"/>
  <c r="X13" i="1"/>
  <c r="V13" i="1"/>
  <c r="W13" i="1" s="1"/>
  <c r="U13" i="1"/>
  <c r="T13" i="1"/>
  <c r="S13" i="1"/>
  <c r="R13" i="1"/>
  <c r="Q13" i="1"/>
  <c r="N13" i="1"/>
  <c r="M13" i="1"/>
  <c r="L13" i="1"/>
  <c r="K13" i="1"/>
  <c r="J13" i="1"/>
  <c r="F13" i="1"/>
  <c r="G13" i="1" s="1"/>
  <c r="E13" i="1"/>
  <c r="D13" i="1"/>
  <c r="C13" i="1"/>
  <c r="AA12" i="1"/>
  <c r="AB12" i="1" s="1"/>
  <c r="Z12" i="1"/>
  <c r="Y12" i="1"/>
  <c r="X12" i="1"/>
  <c r="T12" i="1"/>
  <c r="U12" i="1" s="1"/>
  <c r="S12" i="1"/>
  <c r="R12" i="1"/>
  <c r="Q12" i="1"/>
  <c r="M12" i="1"/>
  <c r="N12" i="1" s="1"/>
  <c r="L12" i="1"/>
  <c r="K12" i="1"/>
  <c r="J12" i="1"/>
  <c r="F12" i="1"/>
  <c r="G12" i="1" s="1"/>
  <c r="E12" i="1"/>
  <c r="D12" i="1"/>
  <c r="C12" i="1"/>
  <c r="AC11" i="1"/>
  <c r="AD11" i="1" s="1"/>
  <c r="AA11" i="1"/>
  <c r="AB11" i="1" s="1"/>
  <c r="Z11" i="1"/>
  <c r="Y11" i="1"/>
  <c r="X11" i="1"/>
  <c r="V11" i="1"/>
  <c r="W11" i="1" s="1"/>
  <c r="T11" i="1"/>
  <c r="U11" i="1" s="1"/>
  <c r="S11" i="1"/>
  <c r="R11" i="1"/>
  <c r="Q11" i="1"/>
  <c r="M11" i="1"/>
  <c r="N11" i="1" s="1"/>
  <c r="L11" i="1"/>
  <c r="K11" i="1"/>
  <c r="J11" i="1"/>
  <c r="F11" i="1"/>
  <c r="G11" i="1" s="1"/>
  <c r="E11" i="1"/>
  <c r="D11" i="1"/>
  <c r="C11" i="1"/>
  <c r="AA10" i="1"/>
  <c r="AB10" i="1" s="1"/>
  <c r="Z10" i="1"/>
  <c r="Y10" i="1"/>
  <c r="X10" i="1"/>
  <c r="V10" i="1"/>
  <c r="W10" i="1" s="1"/>
  <c r="U10" i="1"/>
  <c r="T10" i="1"/>
  <c r="S10" i="1"/>
  <c r="R10" i="1"/>
  <c r="Q10" i="1"/>
  <c r="N10" i="1"/>
  <c r="M10" i="1"/>
  <c r="L10" i="1"/>
  <c r="K10" i="1"/>
  <c r="J10" i="1"/>
  <c r="I10" i="1"/>
  <c r="H10" i="1"/>
  <c r="E10" i="1"/>
  <c r="D10" i="1"/>
  <c r="C10" i="1"/>
  <c r="AB9" i="1"/>
  <c r="AA9" i="1"/>
  <c r="Z9" i="1"/>
  <c r="Y9" i="1"/>
  <c r="X9" i="1"/>
  <c r="U9" i="1"/>
  <c r="T9" i="1"/>
  <c r="S9" i="1"/>
  <c r="R9" i="1"/>
  <c r="Q9" i="1"/>
  <c r="V9" i="1" s="1"/>
  <c r="W9" i="1" s="1"/>
  <c r="N9" i="1"/>
  <c r="M9" i="1"/>
  <c r="L9" i="1"/>
  <c r="K9" i="1"/>
  <c r="J9" i="1"/>
  <c r="F9" i="1"/>
  <c r="G9" i="1" s="1"/>
  <c r="E9" i="1"/>
  <c r="D9" i="1"/>
  <c r="C9" i="1"/>
  <c r="AD8" i="1"/>
  <c r="AB8" i="1"/>
  <c r="AA8" i="1"/>
  <c r="Z8" i="1"/>
  <c r="Y8" i="1"/>
  <c r="X8" i="1"/>
  <c r="T8" i="1"/>
  <c r="U8" i="1" s="1"/>
  <c r="S8" i="1"/>
  <c r="R8" i="1"/>
  <c r="Q8" i="1"/>
  <c r="M8" i="1"/>
  <c r="N8" i="1" s="1"/>
  <c r="L8" i="1"/>
  <c r="K8" i="1"/>
  <c r="J8" i="1"/>
  <c r="F8" i="1"/>
  <c r="E8" i="1"/>
  <c r="D8" i="1"/>
  <c r="C8" i="1"/>
  <c r="H8" i="1" s="1"/>
  <c r="I8" i="1" s="1"/>
  <c r="AC7" i="1"/>
  <c r="AD7" i="1" s="1"/>
  <c r="AA7" i="1"/>
  <c r="AB7" i="1" s="1"/>
  <c r="Z7" i="1"/>
  <c r="Y7" i="1"/>
  <c r="X7" i="1"/>
  <c r="AC14" i="1" s="1"/>
  <c r="AD14" i="1" s="1"/>
  <c r="V7" i="1"/>
  <c r="W7" i="1" s="1"/>
  <c r="T7" i="1"/>
  <c r="U7" i="1" s="1"/>
  <c r="S7" i="1"/>
  <c r="R7" i="1"/>
  <c r="Q7" i="1"/>
  <c r="V12" i="1" s="1"/>
  <c r="W12" i="1" s="1"/>
  <c r="M7" i="1"/>
  <c r="N7" i="1" s="1"/>
  <c r="L7" i="1"/>
  <c r="K7" i="1"/>
  <c r="J7" i="1"/>
  <c r="O11" i="1" s="1"/>
  <c r="P11" i="1" s="1"/>
  <c r="I7" i="1"/>
  <c r="H7" i="1"/>
  <c r="E7" i="1"/>
  <c r="D7" i="1"/>
  <c r="C7" i="1"/>
  <c r="H13" i="1" s="1"/>
  <c r="I13" i="1" s="1"/>
  <c r="O8" i="1" l="1"/>
  <c r="P8" i="1" s="1"/>
  <c r="O10" i="1"/>
  <c r="P10" i="1" s="1"/>
  <c r="O14" i="1"/>
  <c r="P14" i="1" s="1"/>
  <c r="H12" i="1"/>
  <c r="I12" i="1" s="1"/>
  <c r="O7" i="1"/>
  <c r="P7" i="1" s="1"/>
  <c r="AC9" i="1"/>
  <c r="AD9" i="1" s="1"/>
  <c r="AC13" i="1"/>
  <c r="AD13" i="1" s="1"/>
  <c r="O9" i="1"/>
  <c r="P9" i="1" s="1"/>
  <c r="O13" i="1"/>
  <c r="P13" i="1" s="1"/>
  <c r="H11" i="1"/>
  <c r="I11" i="1" s="1"/>
  <c r="AC12" i="1"/>
  <c r="AD12" i="1" s="1"/>
  <c r="V14" i="1"/>
  <c r="W14" i="1" s="1"/>
  <c r="O12" i="1"/>
  <c r="P12" i="1" s="1"/>
  <c r="H14" i="1"/>
  <c r="I14" i="1" s="1"/>
  <c r="H9" i="1"/>
  <c r="I9" i="1" s="1"/>
  <c r="AC10" i="1"/>
  <c r="AD10" i="1" s="1"/>
  <c r="V8" i="1"/>
  <c r="W8" i="1" s="1"/>
</calcChain>
</file>

<file path=xl/sharedStrings.xml><?xml version="1.0" encoding="utf-8"?>
<sst xmlns="http://schemas.openxmlformats.org/spreadsheetml/2006/main" count="36" uniqueCount="15">
  <si>
    <t>Parallel K-means clustering with OpenMP - Times Analysis Graphs</t>
  </si>
  <si>
    <t>TIME TABLE</t>
  </si>
  <si>
    <t>Sample Size = 1 000</t>
  </si>
  <si>
    <t>Sample Size = 10 000</t>
  </si>
  <si>
    <t>Sample Size = 100 000</t>
  </si>
  <si>
    <t>Total Sample</t>
  </si>
  <si>
    <t>No. of Threads</t>
  </si>
  <si>
    <t>Mean Time (Avg.)</t>
  </si>
  <si>
    <t>Min. Value</t>
  </si>
  <si>
    <t>Max. Value</t>
  </si>
  <si>
    <t>Variance</t>
  </si>
  <si>
    <t>Standard Deviation</t>
  </si>
  <si>
    <t>Speed-Up</t>
  </si>
  <si>
    <t>Efficiency</t>
  </si>
  <si>
    <t>Serial: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</si>
</sst>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_###0.000\ [$ ms]"/>
    <numFmt numFmtId="165" formatCode="#_###0.000"/>
  </numFmts>
  <fonts count="9" x14ac:knownFonts="1">
    <font>
      <sz val="10"/>
      <color rgb="FF000000"/>
      <name val="Arial"/>
    </font>
    <font>
      <sz val="24"/>
      <color theme="4"/>
      <name val="Arial"/>
    </font>
    <font>
      <b/>
      <sz val="10"/>
      <color theme="0"/>
      <name val="Arial"/>
    </font>
    <font>
      <sz val="10"/>
      <name val="Arial"/>
    </font>
    <font>
      <b/>
      <sz val="10"/>
      <name val="Arial"/>
    </font>
    <font>
      <b/>
      <sz val="10"/>
      <color rgb="FFFFFFFF"/>
      <name val="Arial"/>
    </font>
    <font>
      <b/>
      <sz val="10"/>
      <color theme="0"/>
      <name val="Arial"/>
    </font>
    <font>
      <b/>
      <sz val="10"/>
      <color rgb="FFFFFFFF"/>
      <name val="Arial"/>
    </font>
    <font>
      <sz val="10"/>
      <color theme="1"/>
      <name val="Arial"/>
    </font>
  </fonts>
  <fills count="16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8E7CC3"/>
        <bgColor rgb="FF8E7CC3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theme="0"/>
        <bgColor rgb="FFE8F0FE"/>
      </patternFill>
    </fill>
    <fill>
      <patternFill patternType="solid">
        <fgColor rgb="FFE8F0FE"/>
        <bgColor rgb="FFFFFFFF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3" fillId="0" borderId="0" xfId="0" applyFont="1"/>
    <xf numFmtId="0" fontId="4" fillId="3" borderId="4" xfId="0" applyFont="1" applyFill="1" applyBorder="1" applyAlignment="1">
      <alignment wrapText="1"/>
    </xf>
    <xf numFmtId="0" fontId="6" fillId="7" borderId="10" xfId="0" applyFont="1" applyFill="1" applyBorder="1" applyAlignment="1">
      <alignment horizontal="center" wrapText="1"/>
    </xf>
    <xf numFmtId="0" fontId="6" fillId="7" borderId="11" xfId="0" applyFont="1" applyFill="1" applyBorder="1" applyAlignment="1">
      <alignment horizontal="center" wrapText="1"/>
    </xf>
    <xf numFmtId="0" fontId="6" fillId="7" borderId="12" xfId="0" applyFont="1" applyFill="1" applyBorder="1" applyAlignment="1">
      <alignment horizontal="center" wrapText="1"/>
    </xf>
    <xf numFmtId="0" fontId="6" fillId="7" borderId="13" xfId="0" applyFont="1" applyFill="1" applyBorder="1" applyAlignment="1">
      <alignment horizontal="center" wrapText="1"/>
    </xf>
    <xf numFmtId="0" fontId="7" fillId="7" borderId="13" xfId="0" applyFont="1" applyFill="1" applyBorder="1" applyAlignment="1">
      <alignment horizontal="center" wrapText="1"/>
    </xf>
    <xf numFmtId="0" fontId="7" fillId="7" borderId="14" xfId="0" applyFont="1" applyFill="1" applyBorder="1" applyAlignment="1">
      <alignment horizontal="center" wrapText="1"/>
    </xf>
    <xf numFmtId="0" fontId="6" fillId="8" borderId="11" xfId="0" applyFont="1" applyFill="1" applyBorder="1" applyAlignment="1">
      <alignment horizontal="center" wrapText="1"/>
    </xf>
    <xf numFmtId="0" fontId="6" fillId="8" borderId="12" xfId="0" applyFont="1" applyFill="1" applyBorder="1" applyAlignment="1">
      <alignment horizontal="center" wrapText="1"/>
    </xf>
    <xf numFmtId="0" fontId="6" fillId="8" borderId="13" xfId="0" applyFont="1" applyFill="1" applyBorder="1" applyAlignment="1">
      <alignment horizontal="center" wrapText="1"/>
    </xf>
    <xf numFmtId="0" fontId="7" fillId="8" borderId="13" xfId="0" applyFont="1" applyFill="1" applyBorder="1" applyAlignment="1">
      <alignment horizontal="center" wrapText="1"/>
    </xf>
    <xf numFmtId="0" fontId="7" fillId="8" borderId="14" xfId="0" applyFont="1" applyFill="1" applyBorder="1" applyAlignment="1">
      <alignment horizontal="center" wrapText="1"/>
    </xf>
    <xf numFmtId="0" fontId="6" fillId="9" borderId="11" xfId="0" applyFont="1" applyFill="1" applyBorder="1" applyAlignment="1">
      <alignment horizontal="center" wrapText="1"/>
    </xf>
    <xf numFmtId="0" fontId="6" fillId="9" borderId="12" xfId="0" applyFont="1" applyFill="1" applyBorder="1" applyAlignment="1">
      <alignment horizontal="center" wrapText="1"/>
    </xf>
    <xf numFmtId="0" fontId="6" fillId="9" borderId="13" xfId="0" applyFont="1" applyFill="1" applyBorder="1" applyAlignment="1">
      <alignment horizontal="center" wrapText="1"/>
    </xf>
    <xf numFmtId="0" fontId="7" fillId="9" borderId="13" xfId="0" applyFont="1" applyFill="1" applyBorder="1" applyAlignment="1">
      <alignment horizontal="center" wrapText="1"/>
    </xf>
    <xf numFmtId="0" fontId="7" fillId="9" borderId="14" xfId="0" applyFont="1" applyFill="1" applyBorder="1" applyAlignment="1">
      <alignment horizontal="center" wrapText="1"/>
    </xf>
    <xf numFmtId="0" fontId="5" fillId="10" borderId="15" xfId="0" applyFont="1" applyFill="1" applyBorder="1" applyAlignment="1">
      <alignment horizontal="center" wrapText="1"/>
    </xf>
    <xf numFmtId="0" fontId="5" fillId="10" borderId="16" xfId="0" applyFont="1" applyFill="1" applyBorder="1" applyAlignment="1">
      <alignment horizontal="center" wrapText="1"/>
    </xf>
    <xf numFmtId="0" fontId="5" fillId="10" borderId="17" xfId="0" applyFont="1" applyFill="1" applyBorder="1" applyAlignment="1">
      <alignment horizontal="center" wrapText="1"/>
    </xf>
    <xf numFmtId="0" fontId="5" fillId="10" borderId="18" xfId="0" applyFont="1" applyFill="1" applyBorder="1" applyAlignment="1">
      <alignment horizontal="center" wrapText="1"/>
    </xf>
    <xf numFmtId="0" fontId="3" fillId="0" borderId="0" xfId="0" applyFont="1" applyAlignment="1">
      <alignment horizontal="right"/>
    </xf>
    <xf numFmtId="0" fontId="4" fillId="11" borderId="19" xfId="0" applyFont="1" applyFill="1" applyBorder="1" applyAlignment="1">
      <alignment horizontal="center" wrapText="1"/>
    </xf>
    <xf numFmtId="164" fontId="8" fillId="0" borderId="11" xfId="0" applyNumberFormat="1" applyFont="1" applyBorder="1" applyAlignment="1">
      <alignment wrapText="1"/>
    </xf>
    <xf numFmtId="164" fontId="8" fillId="0" borderId="12" xfId="0" applyNumberFormat="1" applyFont="1" applyBorder="1" applyAlignment="1">
      <alignment wrapText="1"/>
    </xf>
    <xf numFmtId="165" fontId="8" fillId="0" borderId="12" xfId="0" applyNumberFormat="1" applyFont="1" applyBorder="1" applyAlignment="1">
      <alignment wrapText="1"/>
    </xf>
    <xf numFmtId="165" fontId="8" fillId="0" borderId="13" xfId="0" applyNumberFormat="1" applyFont="1" applyBorder="1" applyAlignment="1">
      <alignment wrapText="1"/>
    </xf>
    <xf numFmtId="165" fontId="8" fillId="0" borderId="14" xfId="0" applyNumberFormat="1" applyFont="1" applyBorder="1" applyAlignment="1">
      <alignment wrapText="1"/>
    </xf>
    <xf numFmtId="164" fontId="8" fillId="12" borderId="15" xfId="0" applyNumberFormat="1" applyFont="1" applyFill="1" applyBorder="1" applyAlignment="1">
      <alignment horizontal="right" wrapText="1"/>
    </xf>
    <xf numFmtId="164" fontId="8" fillId="12" borderId="16" xfId="0" applyNumberFormat="1" applyFont="1" applyFill="1" applyBorder="1" applyAlignment="1">
      <alignment horizontal="right" wrapText="1"/>
    </xf>
    <xf numFmtId="165" fontId="8" fillId="12" borderId="16" xfId="0" applyNumberFormat="1" applyFont="1" applyFill="1" applyBorder="1" applyAlignment="1">
      <alignment horizontal="right" wrapText="1"/>
    </xf>
    <xf numFmtId="165" fontId="8" fillId="12" borderId="11" xfId="0" applyNumberFormat="1" applyFont="1" applyFill="1" applyBorder="1" applyAlignment="1">
      <alignment horizontal="right" wrapText="1"/>
    </xf>
    <xf numFmtId="165" fontId="8" fillId="12" borderId="12" xfId="0" applyNumberFormat="1" applyFont="1" applyFill="1" applyBorder="1" applyAlignment="1">
      <alignment horizontal="right" wrapText="1"/>
    </xf>
    <xf numFmtId="165" fontId="8" fillId="12" borderId="20" xfId="0" applyNumberFormat="1" applyFont="1" applyFill="1" applyBorder="1" applyAlignment="1">
      <alignment horizontal="right" wrapText="1"/>
    </xf>
    <xf numFmtId="164" fontId="8" fillId="13" borderId="15" xfId="0" applyNumberFormat="1" applyFont="1" applyFill="1" applyBorder="1" applyAlignment="1">
      <alignment horizontal="right" wrapText="1"/>
    </xf>
    <xf numFmtId="164" fontId="8" fillId="13" borderId="16" xfId="0" applyNumberFormat="1" applyFont="1" applyFill="1" applyBorder="1" applyAlignment="1">
      <alignment horizontal="right" wrapText="1"/>
    </xf>
    <xf numFmtId="165" fontId="8" fillId="13" borderId="16" xfId="0" applyNumberFormat="1" applyFont="1" applyFill="1" applyBorder="1" applyAlignment="1">
      <alignment horizontal="right" wrapText="1"/>
    </xf>
    <xf numFmtId="165" fontId="8" fillId="13" borderId="20" xfId="0" applyNumberFormat="1" applyFont="1" applyFill="1" applyBorder="1" applyAlignment="1">
      <alignment horizontal="right" wrapText="1"/>
    </xf>
    <xf numFmtId="0" fontId="4" fillId="11" borderId="21" xfId="0" applyFont="1" applyFill="1" applyBorder="1" applyAlignment="1">
      <alignment horizontal="center" wrapText="1"/>
    </xf>
    <xf numFmtId="164" fontId="8" fillId="0" borderId="22" xfId="0" applyNumberFormat="1" applyFont="1" applyBorder="1" applyAlignment="1">
      <alignment wrapText="1"/>
    </xf>
    <xf numFmtId="164" fontId="8" fillId="0" borderId="23" xfId="0" applyNumberFormat="1" applyFont="1" applyBorder="1" applyAlignment="1">
      <alignment wrapText="1"/>
    </xf>
    <xf numFmtId="165" fontId="8" fillId="0" borderId="23" xfId="0" applyNumberFormat="1" applyFont="1" applyBorder="1" applyAlignment="1">
      <alignment wrapText="1"/>
    </xf>
    <xf numFmtId="165" fontId="8" fillId="0" borderId="24" xfId="0" applyNumberFormat="1" applyFont="1" applyBorder="1" applyAlignment="1">
      <alignment wrapText="1"/>
    </xf>
    <xf numFmtId="165" fontId="8" fillId="0" borderId="25" xfId="0" applyNumberFormat="1" applyFont="1" applyBorder="1" applyAlignment="1">
      <alignment wrapText="1"/>
    </xf>
    <xf numFmtId="164" fontId="8" fillId="13" borderId="26" xfId="0" applyNumberFormat="1" applyFont="1" applyFill="1" applyBorder="1" applyAlignment="1">
      <alignment horizontal="right" wrapText="1"/>
    </xf>
    <xf numFmtId="164" fontId="8" fillId="13" borderId="27" xfId="0" applyNumberFormat="1" applyFont="1" applyFill="1" applyBorder="1" applyAlignment="1">
      <alignment horizontal="right" wrapText="1"/>
    </xf>
    <xf numFmtId="165" fontId="8" fillId="13" borderId="27" xfId="0" applyNumberFormat="1" applyFont="1" applyFill="1" applyBorder="1" applyAlignment="1">
      <alignment horizontal="right" wrapText="1"/>
    </xf>
    <xf numFmtId="165" fontId="8" fillId="13" borderId="28" xfId="0" applyNumberFormat="1" applyFont="1" applyFill="1" applyBorder="1" applyAlignment="1">
      <alignment horizontal="right" wrapText="1"/>
    </xf>
    <xf numFmtId="0" fontId="8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3" fillId="0" borderId="0" xfId="0" applyFont="1" applyAlignment="1">
      <alignment wrapText="1"/>
    </xf>
    <xf numFmtId="165" fontId="8" fillId="14" borderId="20" xfId="0" applyNumberFormat="1" applyFont="1" applyFill="1" applyBorder="1" applyAlignment="1">
      <alignment horizontal="right" wrapText="1"/>
    </xf>
    <xf numFmtId="165" fontId="8" fillId="15" borderId="11" xfId="0" applyNumberFormat="1" applyFont="1" applyFill="1" applyBorder="1" applyAlignment="1">
      <alignment horizontal="right" wrapText="1"/>
    </xf>
    <xf numFmtId="165" fontId="8" fillId="15" borderId="12" xfId="0" applyNumberFormat="1" applyFont="1" applyFill="1" applyBorder="1" applyAlignment="1">
      <alignment horizontal="right" wrapText="1"/>
    </xf>
    <xf numFmtId="165" fontId="8" fillId="15" borderId="22" xfId="0" applyNumberFormat="1" applyFont="1" applyFill="1" applyBorder="1" applyAlignment="1">
      <alignment horizontal="right" wrapText="1"/>
    </xf>
    <xf numFmtId="165" fontId="8" fillId="15" borderId="23" xfId="0" applyNumberFormat="1" applyFont="1" applyFill="1" applyBorder="1" applyAlignment="1">
      <alignment horizontal="right" wrapText="1"/>
    </xf>
    <xf numFmtId="0" fontId="1" fillId="0" borderId="0" xfId="0" applyFont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3" fillId="0" borderId="5" xfId="0" applyFont="1" applyBorder="1"/>
    <xf numFmtId="0" fontId="3" fillId="0" borderId="6" xfId="0" applyFont="1" applyBorder="1"/>
    <xf numFmtId="0" fontId="5" fillId="4" borderId="7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wrapText="1"/>
    </xf>
    <xf numFmtId="0" fontId="5" fillId="6" borderId="8" xfId="0" applyFont="1" applyFill="1" applyBorder="1" applyAlignment="1">
      <alignment horizontal="center" wrapText="1"/>
    </xf>
    <xf numFmtId="0" fontId="3" fillId="0" borderId="9" xfId="0" applyFont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2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Hoja 1-style" pivot="0" count="2" xr9:uid="{00000000-0011-0000-FFFF-FFFF00000000}">
      <tableStyleElement type="firstRowStripe" dxfId="1"/>
      <tableStyleElement type="secondRowStripe" dxfId="0"/>
    </tableStyle>
  </tableStyles>
  <colors>
    <mruColors>
      <color rgb="FFE8F0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Execution Time per Thread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'Hoja 1'!$C$5:$I$5</c:f>
              <c:strCache>
                <c:ptCount val="1"/>
                <c:pt idx="0">
                  <c:v>Sample Size = 1 000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'Hoja 1'!$B$7:$B$14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  <c:pt idx="7">
                  <c:v>64</c:v>
                </c:pt>
              </c:numCache>
            </c:numRef>
          </c:cat>
          <c:val>
            <c:numRef>
              <c:f>'Hoja 1'!$C$7:$C$14</c:f>
              <c:numCache>
                <c:formatCode>#_###0.000\ [$ ms]</c:formatCode>
                <c:ptCount val="8"/>
                <c:pt idx="0">
                  <c:v>5.5600000000000004E-2</c:v>
                </c:pt>
                <c:pt idx="1">
                  <c:v>4.0400000000000005E-2</c:v>
                </c:pt>
                <c:pt idx="2">
                  <c:v>2.9599999999999998E-2</c:v>
                </c:pt>
                <c:pt idx="3">
                  <c:v>2.6000000000000002E-2</c:v>
                </c:pt>
                <c:pt idx="4">
                  <c:v>2.5600000000000001E-2</c:v>
                </c:pt>
                <c:pt idx="5">
                  <c:v>2.6000000000000002E-2</c:v>
                </c:pt>
                <c:pt idx="6">
                  <c:v>2.9399999999999999E-2</c:v>
                </c:pt>
                <c:pt idx="7">
                  <c:v>0.34720000000000001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52D6-4211-9718-7AF84DE868BF}"/>
            </c:ext>
          </c:extLst>
        </c:ser>
        <c:ser>
          <c:idx val="1"/>
          <c:order val="1"/>
          <c:tx>
            <c:strRef>
              <c:f>'Hoja 1'!$J$5:$P$5</c:f>
              <c:strCache>
                <c:ptCount val="1"/>
                <c:pt idx="0">
                  <c:v>Sample Size = 10 000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'Hoja 1'!$J$7:$J$14</c:f>
              <c:numCache>
                <c:formatCode>#_###0.000\ [$ ms]</c:formatCode>
                <c:ptCount val="8"/>
                <c:pt idx="0">
                  <c:v>1.2132000000000001</c:v>
                </c:pt>
                <c:pt idx="1">
                  <c:v>0.69539999999999991</c:v>
                </c:pt>
                <c:pt idx="2">
                  <c:v>0.44299999999999995</c:v>
                </c:pt>
                <c:pt idx="3">
                  <c:v>0.33999999999999997</c:v>
                </c:pt>
                <c:pt idx="4">
                  <c:v>0.2888</c:v>
                </c:pt>
                <c:pt idx="5">
                  <c:v>0.26420000000000005</c:v>
                </c:pt>
                <c:pt idx="6">
                  <c:v>0.25600000000000006</c:v>
                </c:pt>
                <c:pt idx="7">
                  <c:v>0.47020000000000001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52D6-4211-9718-7AF84DE868BF}"/>
            </c:ext>
          </c:extLst>
        </c:ser>
        <c:ser>
          <c:idx val="2"/>
          <c:order val="2"/>
          <c:tx>
            <c:strRef>
              <c:f>'Hoja 1'!$Q$5:$W$5</c:f>
              <c:strCache>
                <c:ptCount val="1"/>
                <c:pt idx="0">
                  <c:v>Sample Size = 100 000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'Hoja 1'!$Q$7:$Q$14</c:f>
              <c:numCache>
                <c:formatCode>#_###0.000\ [$ ms]</c:formatCode>
                <c:ptCount val="8"/>
                <c:pt idx="0">
                  <c:v>67.848600000000005</c:v>
                </c:pt>
                <c:pt idx="1">
                  <c:v>34.889599999999994</c:v>
                </c:pt>
                <c:pt idx="2">
                  <c:v>18.657999999999998</c:v>
                </c:pt>
                <c:pt idx="3">
                  <c:v>10.788</c:v>
                </c:pt>
                <c:pt idx="4">
                  <c:v>7.3803999999999998</c:v>
                </c:pt>
                <c:pt idx="5">
                  <c:v>5.7578000000000005</c:v>
                </c:pt>
                <c:pt idx="6">
                  <c:v>5.5485999999999995</c:v>
                </c:pt>
                <c:pt idx="7">
                  <c:v>5.08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52D6-4211-9718-7AF84DE868BF}"/>
            </c:ext>
          </c:extLst>
        </c:ser>
        <c:ser>
          <c:idx val="3"/>
          <c:order val="3"/>
          <c:tx>
            <c:strRef>
              <c:f>'Hoja 1'!$X$5:$AD$5</c:f>
              <c:strCache>
                <c:ptCount val="1"/>
                <c:pt idx="0">
                  <c:v>Total Sample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'Hoja 1'!$X$7:$X$14</c:f>
              <c:numCache>
                <c:formatCode>#_###0.000\ [$ ms]</c:formatCode>
                <c:ptCount val="8"/>
                <c:pt idx="0">
                  <c:v>211.10380000000001</c:v>
                </c:pt>
                <c:pt idx="1">
                  <c:v>111.1</c:v>
                </c:pt>
                <c:pt idx="2">
                  <c:v>56.878</c:v>
                </c:pt>
                <c:pt idx="3">
                  <c:v>30.940400000000004</c:v>
                </c:pt>
                <c:pt idx="4">
                  <c:v>19.7104</c:v>
                </c:pt>
                <c:pt idx="5">
                  <c:v>15.709499999999998</c:v>
                </c:pt>
                <c:pt idx="6">
                  <c:v>14.328399999999998</c:v>
                </c:pt>
                <c:pt idx="7">
                  <c:v>14.110800000000001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52D6-4211-9718-7AF84DE86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8542240"/>
        <c:axId val="1468537248"/>
      </c:lineChart>
      <c:catAx>
        <c:axId val="1468542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Threads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537248"/>
        <c:crosses val="autoZero"/>
        <c:auto val="1"/>
        <c:lblAlgn val="ctr"/>
        <c:lblOffset val="100"/>
        <c:noMultiLvlLbl val="0"/>
      </c:catAx>
      <c:valAx>
        <c:axId val="14685372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</a:t>
                </a:r>
                <a:r>
                  <a:rPr lang="en-GB" baseline="0"/>
                  <a:t> Average Time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_###0.000\ [$ ms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54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 w="19050"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Speed-up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v>S_2</c:v>
          </c:tx>
          <c:cat>
            <c:numLit>
              <c:formatCode>General</c:formatCode>
              <c:ptCount val="4"/>
              <c:pt idx="0">
                <c:v>1000</c:v>
              </c:pt>
              <c:pt idx="1">
                <c:v>10000</c:v>
              </c:pt>
              <c:pt idx="2">
                <c:v>100000</c:v>
              </c:pt>
              <c:pt idx="3">
                <c:v>250000</c:v>
              </c:pt>
            </c:numLit>
          </c:cat>
          <c:val>
            <c:numRef>
              <c:f>('Hoja 1'!$H$8,'Hoja 1'!$O$8,'Hoja 1'!$V$8,'Hoja 1'!$AC$8)</c:f>
              <c:numCache>
                <c:formatCode>#_###0.000</c:formatCode>
                <c:ptCount val="4"/>
                <c:pt idx="0">
                  <c:v>1.3762376237623761</c:v>
                </c:pt>
                <c:pt idx="1">
                  <c:v>1.7446074201898192</c:v>
                </c:pt>
                <c:pt idx="2">
                  <c:v>1.9446654590479688</c:v>
                </c:pt>
                <c:pt idx="3">
                  <c:v>1.9001242124212423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5-27E0-4E20-A2CD-E76FD0BD2832}"/>
            </c:ext>
          </c:extLst>
        </c:ser>
        <c:ser>
          <c:idx val="7"/>
          <c:order val="1"/>
          <c:tx>
            <c:v>S_4</c:v>
          </c:tx>
          <c:val>
            <c:numRef>
              <c:f>('Hoja 1'!$H$9,'Hoja 1'!$O$9,'Hoja 1'!$V$9,'Hoja 1'!$AC$9)</c:f>
              <c:numCache>
                <c:formatCode>#_###0.000</c:formatCode>
                <c:ptCount val="4"/>
                <c:pt idx="0">
                  <c:v>1.8783783783783787</c:v>
                </c:pt>
                <c:pt idx="1">
                  <c:v>2.7386004514672693</c:v>
                </c:pt>
                <c:pt idx="2">
                  <c:v>3.6364347732875983</c:v>
                </c:pt>
                <c:pt idx="3">
                  <c:v>3.7115193923836984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6-27E0-4E20-A2CD-E76FD0BD2832}"/>
            </c:ext>
          </c:extLst>
        </c:ser>
        <c:ser>
          <c:idx val="8"/>
          <c:order val="2"/>
          <c:tx>
            <c:v>S_8</c:v>
          </c:tx>
          <c:val>
            <c:numRef>
              <c:f>('Hoja 1'!$H$10,'Hoja 1'!$O$10,'Hoja 1'!$V$10,'Hoja 1'!$AC$10)</c:f>
              <c:numCache>
                <c:formatCode>#_###0.000</c:formatCode>
                <c:ptCount val="4"/>
                <c:pt idx="0">
                  <c:v>2.1384615384615384</c:v>
                </c:pt>
                <c:pt idx="1">
                  <c:v>3.5682352941176476</c:v>
                </c:pt>
                <c:pt idx="2">
                  <c:v>6.2892658509454948</c:v>
                </c:pt>
                <c:pt idx="3">
                  <c:v>6.8229176093392452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7-27E0-4E20-A2CD-E76FD0BD2832}"/>
            </c:ext>
          </c:extLst>
        </c:ser>
        <c:ser>
          <c:idx val="9"/>
          <c:order val="3"/>
          <c:tx>
            <c:v>S_16</c:v>
          </c:tx>
          <c:val>
            <c:numRef>
              <c:f>('Hoja 1'!$H$11,'Hoja 1'!$O$11,'Hoja 1'!$V$11,'Hoja 1'!$AC$11)</c:f>
              <c:numCache>
                <c:formatCode>#_###0.000</c:formatCode>
                <c:ptCount val="4"/>
                <c:pt idx="0">
                  <c:v>2.171875</c:v>
                </c:pt>
                <c:pt idx="1">
                  <c:v>4.2008310249307481</c:v>
                </c:pt>
                <c:pt idx="2">
                  <c:v>9.1930789659097076</c:v>
                </c:pt>
                <c:pt idx="3">
                  <c:v>10.710274778796981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8-27E0-4E20-A2CD-E76FD0BD2832}"/>
            </c:ext>
          </c:extLst>
        </c:ser>
        <c:ser>
          <c:idx val="10"/>
          <c:order val="4"/>
          <c:tx>
            <c:v>S_32</c:v>
          </c:tx>
          <c:val>
            <c:numRef>
              <c:f>('Hoja 1'!$H$12,'Hoja 1'!$O$12,'Hoja 1'!$V$12,'Hoja 1'!$AC$12)</c:f>
              <c:numCache>
                <c:formatCode>#_###0.000</c:formatCode>
                <c:ptCount val="4"/>
                <c:pt idx="0">
                  <c:v>2.1384615384615384</c:v>
                </c:pt>
                <c:pt idx="1">
                  <c:v>4.5919757759273274</c:v>
                </c:pt>
                <c:pt idx="2">
                  <c:v>11.783771579422696</c:v>
                </c:pt>
                <c:pt idx="3">
                  <c:v>13.437970654699388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9-27E0-4E20-A2CD-E76FD0BD2832}"/>
            </c:ext>
          </c:extLst>
        </c:ser>
        <c:ser>
          <c:idx val="0"/>
          <c:order val="5"/>
          <c:tx>
            <c:v>S_48</c:v>
          </c:tx>
          <c:val>
            <c:numRef>
              <c:f>('Hoja 1'!$H$13,'Hoja 1'!$O$13,'Hoja 1'!$V$13,'Hoja 1'!$AC$13)</c:f>
              <c:numCache>
                <c:formatCode>#_###0.000</c:formatCode>
                <c:ptCount val="4"/>
                <c:pt idx="0">
                  <c:v>1.8911564625850341</c:v>
                </c:pt>
                <c:pt idx="1">
                  <c:v>4.7390624999999993</c:v>
                </c:pt>
                <c:pt idx="2">
                  <c:v>12.22805752802509</c:v>
                </c:pt>
                <c:pt idx="3">
                  <c:v>14.733243069707715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87C-4DCE-9E93-415088B81E35}"/>
            </c:ext>
          </c:extLst>
        </c:ser>
        <c:ser>
          <c:idx val="11"/>
          <c:order val="6"/>
          <c:tx>
            <c:v>S_64</c:v>
          </c:tx>
          <c:val>
            <c:numRef>
              <c:f>('Hoja 1'!$H$14,'Hoja 1'!$O$14,'Hoja 1'!$V$14,'Hoja 1'!$AC$14)</c:f>
              <c:numCache>
                <c:formatCode>#_###0.000</c:formatCode>
                <c:ptCount val="4"/>
                <c:pt idx="0">
                  <c:v>0.16013824884792627</c:v>
                </c:pt>
                <c:pt idx="1">
                  <c:v>2.5801786473840918</c:v>
                </c:pt>
                <c:pt idx="2">
                  <c:v>13.356023622047244</c:v>
                </c:pt>
                <c:pt idx="3">
                  <c:v>14.960441647532386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A-27E0-4E20-A2CD-E76FD0BD2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3037088"/>
        <c:axId val="1943037504"/>
      </c:lineChart>
      <c:catAx>
        <c:axId val="1943037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Sample Size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037504"/>
        <c:crosses val="autoZero"/>
        <c:auto val="1"/>
        <c:lblAlgn val="ctr"/>
        <c:lblOffset val="100"/>
        <c:noMultiLvlLbl val="0"/>
      </c:catAx>
      <c:valAx>
        <c:axId val="194303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Speed-Up</a:t>
                </a:r>
                <a:r>
                  <a:rPr lang="en-GB" baseline="0"/>
                  <a:t> Amount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_#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037088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Efficiency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v>S_2</c:v>
          </c:tx>
          <c:cat>
            <c:numLit>
              <c:formatCode>General</c:formatCode>
              <c:ptCount val="4"/>
              <c:pt idx="0">
                <c:v>1000</c:v>
              </c:pt>
              <c:pt idx="1">
                <c:v>10000</c:v>
              </c:pt>
              <c:pt idx="2">
                <c:v>100000</c:v>
              </c:pt>
              <c:pt idx="3">
                <c:v>250000</c:v>
              </c:pt>
            </c:numLit>
          </c:cat>
          <c:val>
            <c:numRef>
              <c:f>('Hoja 1'!$I$8,'Hoja 1'!$P$8,'Hoja 1'!$W$8,'Hoja 1'!$AD$8)</c:f>
              <c:numCache>
                <c:formatCode>#_###0.000</c:formatCode>
                <c:ptCount val="4"/>
                <c:pt idx="0">
                  <c:v>0.68811881188118806</c:v>
                </c:pt>
                <c:pt idx="1">
                  <c:v>0.87230371009490959</c:v>
                </c:pt>
                <c:pt idx="2">
                  <c:v>0.97233272952398442</c:v>
                </c:pt>
                <c:pt idx="3">
                  <c:v>0.95006210621062115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82A-4048-8726-0ADBA0E5C234}"/>
            </c:ext>
          </c:extLst>
        </c:ser>
        <c:ser>
          <c:idx val="7"/>
          <c:order val="1"/>
          <c:tx>
            <c:v>S_4</c:v>
          </c:tx>
          <c:val>
            <c:numRef>
              <c:f>('Hoja 1'!$I$9,'Hoja 1'!$P$9,'Hoja 1'!$W$9,'Hoja 1'!$AD$9)</c:f>
              <c:numCache>
                <c:formatCode>#_###0.000</c:formatCode>
                <c:ptCount val="4"/>
                <c:pt idx="0">
                  <c:v>0.46959459459459468</c:v>
                </c:pt>
                <c:pt idx="1">
                  <c:v>0.68465011286681732</c:v>
                </c:pt>
                <c:pt idx="2">
                  <c:v>0.90910869332189959</c:v>
                </c:pt>
                <c:pt idx="3">
                  <c:v>0.92787984809592461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82A-4048-8726-0ADBA0E5C234}"/>
            </c:ext>
          </c:extLst>
        </c:ser>
        <c:ser>
          <c:idx val="8"/>
          <c:order val="2"/>
          <c:tx>
            <c:v>S_8</c:v>
          </c:tx>
          <c:val>
            <c:numRef>
              <c:f>('Hoja 1'!$I$10,'Hoja 1'!$P$10,'Hoja 1'!$W$10,'Hoja 1'!$AD$10)</c:f>
              <c:numCache>
                <c:formatCode>#_###0.000</c:formatCode>
                <c:ptCount val="4"/>
                <c:pt idx="0">
                  <c:v>0.2673076923076923</c:v>
                </c:pt>
                <c:pt idx="1">
                  <c:v>0.44602941176470595</c:v>
                </c:pt>
                <c:pt idx="2">
                  <c:v>0.78615823136818686</c:v>
                </c:pt>
                <c:pt idx="3">
                  <c:v>0.85286470116740565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182A-4048-8726-0ADBA0E5C234}"/>
            </c:ext>
          </c:extLst>
        </c:ser>
        <c:ser>
          <c:idx val="9"/>
          <c:order val="3"/>
          <c:tx>
            <c:v>S_16</c:v>
          </c:tx>
          <c:val>
            <c:numRef>
              <c:f>('Hoja 1'!$I$11,'Hoja 1'!$P$11,'Hoja 1'!$W$11,'Hoja 1'!$AD$11)</c:f>
              <c:numCache>
                <c:formatCode>#_###0.000</c:formatCode>
                <c:ptCount val="4"/>
                <c:pt idx="0">
                  <c:v>0.1357421875</c:v>
                </c:pt>
                <c:pt idx="1">
                  <c:v>0.26255193905817176</c:v>
                </c:pt>
                <c:pt idx="2">
                  <c:v>0.57456743536935673</c:v>
                </c:pt>
                <c:pt idx="3">
                  <c:v>0.6693921736748113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182A-4048-8726-0ADBA0E5C234}"/>
            </c:ext>
          </c:extLst>
        </c:ser>
        <c:ser>
          <c:idx val="10"/>
          <c:order val="4"/>
          <c:tx>
            <c:v>S_32</c:v>
          </c:tx>
          <c:val>
            <c:numRef>
              <c:f>('Hoja 1'!$I$12,'Hoja 1'!$P$12,'Hoja 1'!$W$12,'Hoja 1'!$AD$12)</c:f>
              <c:numCache>
                <c:formatCode>#_###0.000</c:formatCode>
                <c:ptCount val="4"/>
                <c:pt idx="0">
                  <c:v>6.6826923076923075E-2</c:v>
                </c:pt>
                <c:pt idx="1">
                  <c:v>0.14349924299772898</c:v>
                </c:pt>
                <c:pt idx="2">
                  <c:v>0.36824286185695926</c:v>
                </c:pt>
                <c:pt idx="3">
                  <c:v>0.41993658295935588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182A-4048-8726-0ADBA0E5C234}"/>
            </c:ext>
          </c:extLst>
        </c:ser>
        <c:ser>
          <c:idx val="0"/>
          <c:order val="5"/>
          <c:tx>
            <c:v>S_48</c:v>
          </c:tx>
          <c:val>
            <c:numRef>
              <c:f>('Hoja 1'!$I$13,'Hoja 1'!$P$13,'Hoja 1'!$W$13,'Hoja 1'!$AD$13)</c:f>
              <c:numCache>
                <c:formatCode>#_###0.000</c:formatCode>
                <c:ptCount val="4"/>
                <c:pt idx="0">
                  <c:v>3.9399092970521542E-2</c:v>
                </c:pt>
                <c:pt idx="1">
                  <c:v>9.8730468749999981E-2</c:v>
                </c:pt>
                <c:pt idx="2">
                  <c:v>0.25475119850052269</c:v>
                </c:pt>
                <c:pt idx="3">
                  <c:v>0.30694256395224406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3ED-49F5-AD37-3C95FC60E15C}"/>
            </c:ext>
          </c:extLst>
        </c:ser>
        <c:ser>
          <c:idx val="11"/>
          <c:order val="6"/>
          <c:tx>
            <c:v>S_64</c:v>
          </c:tx>
          <c:val>
            <c:numRef>
              <c:f>('Hoja 1'!$I$14,'Hoja 1'!$P$14,'Hoja 1'!$W$14,'Hoja 1'!$AD$14)</c:f>
              <c:numCache>
                <c:formatCode>#_###0.000</c:formatCode>
                <c:ptCount val="4"/>
                <c:pt idx="0">
                  <c:v>2.5021601382488479E-3</c:v>
                </c:pt>
                <c:pt idx="1">
                  <c:v>4.0315291365376434E-2</c:v>
                </c:pt>
                <c:pt idx="2">
                  <c:v>0.20868786909448819</c:v>
                </c:pt>
                <c:pt idx="3">
                  <c:v>0.23375690074269354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182A-4048-8726-0ADBA0E5C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3037088"/>
        <c:axId val="1943037504"/>
      </c:lineChart>
      <c:catAx>
        <c:axId val="1943037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Sample Size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037504"/>
        <c:crosses val="autoZero"/>
        <c:auto val="1"/>
        <c:lblAlgn val="ctr"/>
        <c:lblOffset val="100"/>
        <c:noMultiLvlLbl val="0"/>
      </c:catAx>
      <c:valAx>
        <c:axId val="194303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_#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037088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paperSize="8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322673</xdr:colOff>
      <xdr:row>22</xdr:row>
      <xdr:rowOff>20954</xdr:rowOff>
    </xdr:from>
    <xdr:to>
      <xdr:col>11</xdr:col>
      <xdr:colOff>113348</xdr:colOff>
      <xdr:row>50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5790CD-8E3D-47D4-BA8D-D25CE96D63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551497</xdr:colOff>
      <xdr:row>22</xdr:row>
      <xdr:rowOff>21908</xdr:rowOff>
    </xdr:from>
    <xdr:to>
      <xdr:col>21</xdr:col>
      <xdr:colOff>129857</xdr:colOff>
      <xdr:row>50</xdr:row>
      <xdr:rowOff>140969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22866B-D53E-4DF6-8BFC-ADC8E958C0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682942</xdr:colOff>
      <xdr:row>22</xdr:row>
      <xdr:rowOff>26671</xdr:rowOff>
    </xdr:from>
    <xdr:to>
      <xdr:col>31</xdr:col>
      <xdr:colOff>265112</xdr:colOff>
      <xdr:row>50</xdr:row>
      <xdr:rowOff>127634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43162F2-2F39-4E23-B763-8F1A97E850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7:AD14" headerRowCount="0">
  <tableColumns count="2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</tableColumns>
  <tableStyleInfo name="Hoja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I26"/>
  <sheetViews>
    <sheetView tabSelected="1" topLeftCell="O11" zoomScale="85" zoomScaleNormal="85" workbookViewId="0">
      <selection activeCell="T17" sqref="T17"/>
    </sheetView>
  </sheetViews>
  <sheetFormatPr defaultColWidth="14.44140625" defaultRowHeight="15.75" customHeight="1" x14ac:dyDescent="0.25"/>
  <cols>
    <col min="3" max="5" width="19.109375" customWidth="1"/>
    <col min="7" max="9" width="19.109375" customWidth="1"/>
  </cols>
  <sheetData>
    <row r="1" spans="1:35" ht="15.75" customHeight="1" x14ac:dyDescent="0.25">
      <c r="B1" s="59" t="s">
        <v>0</v>
      </c>
      <c r="C1" s="59"/>
      <c r="D1" s="59"/>
      <c r="E1" s="59"/>
      <c r="F1" s="59"/>
      <c r="G1" s="59"/>
      <c r="H1" s="59"/>
      <c r="I1" s="59"/>
    </row>
    <row r="2" spans="1:35" ht="15.75" customHeight="1" x14ac:dyDescent="0.25">
      <c r="B2" s="59"/>
      <c r="C2" s="59"/>
      <c r="D2" s="59"/>
      <c r="E2" s="59"/>
      <c r="F2" s="59"/>
      <c r="G2" s="59"/>
      <c r="H2" s="59"/>
      <c r="I2" s="59"/>
    </row>
    <row r="4" spans="1:35" ht="13.2" x14ac:dyDescent="0.25">
      <c r="B4" s="67" t="s">
        <v>1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9"/>
      <c r="AE4" s="1"/>
      <c r="AF4" s="1"/>
      <c r="AG4" s="1"/>
      <c r="AH4" s="1"/>
      <c r="AI4" s="1"/>
    </row>
    <row r="5" spans="1:35" ht="13.2" x14ac:dyDescent="0.25">
      <c r="B5" s="2"/>
      <c r="C5" s="60" t="s">
        <v>2</v>
      </c>
      <c r="D5" s="61"/>
      <c r="E5" s="61"/>
      <c r="F5" s="61"/>
      <c r="G5" s="61"/>
      <c r="H5" s="61"/>
      <c r="I5" s="62"/>
      <c r="J5" s="63" t="s">
        <v>3</v>
      </c>
      <c r="K5" s="61"/>
      <c r="L5" s="61"/>
      <c r="M5" s="61"/>
      <c r="N5" s="61"/>
      <c r="O5" s="61"/>
      <c r="P5" s="62"/>
      <c r="Q5" s="64" t="s">
        <v>4</v>
      </c>
      <c r="R5" s="61"/>
      <c r="S5" s="61"/>
      <c r="T5" s="61"/>
      <c r="U5" s="61"/>
      <c r="V5" s="61"/>
      <c r="W5" s="62"/>
      <c r="X5" s="65" t="s">
        <v>5</v>
      </c>
      <c r="Y5" s="61"/>
      <c r="Z5" s="61"/>
      <c r="AA5" s="61"/>
      <c r="AB5" s="61"/>
      <c r="AC5" s="61"/>
      <c r="AD5" s="66"/>
    </row>
    <row r="6" spans="1:35" ht="26.4" x14ac:dyDescent="0.25">
      <c r="B6" s="3" t="s">
        <v>6</v>
      </c>
      <c r="C6" s="4" t="s">
        <v>7</v>
      </c>
      <c r="D6" s="5" t="s">
        <v>8</v>
      </c>
      <c r="E6" s="5" t="s">
        <v>9</v>
      </c>
      <c r="F6" s="5" t="s">
        <v>10</v>
      </c>
      <c r="G6" s="6" t="s">
        <v>11</v>
      </c>
      <c r="H6" s="7" t="s">
        <v>12</v>
      </c>
      <c r="I6" s="8" t="s">
        <v>13</v>
      </c>
      <c r="J6" s="9" t="s">
        <v>7</v>
      </c>
      <c r="K6" s="10" t="s">
        <v>8</v>
      </c>
      <c r="L6" s="10" t="s">
        <v>9</v>
      </c>
      <c r="M6" s="10" t="s">
        <v>10</v>
      </c>
      <c r="N6" s="11" t="s">
        <v>11</v>
      </c>
      <c r="O6" s="12" t="s">
        <v>12</v>
      </c>
      <c r="P6" s="13" t="s">
        <v>13</v>
      </c>
      <c r="Q6" s="14" t="s">
        <v>7</v>
      </c>
      <c r="R6" s="15" t="s">
        <v>8</v>
      </c>
      <c r="S6" s="15" t="s">
        <v>9</v>
      </c>
      <c r="T6" s="15" t="s">
        <v>10</v>
      </c>
      <c r="U6" s="16" t="s">
        <v>11</v>
      </c>
      <c r="V6" s="17" t="s">
        <v>12</v>
      </c>
      <c r="W6" s="18" t="s">
        <v>13</v>
      </c>
      <c r="X6" s="19" t="s">
        <v>7</v>
      </c>
      <c r="Y6" s="20" t="s">
        <v>8</v>
      </c>
      <c r="Z6" s="20" t="s">
        <v>9</v>
      </c>
      <c r="AA6" s="20" t="s">
        <v>10</v>
      </c>
      <c r="AB6" s="20" t="s">
        <v>11</v>
      </c>
      <c r="AC6" s="21" t="s">
        <v>12</v>
      </c>
      <c r="AD6" s="22" t="s">
        <v>13</v>
      </c>
    </row>
    <row r="7" spans="1:35" ht="13.2" x14ac:dyDescent="0.25">
      <c r="A7" s="23" t="s">
        <v>14</v>
      </c>
      <c r="B7" s="24">
        <v>1</v>
      </c>
      <c r="C7" s="25">
        <f>AVERAGE(0.056,0.056,0.056,0.055,0.055)</f>
        <v>5.5600000000000004E-2</v>
      </c>
      <c r="D7" s="26">
        <f>MIN(0.056,0.056,0.056,0.055,0.055)</f>
        <v>5.5E-2</v>
      </c>
      <c r="E7" s="26">
        <f>MAX(0.056,0.056,0.056,0.055,0.055)</f>
        <v>5.6000000000000001E-2</v>
      </c>
      <c r="F7" s="27">
        <f>VAR(0.056,0.056,0.056,0.055,0.055)</f>
        <v>3.0000000000000052E-7</v>
      </c>
      <c r="G7" s="28">
        <f t="shared" ref="G7:G14" si="0">SQRT(F7)</f>
        <v>5.4772255750516654E-4</v>
      </c>
      <c r="H7" s="28">
        <f t="shared" ref="H7:H14" si="1">$C$7/C7</f>
        <v>1</v>
      </c>
      <c r="I7" s="29">
        <f>H7/1</f>
        <v>1</v>
      </c>
      <c r="J7" s="25">
        <f>AVERAGE(1.203,1.217,1.214,1.214,1.218)</f>
        <v>1.2132000000000001</v>
      </c>
      <c r="K7" s="26">
        <f>MIN(1.203,1.217,1.214,1.214,1.218)</f>
        <v>1.2030000000000001</v>
      </c>
      <c r="L7" s="26">
        <f>MAX(1.203,1.217,1.214,1.214,1.218)</f>
        <v>1.218</v>
      </c>
      <c r="M7" s="27">
        <f>VAR(1.203,1.217,1.214,1.214,1.218)</f>
        <v>3.5699999999999709E-5</v>
      </c>
      <c r="N7" s="28">
        <f t="shared" ref="N7:N14" si="2">SQRT(M7)</f>
        <v>5.9749476985158376E-3</v>
      </c>
      <c r="O7" s="28">
        <f t="shared" ref="O7:O14" si="3">$J$7/J7</f>
        <v>1</v>
      </c>
      <c r="P7" s="29">
        <f>O7/1</f>
        <v>1</v>
      </c>
      <c r="Q7" s="25">
        <f>AVERAGE(67.683,68.072,68.034,67.817,67.637)</f>
        <v>67.848600000000005</v>
      </c>
      <c r="R7" s="26">
        <f>MIN(67.683,68.072,68.034,67.817,67.637)</f>
        <v>67.637</v>
      </c>
      <c r="S7" s="26">
        <f>MAX(67.683,68.072,68.034,67.817,67.637)</f>
        <v>68.072000000000003</v>
      </c>
      <c r="T7" s="27">
        <f>VAR(67.683,68.072,68.034,67.817,67.637)</f>
        <v>3.936930000000035E-2</v>
      </c>
      <c r="U7" s="28">
        <f t="shared" ref="U7:U14" si="4">SQRT(T7)</f>
        <v>0.19841698516004205</v>
      </c>
      <c r="V7" s="28">
        <f t="shared" ref="V7:V14" si="5">$Q$7/Q7</f>
        <v>1</v>
      </c>
      <c r="W7" s="29">
        <f>V7/1</f>
        <v>1</v>
      </c>
      <c r="X7" s="30">
        <f>AVERAGE(210.414,209.717,212.875,212.149,210.364)</f>
        <v>211.10380000000001</v>
      </c>
      <c r="Y7" s="31">
        <f>MIN(210.414,209.717,212.875,212.149,210.364)</f>
        <v>209.71700000000001</v>
      </c>
      <c r="Z7" s="31">
        <f>MAX(210.414,209.717,212.875,212.149,210.364)</f>
        <v>212.875</v>
      </c>
      <c r="AA7" s="32">
        <f>VAR(210.414,209.717,212.875,212.149,210.364)</f>
        <v>1.7939836999999943</v>
      </c>
      <c r="AB7" s="33">
        <f t="shared" ref="AB7:AB14" si="6">SQRT(AA7)</f>
        <v>1.3393967672052947</v>
      </c>
      <c r="AC7" s="34">
        <f t="shared" ref="AC7:AC14" si="7">$X$7/X7</f>
        <v>1</v>
      </c>
      <c r="AD7" s="35">
        <f>AC7/1</f>
        <v>1</v>
      </c>
    </row>
    <row r="8" spans="1:35" ht="13.2" x14ac:dyDescent="0.25">
      <c r="B8" s="24">
        <v>2</v>
      </c>
      <c r="C8" s="25">
        <f>AVERAGE(0.042,0.041,0.04,0.041,0.038)</f>
        <v>4.0400000000000005E-2</v>
      </c>
      <c r="D8" s="26">
        <f>MIN(0.042,0.041,0.04,0.041,0.038)</f>
        <v>3.7999999999999999E-2</v>
      </c>
      <c r="E8" s="26">
        <f>MAX(0.042,0.041,0.04,0.041,0.038)</f>
        <v>4.2000000000000003E-2</v>
      </c>
      <c r="F8" s="27">
        <f>VAR(0.042,0.041,0.04,0.041,0.038)</f>
        <v>2.3000000000000042E-6</v>
      </c>
      <c r="G8" s="28">
        <f>SQRT(F8)</f>
        <v>1.5165750888103116E-3</v>
      </c>
      <c r="H8" s="28">
        <f t="shared" si="1"/>
        <v>1.3762376237623761</v>
      </c>
      <c r="I8" s="29">
        <f t="shared" ref="I8:I14" si="8">H8/B8</f>
        <v>0.68811881188118806</v>
      </c>
      <c r="J8" s="25">
        <f>AVERAGE(0.696,0.694,0.696,0.695,0.696)</f>
        <v>0.69539999999999991</v>
      </c>
      <c r="K8" s="26">
        <f>MIN(0.696,0.694,0.696,0.695,0.696)</f>
        <v>0.69399999999999995</v>
      </c>
      <c r="L8" s="26">
        <f>MAX(0.696,0.694,0.696,0.695,0.696)</f>
        <v>0.69599999999999995</v>
      </c>
      <c r="M8" s="27">
        <f>VAR(0.696,0.694,0.696,0.695,0.696)</f>
        <v>8.0000000000000145E-7</v>
      </c>
      <c r="N8" s="28">
        <f t="shared" si="2"/>
        <v>8.9442719099991667E-4</v>
      </c>
      <c r="O8" s="28">
        <f t="shared" si="3"/>
        <v>1.7446074201898192</v>
      </c>
      <c r="P8" s="29">
        <f t="shared" ref="P8:P14" si="9">O8/B8</f>
        <v>0.87230371009490959</v>
      </c>
      <c r="Q8" s="25">
        <f>AVERAGE(34.754,34.834,34.791,34.66,35.409)</f>
        <v>34.889599999999994</v>
      </c>
      <c r="R8" s="26">
        <f>MIN(34.754,34.834,34.791,34.66,35.409)</f>
        <v>34.659999999999997</v>
      </c>
      <c r="S8" s="26">
        <f>MAX(34.754,34.834,34.791,34.66,35.409)</f>
        <v>35.408999999999999</v>
      </c>
      <c r="T8" s="27">
        <f>VAR(34.754,34.834,34.791,34.66,35.409)</f>
        <v>8.8423300000000329E-2</v>
      </c>
      <c r="U8" s="28">
        <f t="shared" si="4"/>
        <v>0.29736055555503715</v>
      </c>
      <c r="V8" s="28">
        <f t="shared" si="5"/>
        <v>1.9446654590479688</v>
      </c>
      <c r="W8" s="29">
        <f t="shared" ref="W8:W14" si="10">V8/B8</f>
        <v>0.97233272952398442</v>
      </c>
      <c r="X8" s="36">
        <f>AVERAGE(109.205,114.232,110.256,111.462,110.345)</f>
        <v>111.1</v>
      </c>
      <c r="Y8" s="37">
        <f>MIN(109.205,114.232,110.256,111.462,110.345)</f>
        <v>109.205</v>
      </c>
      <c r="Z8" s="37">
        <f>MAX(109.205,114.232,110.256,111.462,110.345)</f>
        <v>114.232</v>
      </c>
      <c r="AA8" s="38">
        <f>VAR(109.205,114.232,110.256,111.462,110.345)</f>
        <v>3.7034635000000016</v>
      </c>
      <c r="AB8" s="55">
        <f t="shared" si="6"/>
        <v>1.9244384895340254</v>
      </c>
      <c r="AC8" s="56">
        <f>$X$7/X8</f>
        <v>1.9001242124212423</v>
      </c>
      <c r="AD8" s="39">
        <f t="shared" ref="AD8:AD14" si="11">AC8/B8</f>
        <v>0.95006210621062115</v>
      </c>
    </row>
    <row r="9" spans="1:35" ht="13.2" x14ac:dyDescent="0.25">
      <c r="B9" s="24">
        <v>4</v>
      </c>
      <c r="C9" s="25">
        <f>AVERAGE(0.03,0.029,0.029,0.03,0.03)</f>
        <v>2.9599999999999998E-2</v>
      </c>
      <c r="D9" s="26">
        <f>MIN(0.03,0.029,0.029,0.03,0.03)</f>
        <v>2.9000000000000001E-2</v>
      </c>
      <c r="E9" s="26">
        <f>MAX(0.03,0.029,0.029,0.03,0.03)</f>
        <v>0.03</v>
      </c>
      <c r="F9" s="27">
        <f>VAR(0.03,0.029,0.029,0.03,0.03)</f>
        <v>2.9999999999999845E-7</v>
      </c>
      <c r="G9" s="28">
        <f t="shared" si="0"/>
        <v>5.477225575051647E-4</v>
      </c>
      <c r="H9" s="28">
        <f t="shared" si="1"/>
        <v>1.8783783783783787</v>
      </c>
      <c r="I9" s="29">
        <f t="shared" si="8"/>
        <v>0.46959459459459468</v>
      </c>
      <c r="J9" s="25">
        <f>AVERAGE(0.442,0.441,0.444,0.444,0.444)</f>
        <v>0.44299999999999995</v>
      </c>
      <c r="K9" s="26">
        <f>MIN(0.442,0.441,0.444,0.444,0.444)</f>
        <v>0.441</v>
      </c>
      <c r="L9" s="26">
        <f>MAX(0.442,0.441,0.444,0.444,0.444)</f>
        <v>0.44400000000000001</v>
      </c>
      <c r="M9" s="27">
        <f>VAR(0.442,0.441,0.444,0.444,0.444)</f>
        <v>2.0000000000000033E-6</v>
      </c>
      <c r="N9" s="28">
        <f t="shared" si="2"/>
        <v>1.4142135623730961E-3</v>
      </c>
      <c r="O9" s="28">
        <f t="shared" si="3"/>
        <v>2.7386004514672693</v>
      </c>
      <c r="P9" s="29">
        <f t="shared" si="9"/>
        <v>0.68465011286681732</v>
      </c>
      <c r="Q9" s="25">
        <f>AVERAGE(18.572,18.587,18.837,18.634,18.66)</f>
        <v>18.657999999999998</v>
      </c>
      <c r="R9" s="26">
        <f>MIN(18.572,18.587,18.837,18.634,18.66)</f>
        <v>18.571999999999999</v>
      </c>
      <c r="S9" s="26">
        <f>MAX(18.572,18.587,18.837,18.634,18.66)</f>
        <v>18.837</v>
      </c>
      <c r="T9" s="27">
        <f>VAR(18.572,18.587,18.837,18.634,18.66)</f>
        <v>1.1264500000000019E-2</v>
      </c>
      <c r="U9" s="28">
        <f t="shared" si="4"/>
        <v>0.10613434882261265</v>
      </c>
      <c r="V9" s="28">
        <f t="shared" si="5"/>
        <v>3.6364347732875983</v>
      </c>
      <c r="W9" s="29">
        <f t="shared" si="10"/>
        <v>0.90910869332189959</v>
      </c>
      <c r="X9" s="30">
        <f>AVERAGE(57.229,55.405,57.497,55.532,58.727)</f>
        <v>56.878</v>
      </c>
      <c r="Y9" s="31">
        <f>MIN(57.229,55.405,57.497,55.532,58.727)</f>
        <v>55.405000000000001</v>
      </c>
      <c r="Z9" s="31">
        <f>MAX(57.229,55.405,57.497,55.532,58.727)</f>
        <v>58.726999999999997</v>
      </c>
      <c r="AA9" s="32">
        <f>VAR(57.229,55.405,57.497,55.532,58.727)</f>
        <v>1.9766519999999985</v>
      </c>
      <c r="AB9" s="33">
        <f t="shared" si="6"/>
        <v>1.4059345646224075</v>
      </c>
      <c r="AC9" s="34">
        <f t="shared" si="7"/>
        <v>3.7115193923836984</v>
      </c>
      <c r="AD9" s="54">
        <f t="shared" si="11"/>
        <v>0.92787984809592461</v>
      </c>
    </row>
    <row r="10" spans="1:35" ht="13.2" x14ac:dyDescent="0.25">
      <c r="B10" s="24">
        <v>8</v>
      </c>
      <c r="C10" s="25">
        <f>AVERAGE(0.026,0.026,0.025,0.026,0.027)</f>
        <v>2.6000000000000002E-2</v>
      </c>
      <c r="D10" s="26">
        <f>MIN(0.026,0.026,0.025,0.026,0.027)</f>
        <v>2.5000000000000001E-2</v>
      </c>
      <c r="E10" s="26">
        <f>MAX(0.026,0.026,0.025,0.026,0.027)</f>
        <v>2.7E-2</v>
      </c>
      <c r="F10" s="27">
        <f>VAR(0.026,0.026,0.025,0.026,0.027)</f>
        <v>4.9999999999999924E-7</v>
      </c>
      <c r="G10" s="28">
        <f t="shared" si="0"/>
        <v>7.0710678118654697E-4</v>
      </c>
      <c r="H10" s="28">
        <f t="shared" si="1"/>
        <v>2.1384615384615384</v>
      </c>
      <c r="I10" s="29">
        <f t="shared" si="8"/>
        <v>0.2673076923076923</v>
      </c>
      <c r="J10" s="25">
        <f>AVERAGE(0.344,0.341,0.339,0.339,0.337)</f>
        <v>0.33999999999999997</v>
      </c>
      <c r="K10" s="26">
        <f>MIN(0.344,0.341,0.339,0.339,0.337)</f>
        <v>0.33700000000000002</v>
      </c>
      <c r="L10" s="26">
        <f>MAX(0.344,0.341,0.339,0.339,0.337)</f>
        <v>0.34399999999999997</v>
      </c>
      <c r="M10" s="27">
        <f>VAR(0.344,0.341,0.339,0.339,0.337)</f>
        <v>6.9999999999999025E-6</v>
      </c>
      <c r="N10" s="28">
        <f t="shared" si="2"/>
        <v>2.6457513110645721E-3</v>
      </c>
      <c r="O10" s="28">
        <f t="shared" si="3"/>
        <v>3.5682352941176476</v>
      </c>
      <c r="P10" s="29">
        <f t="shared" si="9"/>
        <v>0.44602941176470595</v>
      </c>
      <c r="Q10" s="25">
        <f>AVERAGE(10.825,10.737,10.829,10.722,10.827)</f>
        <v>10.788</v>
      </c>
      <c r="R10" s="26">
        <f>MIN(10.825,10.737,10.829,10.722,10.827)</f>
        <v>10.722</v>
      </c>
      <c r="S10" s="26">
        <f>MAX(10.825,10.737,10.829,10.722,10.827)</f>
        <v>10.829000000000001</v>
      </c>
      <c r="T10" s="27">
        <f>VAR(10.825,10.737,10.829,10.722,10.827)</f>
        <v>2.8820000000000122E-3</v>
      </c>
      <c r="U10" s="28">
        <f t="shared" si="4"/>
        <v>5.3684262125878311E-2</v>
      </c>
      <c r="V10" s="28">
        <f t="shared" si="5"/>
        <v>6.2892658509454948</v>
      </c>
      <c r="W10" s="29">
        <f t="shared" si="10"/>
        <v>0.78615823136818686</v>
      </c>
      <c r="X10" s="36">
        <f>AVERAGE(30.413,30.184,33.334,30.385,30.386)</f>
        <v>30.940400000000004</v>
      </c>
      <c r="Y10" s="37">
        <f>MIN(30.413,30.184,33.334,30.385,30.386)</f>
        <v>30.184000000000001</v>
      </c>
      <c r="Z10" s="37">
        <f>MAX(30.413,30.184,33.334,30.385,30.386)</f>
        <v>33.334000000000003</v>
      </c>
      <c r="AA10" s="38">
        <f>VAR(30.413,30.184,33.334,30.385,30.386)</f>
        <v>1.798860300000003</v>
      </c>
      <c r="AB10" s="55">
        <f t="shared" si="6"/>
        <v>1.3412159781332771</v>
      </c>
      <c r="AC10" s="56">
        <f t="shared" si="7"/>
        <v>6.8229176093392452</v>
      </c>
      <c r="AD10" s="39">
        <f t="shared" si="11"/>
        <v>0.85286470116740565</v>
      </c>
    </row>
    <row r="11" spans="1:35" ht="13.2" x14ac:dyDescent="0.25">
      <c r="B11" s="24">
        <v>16</v>
      </c>
      <c r="C11" s="25">
        <f>AVERAGE(0.026,0.025,0.025,0.025,0.027)</f>
        <v>2.5600000000000001E-2</v>
      </c>
      <c r="D11" s="26">
        <f>MIN(0.026,0.025,0.025,0.025,0.027)</f>
        <v>2.5000000000000001E-2</v>
      </c>
      <c r="E11" s="26">
        <f>MAX(0.026,0.025,0.025,0.025,0.027)</f>
        <v>2.7E-2</v>
      </c>
      <c r="F11" s="27">
        <f>VAR(0.026,0.025,0.025,0.025,0.027)</f>
        <v>7.9999999999999827E-7</v>
      </c>
      <c r="G11" s="28">
        <f t="shared" si="0"/>
        <v>8.9442719099991493E-4</v>
      </c>
      <c r="H11" s="28">
        <f t="shared" si="1"/>
        <v>2.171875</v>
      </c>
      <c r="I11" s="29">
        <f t="shared" si="8"/>
        <v>0.1357421875</v>
      </c>
      <c r="J11" s="25">
        <f>AVERAGE(0.293,0.292,0.277,0.298,0.284)</f>
        <v>0.2888</v>
      </c>
      <c r="K11" s="26">
        <f>MIN(0.293,0.292,0.277,0.298,0.284)</f>
        <v>0.27700000000000002</v>
      </c>
      <c r="L11" s="26">
        <f>MAX(0.293,0.292,0.277,0.298,0.284)</f>
        <v>0.29799999999999999</v>
      </c>
      <c r="M11" s="27">
        <f>VAR(0.293,0.292,0.277,0.298,0.284)</f>
        <v>6.86999999999998E-5</v>
      </c>
      <c r="N11" s="28">
        <f t="shared" si="2"/>
        <v>8.2885463140408289E-3</v>
      </c>
      <c r="O11" s="28">
        <f t="shared" si="3"/>
        <v>4.2008310249307481</v>
      </c>
      <c r="P11" s="29">
        <f t="shared" si="9"/>
        <v>0.26255193905817176</v>
      </c>
      <c r="Q11" s="25">
        <f>AVERAGE(7.044,6.919,7.991,6.956,7.992)</f>
        <v>7.3803999999999998</v>
      </c>
      <c r="R11" s="26">
        <f>MIN(7.044,6.919,7.991,6.956,7.992)</f>
        <v>6.9189999999999996</v>
      </c>
      <c r="S11" s="26">
        <f>MAX(7.044,6.919,7.991,6.956,7.992)</f>
        <v>7.992</v>
      </c>
      <c r="T11" s="27">
        <f>VAR(7.044,6.919,7.991,6.956,7.992)</f>
        <v>0.31326429999999994</v>
      </c>
      <c r="U11" s="28">
        <f t="shared" si="4"/>
        <v>0.5597001876004688</v>
      </c>
      <c r="V11" s="28">
        <f t="shared" si="5"/>
        <v>9.1930789659097076</v>
      </c>
      <c r="W11" s="29">
        <f t="shared" si="10"/>
        <v>0.57456743536935673</v>
      </c>
      <c r="X11" s="30">
        <f>AVERAGE(19.553,19.428,20.004,20.178,19.389)</f>
        <v>19.7104</v>
      </c>
      <c r="Y11" s="31">
        <f>MIN(19.553,19.428,20.004,20.178,19.389)</f>
        <v>19.388999999999999</v>
      </c>
      <c r="Z11" s="31">
        <f>MAX(19.553,19.428,20.004,20.178,19.389)</f>
        <v>20.178000000000001</v>
      </c>
      <c r="AA11" s="32">
        <f>VAR(19.553,19.428,20.004,20.178,19.389)</f>
        <v>0.12816830000000032</v>
      </c>
      <c r="AB11" s="33">
        <f t="shared" si="6"/>
        <v>0.35800600553622047</v>
      </c>
      <c r="AC11" s="34">
        <f t="shared" si="7"/>
        <v>10.710274778796981</v>
      </c>
      <c r="AD11" s="54">
        <f t="shared" si="11"/>
        <v>0.6693921736748113</v>
      </c>
    </row>
    <row r="12" spans="1:35" ht="13.2" x14ac:dyDescent="0.25">
      <c r="B12" s="24">
        <v>32</v>
      </c>
      <c r="C12" s="25">
        <f>AVERAGE(0.026,0.026,0.026,0.025,0.027)</f>
        <v>2.6000000000000002E-2</v>
      </c>
      <c r="D12" s="26">
        <f>MIN(0.026,0.026,0.026,0.025,0.027)</f>
        <v>2.5000000000000001E-2</v>
      </c>
      <c r="E12" s="26">
        <f>MAX(0.026,0.026,0.026,0.025,0.027)</f>
        <v>2.7E-2</v>
      </c>
      <c r="F12" s="27">
        <f>VAR(0.026,0.026,0.026,0.025,0.027)</f>
        <v>4.9999999999999924E-7</v>
      </c>
      <c r="G12" s="28">
        <f t="shared" si="0"/>
        <v>7.0710678118654697E-4</v>
      </c>
      <c r="H12" s="28">
        <f t="shared" si="1"/>
        <v>2.1384615384615384</v>
      </c>
      <c r="I12" s="29">
        <f t="shared" si="8"/>
        <v>6.6826923076923075E-2</v>
      </c>
      <c r="J12" s="25">
        <f>AVERAGE(0.263,0.262,0.26,0.265,0.271)</f>
        <v>0.26420000000000005</v>
      </c>
      <c r="K12" s="26">
        <f>MIN(0.263,0.262,0.26,0.265,0.271)</f>
        <v>0.26</v>
      </c>
      <c r="L12" s="26">
        <f>MAX(0.263,0.262,0.26,0.265,0.271)</f>
        <v>0.27100000000000002</v>
      </c>
      <c r="M12" s="27">
        <f>VAR(0.263,0.262,0.26,0.265,0.271)</f>
        <v>1.770000000000003E-5</v>
      </c>
      <c r="N12" s="28">
        <f t="shared" si="2"/>
        <v>4.2071367935925296E-3</v>
      </c>
      <c r="O12" s="28">
        <f t="shared" si="3"/>
        <v>4.5919757759273274</v>
      </c>
      <c r="P12" s="29">
        <f t="shared" si="9"/>
        <v>0.14349924299772898</v>
      </c>
      <c r="Q12" s="25">
        <f>AVERAGE(5.554,5.901,5.974,5.427,5.933)</f>
        <v>5.7578000000000005</v>
      </c>
      <c r="R12" s="26">
        <f>MIN(5.554,5.901,5.974,5.427,5.933)</f>
        <v>5.4269999999999996</v>
      </c>
      <c r="S12" s="26">
        <f>MAX(5.554,5.901,5.974,5.427,5.933)</f>
        <v>5.9740000000000002</v>
      </c>
      <c r="T12" s="27">
        <f>VAR(5.554,5.901,5.974,5.427,5.933)</f>
        <v>6.2226700000000031E-2</v>
      </c>
      <c r="U12" s="28">
        <f t="shared" si="4"/>
        <v>0.24945280114683024</v>
      </c>
      <c r="V12" s="28">
        <f t="shared" si="5"/>
        <v>11.783771579422696</v>
      </c>
      <c r="W12" s="29">
        <f t="shared" si="10"/>
        <v>0.36824286185695926</v>
      </c>
      <c r="X12" s="36">
        <f>AVERAGE(16.525,15.681,15.129,16.112, 15.681, 15.129)</f>
        <v>15.709499999999998</v>
      </c>
      <c r="Y12" s="37">
        <f>MIN(16.525,15.681,15.129,16.112, 15.681, 15.129)</f>
        <v>15.129</v>
      </c>
      <c r="Z12" s="37">
        <f>MAX(16.525,15.681,15.129,16.112, 15.681, 15.129)</f>
        <v>16.524999999999999</v>
      </c>
      <c r="AA12" s="38">
        <f>VAR(16.525,15.681,15.129,16.112, 15.681, 15.129)</f>
        <v>0.30052629999999952</v>
      </c>
      <c r="AB12" s="55">
        <f t="shared" si="6"/>
        <v>0.54820279094510227</v>
      </c>
      <c r="AC12" s="56">
        <f t="shared" si="7"/>
        <v>13.437970654699388</v>
      </c>
      <c r="AD12" s="39">
        <f t="shared" si="11"/>
        <v>0.41993658295935588</v>
      </c>
    </row>
    <row r="13" spans="1:35" ht="13.2" x14ac:dyDescent="0.25">
      <c r="B13" s="24">
        <v>48</v>
      </c>
      <c r="C13" s="25">
        <f>AVERAGE(0.032,0.027,0.028,0.029,0.031)</f>
        <v>2.9399999999999999E-2</v>
      </c>
      <c r="D13" s="26">
        <f>MIN(0.032,0.027,0.028,0.029,0.031)</f>
        <v>2.7E-2</v>
      </c>
      <c r="E13" s="26">
        <f>MAX(0.032,0.027,0.028,0.029,0.031)</f>
        <v>3.2000000000000001E-2</v>
      </c>
      <c r="F13" s="27">
        <f>VAR(0.032,0.027,0.028,0.029,0.031)</f>
        <v>4.3000000000000003E-6</v>
      </c>
      <c r="G13" s="28">
        <f t="shared" si="0"/>
        <v>2.0736441353327723E-3</v>
      </c>
      <c r="H13" s="28">
        <f t="shared" si="1"/>
        <v>1.8911564625850341</v>
      </c>
      <c r="I13" s="29">
        <f t="shared" si="8"/>
        <v>3.9399092970521542E-2</v>
      </c>
      <c r="J13" s="25">
        <f>AVERAGE(0.26,0.253,0.253,0.253,0.261)</f>
        <v>0.25600000000000006</v>
      </c>
      <c r="K13" s="26">
        <f>MIN(0.26,0.253,0.253,0.253,0.261)</f>
        <v>0.253</v>
      </c>
      <c r="L13" s="26">
        <f>MAX(0.26,0.253,0.253,0.253,0.261)</f>
        <v>0.26100000000000001</v>
      </c>
      <c r="M13" s="27">
        <f>VAR(0.26,0.253,0.253,0.253,0.261)</f>
        <v>1.700000000000003E-5</v>
      </c>
      <c r="N13" s="28">
        <f t="shared" si="2"/>
        <v>4.1231056256176646E-3</v>
      </c>
      <c r="O13" s="28">
        <f t="shared" si="3"/>
        <v>4.7390624999999993</v>
      </c>
      <c r="P13" s="29">
        <f t="shared" si="9"/>
        <v>9.8730468749999981E-2</v>
      </c>
      <c r="Q13" s="25">
        <f>AVERAGE(5.252,5.197,5.196,6.862,5.236)</f>
        <v>5.5485999999999995</v>
      </c>
      <c r="R13" s="26">
        <f>MIN(5.252,5.197,5.196,6.862,5.236)</f>
        <v>5.1959999999999997</v>
      </c>
      <c r="S13" s="26">
        <f>MAX(5.252,5.197,5.196,6.862,5.236)</f>
        <v>6.8620000000000001</v>
      </c>
      <c r="T13" s="27">
        <f>VAR(5.252,5.197,5.196,6.862,5.236)</f>
        <v>0.53966480000000416</v>
      </c>
      <c r="U13" s="28">
        <f t="shared" si="4"/>
        <v>0.73461881271854468</v>
      </c>
      <c r="V13" s="28">
        <f t="shared" si="5"/>
        <v>12.22805752802509</v>
      </c>
      <c r="W13" s="29">
        <f t="shared" si="10"/>
        <v>0.25475119850052269</v>
      </c>
      <c r="X13" s="30">
        <f>AVERAGE(14.391,14.378,14.272,14.267,14.334)</f>
        <v>14.328399999999998</v>
      </c>
      <c r="Y13" s="31">
        <f>MIN(14.391,14.378,14.272,14.267,14.334)</f>
        <v>14.266999999999999</v>
      </c>
      <c r="Z13" s="31">
        <f>MAX(14.391,14.378,14.272,14.267,14.334)</f>
        <v>14.391</v>
      </c>
      <c r="AA13" s="32">
        <f>VAR(14.391,14.378,14.272,14.267,14.334)</f>
        <v>3.3403000000000117E-3</v>
      </c>
      <c r="AB13" s="33">
        <f t="shared" si="6"/>
        <v>5.7795328530946266E-2</v>
      </c>
      <c r="AC13" s="34">
        <f t="shared" si="7"/>
        <v>14.733243069707715</v>
      </c>
      <c r="AD13" s="54">
        <f t="shared" si="11"/>
        <v>0.30694256395224406</v>
      </c>
    </row>
    <row r="14" spans="1:35" ht="13.2" x14ac:dyDescent="0.25">
      <c r="B14" s="40">
        <v>64</v>
      </c>
      <c r="C14" s="41">
        <f>AVERAGE(0.364,0.319,0.34,0.352,0.361)</f>
        <v>0.34720000000000001</v>
      </c>
      <c r="D14" s="42">
        <f>MIN(0.364,0.319,0.34,0.352,0.361)</f>
        <v>0.31900000000000001</v>
      </c>
      <c r="E14" s="42">
        <f>MAX(0.364,0.319,0.34,0.352,0.361)</f>
        <v>0.36399999999999999</v>
      </c>
      <c r="F14" s="43">
        <f>VAR(0.364,0.319,0.34,0.352,0.361)</f>
        <v>3.3569999999999965E-4</v>
      </c>
      <c r="G14" s="44">
        <f t="shared" si="0"/>
        <v>1.8322117781522956E-2</v>
      </c>
      <c r="H14" s="44">
        <f t="shared" si="1"/>
        <v>0.16013824884792627</v>
      </c>
      <c r="I14" s="45">
        <f t="shared" si="8"/>
        <v>2.5021601382488479E-3</v>
      </c>
      <c r="J14" s="41">
        <f>AVERAGE(0.66,0.506,0.356,0.427,0.402)</f>
        <v>0.47020000000000001</v>
      </c>
      <c r="K14" s="42">
        <f>MIN(0.66,0.506,0.356,0.427,0.402)</f>
        <v>0.35599999999999998</v>
      </c>
      <c r="L14" s="42">
        <f>MAX(0.66,0.506,0.356,0.427,0.402)</f>
        <v>0.66</v>
      </c>
      <c r="M14" s="43">
        <f>VAR(0.66,0.506,0.356,0.427,0.402)</f>
        <v>1.4216200000000068E-2</v>
      </c>
      <c r="N14" s="44">
        <f t="shared" si="2"/>
        <v>0.11923170719234069</v>
      </c>
      <c r="O14" s="44">
        <f t="shared" si="3"/>
        <v>2.5801786473840918</v>
      </c>
      <c r="P14" s="45">
        <f t="shared" si="9"/>
        <v>4.0315291365376434E-2</v>
      </c>
      <c r="Q14" s="41">
        <f>AVERAGE(5.025,5.083,5.283,4.942,5.067)</f>
        <v>5.08</v>
      </c>
      <c r="R14" s="42">
        <f>MIN(5.025,5.083,5.283,4.942,5.067)</f>
        <v>4.9420000000000002</v>
      </c>
      <c r="S14" s="42">
        <f>MAX(5.025,5.083,5.283,4.942,5.067)</f>
        <v>5.2830000000000004</v>
      </c>
      <c r="T14" s="43">
        <f>VAR(5.025,5.083,5.283,4.942,5.067)</f>
        <v>1.5864000000000017E-2</v>
      </c>
      <c r="U14" s="44">
        <f t="shared" si="4"/>
        <v>0.12595237195067038</v>
      </c>
      <c r="V14" s="44">
        <f t="shared" si="5"/>
        <v>13.356023622047244</v>
      </c>
      <c r="W14" s="45">
        <f t="shared" si="10"/>
        <v>0.20868786909448819</v>
      </c>
      <c r="X14" s="46">
        <f>AVERAGE(15.24,14.856,13.713,13.405,13.34)</f>
        <v>14.110800000000001</v>
      </c>
      <c r="Y14" s="47">
        <f>MIN(15.24,14.856,13.713,13.405,13.34)</f>
        <v>13.34</v>
      </c>
      <c r="Z14" s="47">
        <f>MAX(15.24,14.856,13.713,13.405,13.34)</f>
        <v>15.24</v>
      </c>
      <c r="AA14" s="48">
        <f>VAR(15.24,14.856,13.713,13.405,13.34)</f>
        <v>0.77023670000000055</v>
      </c>
      <c r="AB14" s="57">
        <f t="shared" si="6"/>
        <v>0.8776313007180182</v>
      </c>
      <c r="AC14" s="58">
        <f t="shared" si="7"/>
        <v>14.960441647532386</v>
      </c>
      <c r="AD14" s="49">
        <f t="shared" si="11"/>
        <v>0.23375690074269354</v>
      </c>
    </row>
    <row r="17" spans="7:13" ht="13.2" x14ac:dyDescent="0.25">
      <c r="G17" s="50"/>
      <c r="H17" s="50"/>
      <c r="I17" s="50"/>
      <c r="J17" s="50"/>
      <c r="K17" s="51"/>
      <c r="L17" s="51"/>
      <c r="M17" s="50"/>
    </row>
    <row r="18" spans="7:13" ht="13.2" x14ac:dyDescent="0.25">
      <c r="G18" s="52"/>
      <c r="H18" s="52"/>
      <c r="I18" s="51"/>
      <c r="J18" s="51"/>
      <c r="K18" s="51"/>
      <c r="L18" s="51"/>
      <c r="M18" s="51"/>
    </row>
    <row r="19" spans="7:13" ht="13.2" x14ac:dyDescent="0.25">
      <c r="G19" s="50"/>
      <c r="H19" s="50"/>
      <c r="I19" s="53"/>
      <c r="J19" s="53"/>
      <c r="K19" s="53"/>
      <c r="L19" s="53"/>
      <c r="M19" s="53"/>
    </row>
    <row r="20" spans="7:13" ht="13.2" x14ac:dyDescent="0.25">
      <c r="G20" s="50"/>
      <c r="H20" s="50"/>
      <c r="I20" s="53"/>
      <c r="J20" s="53"/>
      <c r="K20" s="53"/>
      <c r="L20" s="53"/>
      <c r="M20" s="53"/>
    </row>
    <row r="21" spans="7:13" ht="13.2" x14ac:dyDescent="0.25">
      <c r="G21" s="50"/>
      <c r="H21" s="50"/>
      <c r="I21" s="53"/>
      <c r="J21" s="53"/>
      <c r="K21" s="53"/>
      <c r="L21" s="53"/>
      <c r="M21" s="53"/>
    </row>
    <row r="22" spans="7:13" ht="13.2" x14ac:dyDescent="0.25">
      <c r="G22" s="50"/>
      <c r="H22" s="50"/>
      <c r="I22" s="53"/>
      <c r="J22" s="53"/>
      <c r="K22" s="53"/>
      <c r="L22" s="53"/>
      <c r="M22" s="53"/>
    </row>
    <row r="23" spans="7:13" ht="13.2" x14ac:dyDescent="0.25">
      <c r="G23" s="50"/>
      <c r="H23" s="50"/>
      <c r="I23" s="53"/>
      <c r="J23" s="53"/>
      <c r="K23" s="53"/>
      <c r="L23" s="53"/>
      <c r="M23" s="53"/>
    </row>
    <row r="24" spans="7:13" ht="13.2" x14ac:dyDescent="0.25">
      <c r="G24" s="50"/>
      <c r="H24" s="50"/>
      <c r="I24" s="53"/>
      <c r="J24" s="53"/>
      <c r="K24" s="53"/>
      <c r="L24" s="53"/>
      <c r="M24" s="53"/>
    </row>
    <row r="25" spans="7:13" ht="13.2" x14ac:dyDescent="0.25">
      <c r="G25" s="50"/>
      <c r="H25" s="50"/>
      <c r="I25" s="53"/>
      <c r="J25" s="53"/>
      <c r="K25" s="53"/>
      <c r="L25" s="53"/>
      <c r="M25" s="53"/>
    </row>
    <row r="26" spans="7:13" ht="13.2" x14ac:dyDescent="0.25">
      <c r="G26" s="50"/>
      <c r="H26" s="50"/>
      <c r="I26" s="53"/>
      <c r="J26" s="53"/>
      <c r="K26" s="53"/>
      <c r="L26" s="53"/>
      <c r="M26" s="53"/>
    </row>
  </sheetData>
  <mergeCells count="6">
    <mergeCell ref="B1:I2"/>
    <mergeCell ref="C5:I5"/>
    <mergeCell ref="J5:P5"/>
    <mergeCell ref="Q5:W5"/>
    <mergeCell ref="X5:AD5"/>
    <mergeCell ref="B4:AD4"/>
  </mergeCells>
  <pageMargins left="0.25" right="0.25" top="0.75" bottom="0.75" header="0.3" footer="0.3"/>
  <pageSetup paperSize="8" scale="42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Oihan</dc:creator>
  <cp:lastModifiedBy>Oihan</cp:lastModifiedBy>
  <cp:lastPrinted>2021-12-23T22:19:29Z</cp:lastPrinted>
  <dcterms:created xsi:type="dcterms:W3CDTF">2021-12-23T22:11:37Z</dcterms:created>
  <dcterms:modified xsi:type="dcterms:W3CDTF">2021-12-23T22:26:29Z</dcterms:modified>
</cp:coreProperties>
</file>