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e87303d9c84dfa/"/>
    </mc:Choice>
  </mc:AlternateContent>
  <xr:revisionPtr revIDLastSave="0" documentId="8_{E219B1DD-19D6-4216-B709-4217EED58D82}" xr6:coauthVersionLast="47" xr6:coauthVersionMax="47" xr10:uidLastSave="{00000000-0000-0000-0000-000000000000}"/>
  <bookViews>
    <workbookView xWindow="0" yWindow="500" windowWidth="28800" windowHeight="17500" firstSheet="2" activeTab="2" xr2:uid="{D054C0BB-2491-2D4D-8CED-1C724C1153E8}"/>
  </bookViews>
  <sheets>
    <sheet name="BESTWORST CASE" sheetId="5" r:id="rId1"/>
    <sheet name="Resultat " sheetId="2" r:id="rId2"/>
    <sheet name="Balance &amp; Likviditet" sheetId="1" r:id="rId3"/>
    <sheet name="Lån &amp; Afskrivelse 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5" l="1"/>
  <c r="F29" i="5"/>
  <c r="E31" i="5"/>
  <c r="E29" i="5"/>
  <c r="C9" i="5"/>
  <c r="D13" i="5"/>
  <c r="D9" i="5"/>
  <c r="M27" i="5"/>
  <c r="C5" i="5"/>
  <c r="D5" i="5"/>
  <c r="D15" i="5"/>
  <c r="D14" i="5"/>
  <c r="D16" i="5"/>
  <c r="D11" i="5"/>
  <c r="L24" i="5"/>
  <c r="L23" i="5"/>
  <c r="L20" i="5"/>
  <c r="L19" i="5"/>
  <c r="N18" i="5"/>
  <c r="M17" i="5"/>
  <c r="L17" i="5"/>
  <c r="L18" i="5" s="1"/>
  <c r="M15" i="5"/>
  <c r="L15" i="5"/>
  <c r="N15" i="5" s="1"/>
  <c r="C15" i="5"/>
  <c r="C14" i="5"/>
  <c r="L13" i="5"/>
  <c r="C13" i="5"/>
  <c r="C16" i="5" s="1"/>
  <c r="O11" i="5"/>
  <c r="N11" i="5"/>
  <c r="M11" i="5"/>
  <c r="L11" i="5"/>
  <c r="Q11" i="5" s="1"/>
  <c r="O8" i="5"/>
  <c r="O9" i="5" s="1"/>
  <c r="N8" i="5"/>
  <c r="N9" i="5" s="1"/>
  <c r="M8" i="5"/>
  <c r="M9" i="5" s="1"/>
  <c r="P9" i="5" s="1"/>
  <c r="H7" i="5"/>
  <c r="G7" i="5"/>
  <c r="F7" i="5"/>
  <c r="N6" i="5"/>
  <c r="O4" i="5"/>
  <c r="O5" i="5" s="1"/>
  <c r="N4" i="5"/>
  <c r="N5" i="5" s="1"/>
  <c r="M4" i="5"/>
  <c r="M5" i="5" s="1"/>
  <c r="L4" i="5"/>
  <c r="L5" i="5" s="1"/>
  <c r="L6" i="5" s="1"/>
  <c r="F46" i="1"/>
  <c r="C7" i="5" l="1"/>
  <c r="D7" i="5"/>
  <c r="D6" i="5"/>
  <c r="D8" i="5" s="1"/>
  <c r="C11" i="5"/>
  <c r="L22" i="5"/>
  <c r="D10" i="5" s="1"/>
  <c r="L21" i="5"/>
  <c r="G20" i="1"/>
  <c r="D10" i="3"/>
  <c r="F14" i="2" s="1"/>
  <c r="G39" i="1"/>
  <c r="H19" i="1"/>
  <c r="G14" i="2"/>
  <c r="G45" i="1"/>
  <c r="G27" i="2"/>
  <c r="D32" i="2"/>
  <c r="E32" i="2" s="1"/>
  <c r="F32" i="2" s="1"/>
  <c r="G32" i="2" s="1"/>
  <c r="H32" i="2" s="1"/>
  <c r="I32" i="2" s="1"/>
  <c r="J32" i="2" s="1"/>
  <c r="K32" i="2" s="1"/>
  <c r="L32" i="2" s="1"/>
  <c r="P11" i="2"/>
  <c r="Q11" i="2"/>
  <c r="R11" i="2"/>
  <c r="S11" i="2"/>
  <c r="U11" i="2" s="1"/>
  <c r="G15" i="2"/>
  <c r="G54" i="1"/>
  <c r="Q27" i="2"/>
  <c r="P27" i="2"/>
  <c r="G7" i="2" s="1"/>
  <c r="T17" i="2"/>
  <c r="S17" i="2" s="1"/>
  <c r="U18" i="2"/>
  <c r="D34" i="2" s="1"/>
  <c r="G40" i="1"/>
  <c r="C40" i="1"/>
  <c r="D40" i="1"/>
  <c r="E40" i="1"/>
  <c r="F40" i="1"/>
  <c r="C38" i="1"/>
  <c r="D38" i="1"/>
  <c r="E38" i="1"/>
  <c r="F38" i="1"/>
  <c r="G38" i="1"/>
  <c r="G41" i="1" s="1"/>
  <c r="C33" i="1"/>
  <c r="D33" i="1"/>
  <c r="E33" i="1"/>
  <c r="F33" i="1"/>
  <c r="G33" i="1"/>
  <c r="M33" i="3"/>
  <c r="M26" i="3"/>
  <c r="M27" i="3"/>
  <c r="M28" i="3"/>
  <c r="M29" i="3"/>
  <c r="M30" i="3"/>
  <c r="M31" i="3"/>
  <c r="M32" i="3"/>
  <c r="M14" i="3"/>
  <c r="M15" i="3"/>
  <c r="M16" i="3"/>
  <c r="M17" i="3"/>
  <c r="M18" i="3"/>
  <c r="M19" i="3"/>
  <c r="M20" i="3"/>
  <c r="M21" i="3"/>
  <c r="M22" i="3"/>
  <c r="M23" i="3"/>
  <c r="M24" i="3"/>
  <c r="M25" i="3"/>
  <c r="M10" i="3"/>
  <c r="M11" i="3"/>
  <c r="M12" i="3"/>
  <c r="M13" i="3"/>
  <c r="M9" i="3"/>
  <c r="N9" i="3"/>
  <c r="I10" i="3"/>
  <c r="I11" i="3"/>
  <c r="I12" i="3"/>
  <c r="I13" i="3"/>
  <c r="I9" i="3"/>
  <c r="C11" i="3"/>
  <c r="E46" i="1" s="1"/>
  <c r="C12" i="3"/>
  <c r="D46" i="1" s="1"/>
  <c r="C13" i="3"/>
  <c r="C46" i="1" s="1"/>
  <c r="C14" i="3"/>
  <c r="C10" i="3"/>
  <c r="P24" i="2"/>
  <c r="F15" i="2"/>
  <c r="E15" i="2" s="1"/>
  <c r="D15" i="2" s="1"/>
  <c r="C15" i="2" s="1"/>
  <c r="P23" i="2"/>
  <c r="G13" i="2"/>
  <c r="P20" i="2"/>
  <c r="P22" i="2" s="1"/>
  <c r="P19" i="2"/>
  <c r="Q15" i="2"/>
  <c r="P15" i="2"/>
  <c r="P13" i="2"/>
  <c r="R8" i="2"/>
  <c r="R9" i="2" s="1"/>
  <c r="S8" i="2"/>
  <c r="S9" i="2" s="1"/>
  <c r="Q8" i="2"/>
  <c r="Q9" i="2" s="1"/>
  <c r="T9" i="2" s="1"/>
  <c r="R6" i="2"/>
  <c r="S4" i="2"/>
  <c r="S5" i="2" s="1"/>
  <c r="R4" i="2"/>
  <c r="R5" i="2" s="1"/>
  <c r="Q4" i="2"/>
  <c r="Q5" i="2" s="1"/>
  <c r="P4" i="2"/>
  <c r="P5" i="2" s="1"/>
  <c r="J7" i="2"/>
  <c r="K7" i="2"/>
  <c r="I7" i="2"/>
  <c r="D12" i="5" l="1"/>
  <c r="P21" i="5"/>
  <c r="C10" i="5"/>
  <c r="C6" i="5"/>
  <c r="C8" i="5" s="1"/>
  <c r="F10" i="3"/>
  <c r="F20" i="1"/>
  <c r="E20" i="1" s="1"/>
  <c r="D20" i="1" s="1"/>
  <c r="C20" i="1" s="1"/>
  <c r="R15" i="2"/>
  <c r="G16" i="2"/>
  <c r="G47" i="1" s="1"/>
  <c r="G48" i="1" s="1"/>
  <c r="E34" i="2"/>
  <c r="F13" i="2"/>
  <c r="G13" i="1"/>
  <c r="S18" i="2"/>
  <c r="F9" i="2"/>
  <c r="E9" i="2" s="1"/>
  <c r="F41" i="1"/>
  <c r="N10" i="3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J9" i="3"/>
  <c r="F11" i="3"/>
  <c r="D11" i="3"/>
  <c r="E11" i="3"/>
  <c r="E14" i="2" s="1"/>
  <c r="E10" i="3"/>
  <c r="P21" i="2"/>
  <c r="P6" i="2"/>
  <c r="M18" i="5" l="1"/>
  <c r="G11" i="2"/>
  <c r="E11" i="2" s="1"/>
  <c r="D35" i="2"/>
  <c r="G5" i="2"/>
  <c r="G32" i="1"/>
  <c r="F34" i="2"/>
  <c r="E13" i="2"/>
  <c r="F13" i="1"/>
  <c r="E13" i="1" s="1"/>
  <c r="F16" i="2"/>
  <c r="F47" i="1" s="1"/>
  <c r="J10" i="3"/>
  <c r="F12" i="3"/>
  <c r="D12" i="3"/>
  <c r="E12" i="3" s="1"/>
  <c r="D14" i="2" s="1"/>
  <c r="D13" i="1" l="1"/>
  <c r="C12" i="5"/>
  <c r="C17" i="5" s="1"/>
  <c r="C19" i="5" s="1"/>
  <c r="D17" i="5"/>
  <c r="D19" i="5" s="1"/>
  <c r="D20" i="5" s="1"/>
  <c r="D21" i="5" s="1"/>
  <c r="C20" i="5"/>
  <c r="C21" i="5" s="1"/>
  <c r="F32" i="1"/>
  <c r="G6" i="2"/>
  <c r="G8" i="2"/>
  <c r="G10" i="2"/>
  <c r="G9" i="1" s="1"/>
  <c r="F48" i="1"/>
  <c r="G34" i="2"/>
  <c r="D13" i="2"/>
  <c r="T21" i="2"/>
  <c r="G9" i="2" s="1"/>
  <c r="E41" i="1"/>
  <c r="E16" i="2"/>
  <c r="E47" i="1" s="1"/>
  <c r="E48" i="1" s="1"/>
  <c r="J11" i="3"/>
  <c r="F13" i="3"/>
  <c r="D13" i="3"/>
  <c r="E13" i="3" s="1"/>
  <c r="C14" i="2" s="1"/>
  <c r="D33" i="2"/>
  <c r="D36" i="2" s="1"/>
  <c r="E35" i="2"/>
  <c r="F5" i="2"/>
  <c r="T18" i="2"/>
  <c r="F10" i="2" l="1"/>
  <c r="F8" i="2"/>
  <c r="G12" i="2"/>
  <c r="F6" i="2"/>
  <c r="F7" i="2" s="1"/>
  <c r="G31" i="1"/>
  <c r="G12" i="1"/>
  <c r="T32" i="2" s="1"/>
  <c r="F31" i="1"/>
  <c r="F9" i="1"/>
  <c r="F12" i="1" s="1"/>
  <c r="S32" i="2" s="1"/>
  <c r="E32" i="1"/>
  <c r="H34" i="2"/>
  <c r="H27" i="2"/>
  <c r="C13" i="2"/>
  <c r="C16" i="2" s="1"/>
  <c r="C41" i="1"/>
  <c r="D41" i="1"/>
  <c r="D16" i="2"/>
  <c r="D47" i="1" s="1"/>
  <c r="D48" i="1" s="1"/>
  <c r="J12" i="3"/>
  <c r="F14" i="3"/>
  <c r="D14" i="3"/>
  <c r="E14" i="3" s="1"/>
  <c r="E33" i="2"/>
  <c r="E36" i="2" s="1"/>
  <c r="E5" i="2"/>
  <c r="F35" i="2"/>
  <c r="G17" i="2" l="1"/>
  <c r="G19" i="2" s="1"/>
  <c r="E6" i="2"/>
  <c r="G20" i="2"/>
  <c r="D32" i="1"/>
  <c r="E10" i="2"/>
  <c r="R17" i="2"/>
  <c r="I34" i="2"/>
  <c r="I27" i="2"/>
  <c r="C47" i="1"/>
  <c r="C48" i="1" s="1"/>
  <c r="C13" i="1"/>
  <c r="J13" i="3"/>
  <c r="F33" i="2"/>
  <c r="F36" i="2" s="1"/>
  <c r="G35" i="2"/>
  <c r="H35" i="2" s="1"/>
  <c r="D5" i="2"/>
  <c r="C32" i="1" l="1"/>
  <c r="D6" i="2"/>
  <c r="G50" i="1"/>
  <c r="G21" i="1"/>
  <c r="G21" i="2"/>
  <c r="E31" i="1"/>
  <c r="E9" i="1"/>
  <c r="D10" i="2"/>
  <c r="D31" i="1" s="1"/>
  <c r="J34" i="2"/>
  <c r="J27" i="2"/>
  <c r="I35" i="2"/>
  <c r="H33" i="2"/>
  <c r="H36" i="2" s="1"/>
  <c r="G33" i="2"/>
  <c r="G36" i="2" s="1"/>
  <c r="Q17" i="2"/>
  <c r="C5" i="2"/>
  <c r="R18" i="2"/>
  <c r="D9" i="1" l="1"/>
  <c r="C10" i="2"/>
  <c r="C31" i="1" s="1"/>
  <c r="C6" i="2"/>
  <c r="G34" i="1"/>
  <c r="E12" i="1"/>
  <c r="R32" i="2" s="1"/>
  <c r="K34" i="2"/>
  <c r="K27" i="2"/>
  <c r="L34" i="2" s="1"/>
  <c r="C39" i="2"/>
  <c r="J35" i="2"/>
  <c r="I33" i="2"/>
  <c r="I36" i="2" s="1"/>
  <c r="P17" i="2"/>
  <c r="D9" i="2"/>
  <c r="Q18" i="2"/>
  <c r="C9" i="1" l="1"/>
  <c r="C12" i="1" s="1"/>
  <c r="P32" i="2" s="1"/>
  <c r="D12" i="1"/>
  <c r="Q32" i="2" s="1"/>
  <c r="K35" i="2"/>
  <c r="L35" i="2" s="1"/>
  <c r="J33" i="2"/>
  <c r="J36" i="2" s="1"/>
  <c r="C9" i="2"/>
  <c r="P18" i="2"/>
  <c r="K33" i="2" l="1"/>
  <c r="K36" i="2" s="1"/>
  <c r="L33" i="2" l="1"/>
  <c r="L36" i="2" s="1"/>
  <c r="C40" i="2" s="1"/>
  <c r="G30" i="1"/>
  <c r="G19" i="1" l="1"/>
  <c r="G22" i="1" l="1"/>
  <c r="G35" i="1"/>
  <c r="G53" i="1" s="1"/>
  <c r="G55" i="1" l="1"/>
  <c r="G15" i="1" s="1"/>
  <c r="G17" i="1" s="1"/>
  <c r="T31" i="2" s="1"/>
  <c r="F12" i="2"/>
  <c r="E8" i="2"/>
  <c r="G23" i="1" l="1"/>
  <c r="T30" i="2"/>
  <c r="D8" i="2"/>
  <c r="E7" i="2"/>
  <c r="F54" i="1"/>
  <c r="F30" i="1"/>
  <c r="F17" i="2"/>
  <c r="F20" i="2" s="1"/>
  <c r="C8" i="2"/>
  <c r="C7" i="2" s="1"/>
  <c r="E12" i="2"/>
  <c r="F50" i="1" l="1"/>
  <c r="F21" i="1"/>
  <c r="D12" i="2"/>
  <c r="D7" i="2"/>
  <c r="F19" i="2"/>
  <c r="F21" i="2" s="1"/>
  <c r="E17" i="2"/>
  <c r="E20" i="2" s="1"/>
  <c r="E50" i="1" s="1"/>
  <c r="E30" i="1"/>
  <c r="C12" i="2"/>
  <c r="E21" i="1" l="1"/>
  <c r="D17" i="2"/>
  <c r="D30" i="1"/>
  <c r="F19" i="1"/>
  <c r="C17" i="2"/>
  <c r="C20" i="2" s="1"/>
  <c r="C50" i="1" s="1"/>
  <c r="C30" i="1"/>
  <c r="E19" i="2"/>
  <c r="E21" i="2" s="1"/>
  <c r="D19" i="2" l="1"/>
  <c r="D20" i="2"/>
  <c r="D21" i="1" s="1"/>
  <c r="C21" i="1" s="1"/>
  <c r="E19" i="1"/>
  <c r="F22" i="1"/>
  <c r="F34" i="1"/>
  <c r="F35" i="1" s="1"/>
  <c r="F53" i="1" s="1"/>
  <c r="F55" i="1" s="1"/>
  <c r="F15" i="1" s="1"/>
  <c r="C19" i="2"/>
  <c r="C21" i="2" s="1"/>
  <c r="D50" i="1" l="1"/>
  <c r="D21" i="2"/>
  <c r="D19" i="1" s="1"/>
  <c r="C19" i="1" s="1"/>
  <c r="E34" i="1"/>
  <c r="E35" i="1" s="1"/>
  <c r="E53" i="1" s="1"/>
  <c r="E22" i="1"/>
  <c r="E54" i="1"/>
  <c r="F17" i="1"/>
  <c r="S31" i="2" s="1"/>
  <c r="C34" i="1"/>
  <c r="C35" i="1" s="1"/>
  <c r="C53" i="1" s="1"/>
  <c r="D34" i="1"/>
  <c r="D35" i="1" s="1"/>
  <c r="D53" i="1" s="1"/>
  <c r="D22" i="1"/>
  <c r="F23" i="1" l="1"/>
  <c r="S30" i="2"/>
  <c r="C22" i="1"/>
  <c r="E55" i="1"/>
  <c r="E15" i="1" s="1"/>
  <c r="E17" i="1" l="1"/>
  <c r="R31" i="2" s="1"/>
  <c r="D54" i="1"/>
  <c r="D55" i="1" s="1"/>
  <c r="D15" i="1" s="1"/>
  <c r="C54" i="1" s="1"/>
  <c r="C55" i="1" s="1"/>
  <c r="C15" i="1" s="1"/>
  <c r="E23" i="1" l="1"/>
  <c r="R30" i="2"/>
  <c r="D17" i="1"/>
  <c r="Q31" i="2" s="1"/>
  <c r="C17" i="1"/>
  <c r="P30" i="2" l="1"/>
  <c r="P31" i="2"/>
  <c r="D23" i="1"/>
  <c r="Q30" i="2"/>
</calcChain>
</file>

<file path=xl/sharedStrings.xml><?xml version="1.0" encoding="utf-8"?>
<sst xmlns="http://schemas.openxmlformats.org/spreadsheetml/2006/main" count="227" uniqueCount="123">
  <si>
    <t>Best case</t>
  </si>
  <si>
    <t>worst case</t>
  </si>
  <si>
    <t>2020-12</t>
  </si>
  <si>
    <t>2019-12</t>
  </si>
  <si>
    <t>2018-12</t>
  </si>
  <si>
    <t>2017-12</t>
  </si>
  <si>
    <t>2016-12</t>
  </si>
  <si>
    <t>Valutakode</t>
  </si>
  <si>
    <t>DKK</t>
  </si>
  <si>
    <t>Forskel netto år til år</t>
  </si>
  <si>
    <t>Nettoomsætning</t>
  </si>
  <si>
    <t>pocentvise ændring</t>
  </si>
  <si>
    <t>Vareforbrug</t>
  </si>
  <si>
    <t>-</t>
  </si>
  <si>
    <t>gnsm netto oms:</t>
  </si>
  <si>
    <t>Øvrige omkostninger</t>
  </si>
  <si>
    <t>Bruttofortjeneste</t>
  </si>
  <si>
    <t>forskel netto og vareforbrug</t>
  </si>
  <si>
    <t>GNMS:</t>
  </si>
  <si>
    <t>Personaleomkostninger</t>
  </si>
  <si>
    <t>procentvise ænding</t>
  </si>
  <si>
    <t>%</t>
  </si>
  <si>
    <t>Afskrivninger</t>
  </si>
  <si>
    <t>Kapacitetsomkostninger</t>
  </si>
  <si>
    <t>Buttofortjeneste i %</t>
  </si>
  <si>
    <t>Primært resultat</t>
  </si>
  <si>
    <t>Beskæftiget 2020 - 2019</t>
  </si>
  <si>
    <t>Finansielle indtægter</t>
  </si>
  <si>
    <t>omkostninger pr medarbejder</t>
  </si>
  <si>
    <t>Finansielle udgifter</t>
  </si>
  <si>
    <t>gnms</t>
  </si>
  <si>
    <t>Andre finansielle indtægter eller udgifter netto</t>
  </si>
  <si>
    <t xml:space="preserve">omsætning medarbejder </t>
  </si>
  <si>
    <t>Finansielle poster netto</t>
  </si>
  <si>
    <t>År</t>
  </si>
  <si>
    <t>Ordinært resultat</t>
  </si>
  <si>
    <t>medarbejdere</t>
  </si>
  <si>
    <t>Ekstraordinære poster</t>
  </si>
  <si>
    <t>Resultat før skat</t>
  </si>
  <si>
    <t>Skat af årets resultat</t>
  </si>
  <si>
    <t>Årets resultat</t>
  </si>
  <si>
    <t>Medarbejdere ift. omsætning</t>
  </si>
  <si>
    <t>procent af omsætning er afskivning</t>
  </si>
  <si>
    <t>skattetyk</t>
  </si>
  <si>
    <t>Worst case vækst</t>
  </si>
  <si>
    <t>år</t>
  </si>
  <si>
    <t>Best case vækst</t>
  </si>
  <si>
    <t>Markedsføring Tyskland</t>
  </si>
  <si>
    <t>markedsføring ved fald i vækst</t>
  </si>
  <si>
    <t>Dækningsbidrag =</t>
  </si>
  <si>
    <t>Omsætning - Variable omkostninger</t>
  </si>
  <si>
    <t>Dækningsgrad =</t>
  </si>
  <si>
    <t>Dækningsbidrag/Omsætning*100</t>
  </si>
  <si>
    <t>2025-12</t>
  </si>
  <si>
    <t>2024-12</t>
  </si>
  <si>
    <t>2023-12</t>
  </si>
  <si>
    <t>2022-12</t>
  </si>
  <si>
    <t>2021-12</t>
  </si>
  <si>
    <t>Profitabilitets analyse (1.000)</t>
  </si>
  <si>
    <t>salg øvrige europa 2020</t>
  </si>
  <si>
    <t>ansatte pr år</t>
  </si>
  <si>
    <t>afskrivninger</t>
  </si>
  <si>
    <t>årligt</t>
  </si>
  <si>
    <t>¨</t>
  </si>
  <si>
    <t>Kapitalværdi</t>
  </si>
  <si>
    <t>Afkastningsgrad</t>
  </si>
  <si>
    <t>Aktivernes omsætningshastighed</t>
  </si>
  <si>
    <t>scrap-værdi</t>
  </si>
  <si>
    <t>Anlægsaktivernes omsætningshastihhed</t>
  </si>
  <si>
    <t>Omkostninger</t>
  </si>
  <si>
    <t>salg</t>
  </si>
  <si>
    <t>betalingsrække</t>
  </si>
  <si>
    <t>kalkulationsrente</t>
  </si>
  <si>
    <t>kapitalværdi for 5 år</t>
  </si>
  <si>
    <t>kapitalværdi for 10 år</t>
  </si>
  <si>
    <t>Annuitet</t>
  </si>
  <si>
    <t>Intern Rente</t>
  </si>
  <si>
    <r>
      <t>BALANCEREGNSKAB </t>
    </r>
    <r>
      <rPr>
        <sz val="14"/>
        <color rgb="FF333333"/>
        <rFont val="Arial"/>
        <family val="2"/>
      </rPr>
      <t>i hele 1000</t>
    </r>
  </si>
  <si>
    <t>Immaterielle anlægsaktiver i alt</t>
  </si>
  <si>
    <t>Materielle anlægsaktiver i alt</t>
  </si>
  <si>
    <t>Finansielle anlægsaktiver i alt</t>
  </si>
  <si>
    <t>Anlægsaktiver i alt</t>
  </si>
  <si>
    <t>Varebeholdninger</t>
  </si>
  <si>
    <t>Tilgodehavender i alt</t>
  </si>
  <si>
    <t>Likvide midler</t>
  </si>
  <si>
    <t>Aktiver i alt</t>
  </si>
  <si>
    <t>Egenkapital i alt</t>
  </si>
  <si>
    <t>Langfristet gæld i alt</t>
  </si>
  <si>
    <t>Kortfristet gæld i alt</t>
  </si>
  <si>
    <t>Passiver i alt</t>
  </si>
  <si>
    <t xml:space="preserve">REGENSKABSANALYSE </t>
  </si>
  <si>
    <t xml:space="preserve">Pengestrom fra driftaktivitet </t>
  </si>
  <si>
    <t xml:space="preserve">Reulstat af primær drift </t>
  </si>
  <si>
    <t xml:space="preserve">Afskrivnign </t>
  </si>
  <si>
    <t>Ændringer i varelager</t>
  </si>
  <si>
    <t>Ændringer i tilgodehavnder</t>
  </si>
  <si>
    <t xml:space="preserve">Ændringer i anden kortfristet gæld </t>
  </si>
  <si>
    <t xml:space="preserve">Pengestrøm fra driftsaktivitet </t>
  </si>
  <si>
    <t xml:space="preserve">Pengestrøm fra investeringsaktivitet </t>
  </si>
  <si>
    <t>Tilgang af immertaielle anlægaktiver</t>
  </si>
  <si>
    <t>Tilgang af materielle anlægaktiver</t>
  </si>
  <si>
    <t>Tilgang af finansielle anlægaktiver</t>
  </si>
  <si>
    <t>Pengestrøm fra finansieringaktivitet</t>
  </si>
  <si>
    <t xml:space="preserve">Lånoptagelse </t>
  </si>
  <si>
    <t xml:space="preserve">Afdrag på lån </t>
  </si>
  <si>
    <t xml:space="preserve">Finansielle poseter </t>
  </si>
  <si>
    <t>Pengestrøm fra finanseringsaktivitet</t>
  </si>
  <si>
    <t>skat af års resultat</t>
  </si>
  <si>
    <t xml:space="preserve">Ændring i livkide beholdning </t>
  </si>
  <si>
    <t xml:space="preserve">Likvide beholdning, primo </t>
  </si>
  <si>
    <t>Likvid beholdning, ultimo</t>
  </si>
  <si>
    <t xml:space="preserve">Udrening af rente </t>
  </si>
  <si>
    <t xml:space="preserve">Udregning af afskrinvnig på robotter </t>
  </si>
  <si>
    <t>Udregning af afskrinvnig på lagerhallen</t>
  </si>
  <si>
    <t xml:space="preserve">Udlåns Rente </t>
  </si>
  <si>
    <t xml:space="preserve">Løbetid </t>
  </si>
  <si>
    <t>ÅOP</t>
  </si>
  <si>
    <t xml:space="preserve">Total lån </t>
  </si>
  <si>
    <t xml:space="preserve">Afdrag </t>
  </si>
  <si>
    <t xml:space="preserve">rente </t>
  </si>
  <si>
    <t xml:space="preserve">Ydelse </t>
  </si>
  <si>
    <t>restedende lån</t>
  </si>
  <si>
    <t>Ydelse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</si>
</sst>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kr.&quot;;[Red]\-#,##0\ &quot;kr.&quot;"/>
    <numFmt numFmtId="8" formatCode="#,##0.00\ &quot;kr.&quot;;[Red]\-#,##0.00\ &quot;kr.&quot;"/>
    <numFmt numFmtId="164" formatCode="0.0"/>
  </numFmts>
  <fonts count="26">
    <font>
      <sz val="12"/>
      <color theme="1"/>
      <name val="Calibri"/>
      <family val="2"/>
      <scheme val="minor"/>
    </font>
    <font>
      <b/>
      <sz val="14"/>
      <color rgb="FF333333"/>
      <name val="Arial"/>
      <family val="2"/>
    </font>
    <font>
      <sz val="14"/>
      <color rgb="FF333333"/>
      <name val="Arial"/>
      <family val="2"/>
    </font>
    <font>
      <sz val="14"/>
      <color rgb="FF000000"/>
      <name val="Arial"/>
      <family val="2"/>
    </font>
    <font>
      <sz val="11"/>
      <color rgb="FF333333"/>
      <name val="Calibri"/>
    </font>
    <font>
      <b/>
      <sz val="11"/>
      <color rgb="FF333333"/>
      <name val="Calibri"/>
    </font>
    <font>
      <sz val="11"/>
      <color rgb="FF000000"/>
      <name val="Calibri"/>
    </font>
    <font>
      <b/>
      <sz val="12"/>
      <color rgb="FF333333"/>
      <name val="Calibri"/>
    </font>
    <font>
      <sz val="11"/>
      <color rgb="FF444444"/>
      <name val="Calibri"/>
      <family val="2"/>
      <charset val="1"/>
    </font>
    <font>
      <sz val="12"/>
      <color rgb="FF000000"/>
      <name val="Calibri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FFC000"/>
      <name val="Calibri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charset val="1"/>
    </font>
    <font>
      <sz val="12"/>
      <color rgb="FF000000"/>
      <name val="WordVisi_MSFontService"/>
      <charset val="1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4"/>
      <color rgb="FF000000"/>
      <name val="Arial"/>
      <family val="2"/>
    </font>
    <font>
      <sz val="14"/>
      <color rgb="FF333333"/>
      <name val="Arial"/>
    </font>
    <font>
      <sz val="9"/>
      <color rgb="FF595959"/>
      <name val="Arial"/>
      <family val="2"/>
      <charset val="1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333333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3" fontId="4" fillId="3" borderId="2" xfId="0" applyNumberFormat="1" applyFont="1" applyFill="1" applyBorder="1" applyAlignment="1">
      <alignment wrapText="1"/>
    </xf>
    <xf numFmtId="3" fontId="4" fillId="2" borderId="2" xfId="0" applyNumberFormat="1" applyFont="1" applyFill="1" applyBorder="1" applyAlignment="1">
      <alignment wrapText="1"/>
    </xf>
    <xf numFmtId="0" fontId="4" fillId="2" borderId="2" xfId="0" quotePrefix="1" applyFont="1" applyFill="1" applyBorder="1" applyAlignment="1">
      <alignment wrapText="1"/>
    </xf>
    <xf numFmtId="0" fontId="4" fillId="3" borderId="2" xfId="0" quotePrefix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3" fontId="4" fillId="4" borderId="2" xfId="0" applyNumberFormat="1" applyFont="1" applyFill="1" applyBorder="1" applyAlignment="1">
      <alignment wrapText="1"/>
    </xf>
    <xf numFmtId="3" fontId="6" fillId="5" borderId="2" xfId="0" applyNumberFormat="1" applyFont="1" applyFill="1" applyBorder="1" applyAlignment="1">
      <alignment wrapText="1"/>
    </xf>
    <xf numFmtId="3" fontId="4" fillId="3" borderId="2" xfId="0" quotePrefix="1" applyNumberFormat="1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3" fontId="0" fillId="0" borderId="0" xfId="0" applyNumberFormat="1"/>
    <xf numFmtId="2" fontId="0" fillId="0" borderId="0" xfId="0" applyNumberFormat="1"/>
    <xf numFmtId="0" fontId="8" fillId="0" borderId="0" xfId="0" quotePrefix="1" applyFont="1" applyAlignment="1">
      <alignment wrapText="1"/>
    </xf>
    <xf numFmtId="1" fontId="0" fillId="0" borderId="0" xfId="0" applyNumberFormat="1"/>
    <xf numFmtId="0" fontId="9" fillId="0" borderId="0" xfId="0" applyFont="1" applyAlignment="1">
      <alignment wrapText="1"/>
    </xf>
    <xf numFmtId="9" fontId="9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0" fontId="10" fillId="0" borderId="0" xfId="0" applyFont="1" applyBorder="1" applyAlignment="1">
      <alignment wrapText="1"/>
    </xf>
    <xf numFmtId="3" fontId="10" fillId="0" borderId="0" xfId="0" applyNumberFormat="1" applyFont="1" applyBorder="1" applyAlignment="1">
      <alignment wrapText="1"/>
    </xf>
    <xf numFmtId="9" fontId="10" fillId="0" borderId="0" xfId="0" applyNumberFormat="1" applyFont="1" applyBorder="1" applyAlignment="1">
      <alignment wrapText="1"/>
    </xf>
    <xf numFmtId="6" fontId="10" fillId="0" borderId="0" xfId="0" applyNumberFormat="1" applyFont="1" applyBorder="1" applyAlignment="1">
      <alignment wrapText="1"/>
    </xf>
    <xf numFmtId="8" fontId="11" fillId="0" borderId="0" xfId="0" applyNumberFormat="1" applyFont="1" applyBorder="1" applyAlignment="1">
      <alignment wrapText="1"/>
    </xf>
    <xf numFmtId="3" fontId="0" fillId="0" borderId="0" xfId="0" applyNumberFormat="1" applyAlignment="1">
      <alignment wrapText="1"/>
    </xf>
    <xf numFmtId="0" fontId="12" fillId="0" borderId="0" xfId="0" applyFont="1"/>
    <xf numFmtId="10" fontId="0" fillId="0" borderId="0" xfId="0" applyNumberFormat="1" applyAlignment="1">
      <alignment wrapText="1"/>
    </xf>
    <xf numFmtId="0" fontId="15" fillId="6" borderId="0" xfId="0" applyFont="1" applyFill="1"/>
    <xf numFmtId="8" fontId="15" fillId="6" borderId="0" xfId="0" applyNumberFormat="1" applyFont="1" applyFill="1"/>
    <xf numFmtId="0" fontId="15" fillId="7" borderId="0" xfId="0" applyFont="1" applyFill="1"/>
    <xf numFmtId="8" fontId="15" fillId="7" borderId="0" xfId="0" applyNumberFormat="1" applyFont="1" applyFill="1"/>
    <xf numFmtId="0" fontId="0" fillId="6" borderId="0" xfId="0" applyFill="1" applyBorder="1"/>
    <xf numFmtId="2" fontId="0" fillId="6" borderId="0" xfId="0" applyNumberFormat="1" applyFill="1" applyBorder="1"/>
    <xf numFmtId="2" fontId="0" fillId="7" borderId="0" xfId="0" applyNumberFormat="1" applyFill="1" applyBorder="1"/>
    <xf numFmtId="164" fontId="0" fillId="6" borderId="0" xfId="0" applyNumberFormat="1" applyFill="1" applyBorder="1"/>
    <xf numFmtId="3" fontId="0" fillId="6" borderId="0" xfId="0" applyNumberFormat="1" applyFill="1" applyBorder="1" applyAlignment="1">
      <alignment wrapText="1"/>
    </xf>
    <xf numFmtId="3" fontId="0" fillId="7" borderId="0" xfId="0" applyNumberFormat="1" applyFill="1" applyBorder="1" applyAlignment="1">
      <alignment wrapText="1"/>
    </xf>
    <xf numFmtId="4" fontId="0" fillId="6" borderId="0" xfId="0" applyNumberFormat="1" applyFill="1" applyBorder="1"/>
    <xf numFmtId="4" fontId="0" fillId="7" borderId="0" xfId="0" applyNumberFormat="1" applyFill="1" applyBorder="1"/>
    <xf numFmtId="0" fontId="0" fillId="6" borderId="4" xfId="0" applyFill="1" applyBorder="1"/>
    <xf numFmtId="0" fontId="0" fillId="7" borderId="4" xfId="0" applyFill="1" applyBorder="1"/>
    <xf numFmtId="0" fontId="9" fillId="7" borderId="4" xfId="0" applyFont="1" applyFill="1" applyBorder="1" applyAlignment="1">
      <alignment wrapText="1"/>
    </xf>
    <xf numFmtId="0" fontId="0" fillId="6" borderId="5" xfId="0" applyFill="1" applyBorder="1"/>
    <xf numFmtId="0" fontId="0" fillId="6" borderId="6" xfId="0" applyFill="1" applyBorder="1"/>
    <xf numFmtId="0" fontId="13" fillId="7" borderId="6" xfId="0" applyFont="1" applyFill="1" applyBorder="1"/>
    <xf numFmtId="0" fontId="14" fillId="7" borderId="6" xfId="0" applyFont="1" applyFill="1" applyBorder="1" applyAlignment="1">
      <alignment wrapText="1"/>
    </xf>
    <xf numFmtId="0" fontId="14" fillId="7" borderId="7" xfId="0" applyFont="1" applyFill="1" applyBorder="1" applyAlignment="1">
      <alignment wrapText="1"/>
    </xf>
    <xf numFmtId="0" fontId="0" fillId="6" borderId="8" xfId="0" applyFill="1" applyBorder="1"/>
    <xf numFmtId="2" fontId="0" fillId="7" borderId="9" xfId="0" applyNumberFormat="1" applyFill="1" applyBorder="1"/>
    <xf numFmtId="3" fontId="0" fillId="7" borderId="9" xfId="0" applyNumberFormat="1" applyFill="1" applyBorder="1" applyAlignment="1">
      <alignment wrapText="1"/>
    </xf>
    <xf numFmtId="4" fontId="0" fillId="7" borderId="9" xfId="0" applyNumberFormat="1" applyFill="1" applyBorder="1"/>
    <xf numFmtId="9" fontId="0" fillId="6" borderId="10" xfId="0" applyNumberFormat="1" applyFill="1" applyBorder="1"/>
    <xf numFmtId="0" fontId="9" fillId="7" borderId="11" xfId="0" applyFont="1" applyFill="1" applyBorder="1" applyAlignment="1">
      <alignment wrapText="1"/>
    </xf>
    <xf numFmtId="0" fontId="0" fillId="6" borderId="7" xfId="0" applyFill="1" applyBorder="1"/>
    <xf numFmtId="2" fontId="0" fillId="6" borderId="9" xfId="0" applyNumberFormat="1" applyFill="1" applyBorder="1"/>
    <xf numFmtId="3" fontId="0" fillId="6" borderId="9" xfId="0" applyNumberFormat="1" applyFill="1" applyBorder="1" applyAlignment="1">
      <alignment wrapText="1"/>
    </xf>
    <xf numFmtId="4" fontId="0" fillId="6" borderId="9" xfId="0" applyNumberFormat="1" applyFill="1" applyBorder="1"/>
    <xf numFmtId="0" fontId="0" fillId="6" borderId="11" xfId="0" applyFill="1" applyBorder="1"/>
    <xf numFmtId="10" fontId="0" fillId="0" borderId="0" xfId="0" applyNumberFormat="1"/>
    <xf numFmtId="0" fontId="17" fillId="0" borderId="12" xfId="0" applyFont="1" applyFill="1" applyBorder="1"/>
    <xf numFmtId="0" fontId="17" fillId="0" borderId="0" xfId="0" applyFont="1" applyFill="1" applyBorder="1"/>
    <xf numFmtId="9" fontId="17" fillId="0" borderId="0" xfId="0" applyNumberFormat="1" applyFont="1" applyFill="1" applyBorder="1"/>
    <xf numFmtId="0" fontId="16" fillId="0" borderId="0" xfId="0" applyFont="1" applyFill="1" applyBorder="1"/>
    <xf numFmtId="0" fontId="17" fillId="0" borderId="0" xfId="0" applyNumberFormat="1" applyFont="1" applyFill="1" applyBorder="1"/>
    <xf numFmtId="3" fontId="17" fillId="0" borderId="0" xfId="0" applyNumberFormat="1" applyFont="1" applyFill="1" applyBorder="1"/>
    <xf numFmtId="3" fontId="17" fillId="0" borderId="0" xfId="0" applyNumberFormat="1" applyFont="1"/>
    <xf numFmtId="3" fontId="19" fillId="0" borderId="0" xfId="0" applyNumberFormat="1" applyFont="1" applyAlignment="1">
      <alignment wrapText="1"/>
    </xf>
    <xf numFmtId="0" fontId="20" fillId="0" borderId="0" xfId="0" applyFont="1"/>
    <xf numFmtId="1" fontId="20" fillId="0" borderId="0" xfId="0" applyNumberFormat="1" applyFont="1"/>
    <xf numFmtId="3" fontId="20" fillId="0" borderId="0" xfId="0" applyNumberFormat="1" applyFont="1"/>
    <xf numFmtId="2" fontId="20" fillId="0" borderId="0" xfId="0" applyNumberFormat="1" applyFont="1"/>
    <xf numFmtId="2" fontId="21" fillId="0" borderId="0" xfId="0" quotePrefix="1" applyNumberFormat="1" applyFont="1" applyAlignment="1">
      <alignment wrapText="1"/>
    </xf>
    <xf numFmtId="2" fontId="21" fillId="0" borderId="0" xfId="0" applyNumberFormat="1" applyFont="1" applyAlignment="1">
      <alignment wrapText="1"/>
    </xf>
    <xf numFmtId="0" fontId="0" fillId="2" borderId="0" xfId="0" applyFill="1"/>
    <xf numFmtId="2" fontId="20" fillId="2" borderId="0" xfId="0" applyNumberFormat="1" applyFont="1" applyFill="1"/>
    <xf numFmtId="0" fontId="2" fillId="0" borderId="8" xfId="0" applyFont="1" applyBorder="1"/>
    <xf numFmtId="3" fontId="2" fillId="0" borderId="8" xfId="0" applyNumberFormat="1" applyFont="1" applyBorder="1"/>
    <xf numFmtId="0" fontId="0" fillId="6" borderId="0" xfId="0" applyFill="1"/>
    <xf numFmtId="164" fontId="0" fillId="6" borderId="0" xfId="0" applyNumberFormat="1" applyFill="1"/>
    <xf numFmtId="3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0" fillId="0" borderId="13" xfId="0" applyFill="1" applyBorder="1"/>
    <xf numFmtId="0" fontId="17" fillId="0" borderId="0" xfId="0" applyFont="1"/>
    <xf numFmtId="0" fontId="4" fillId="0" borderId="1" xfId="0" applyFont="1" applyFill="1" applyBorder="1" applyAlignment="1">
      <alignment wrapText="1"/>
    </xf>
    <xf numFmtId="2" fontId="17" fillId="0" borderId="0" xfId="0" applyNumberFormat="1" applyFont="1"/>
    <xf numFmtId="3" fontId="1" fillId="0" borderId="4" xfId="0" applyNumberFormat="1" applyFont="1" applyBorder="1"/>
    <xf numFmtId="3" fontId="22" fillId="0" borderId="12" xfId="0" applyNumberFormat="1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0" xfId="0" applyFont="1" applyBorder="1"/>
    <xf numFmtId="0" fontId="2" fillId="0" borderId="9" xfId="0" applyFont="1" applyBorder="1"/>
    <xf numFmtId="3" fontId="2" fillId="0" borderId="0" xfId="0" applyNumberFormat="1" applyFont="1" applyBorder="1"/>
    <xf numFmtId="3" fontId="2" fillId="0" borderId="9" xfId="0" applyNumberFormat="1" applyFont="1" applyBorder="1"/>
    <xf numFmtId="0" fontId="1" fillId="0" borderId="8" xfId="0" applyFont="1" applyFill="1" applyBorder="1"/>
    <xf numFmtId="0" fontId="2" fillId="0" borderId="8" xfId="0" applyFont="1" applyFill="1" applyBorder="1"/>
    <xf numFmtId="0" fontId="1" fillId="0" borderId="10" xfId="0" applyFont="1" applyFill="1" applyBorder="1"/>
    <xf numFmtId="3" fontId="2" fillId="0" borderId="10" xfId="0" applyNumberFormat="1" applyFont="1" applyBorder="1"/>
    <xf numFmtId="3" fontId="2" fillId="0" borderId="4" xfId="0" applyNumberFormat="1" applyFont="1" applyBorder="1"/>
    <xf numFmtId="3" fontId="3" fillId="0" borderId="11" xfId="0" applyNumberFormat="1" applyFont="1" applyBorder="1"/>
    <xf numFmtId="0" fontId="23" fillId="0" borderId="8" xfId="0" applyFont="1" applyFill="1" applyBorder="1"/>
    <xf numFmtId="3" fontId="23" fillId="0" borderId="0" xfId="0" applyNumberFormat="1" applyFont="1"/>
    <xf numFmtId="3" fontId="0" fillId="0" borderId="0" xfId="0" applyNumberFormat="1" applyFont="1"/>
    <xf numFmtId="3" fontId="15" fillId="0" borderId="0" xfId="0" applyNumberFormat="1" applyFont="1" applyFill="1" applyBorder="1"/>
    <xf numFmtId="3" fontId="0" fillId="0" borderId="0" xfId="0" applyNumberFormat="1" applyFont="1" applyFill="1" applyBorder="1"/>
    <xf numFmtId="4" fontId="0" fillId="0" borderId="0" xfId="0" applyNumberFormat="1"/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3" fontId="0" fillId="0" borderId="0" xfId="0" applyNumberFormat="1" applyFill="1" applyBorder="1" applyAlignment="1">
      <alignment wrapText="1"/>
    </xf>
    <xf numFmtId="4" fontId="0" fillId="0" borderId="0" xfId="0" applyNumberFormat="1" applyFill="1" applyBorder="1"/>
    <xf numFmtId="9" fontId="0" fillId="0" borderId="0" xfId="0" applyNumberFormat="1" applyFill="1" applyBorder="1"/>
    <xf numFmtId="0" fontId="15" fillId="0" borderId="0" xfId="0" applyFont="1" applyFill="1" applyBorder="1"/>
    <xf numFmtId="8" fontId="15" fillId="0" borderId="0" xfId="0" applyNumberFormat="1" applyFont="1" applyFill="1" applyBorder="1"/>
    <xf numFmtId="0" fontId="13" fillId="0" borderId="0" xfId="0" applyFont="1" applyFill="1" applyBorder="1"/>
    <xf numFmtId="0" fontId="14" fillId="0" borderId="0" xfId="0" applyFont="1" applyFill="1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Fill="1" applyBorder="1" applyAlignment="1">
      <alignment wrapText="1"/>
    </xf>
    <xf numFmtId="9" fontId="9" fillId="0" borderId="0" xfId="0" applyNumberFormat="1" applyFont="1" applyBorder="1" applyAlignment="1">
      <alignment wrapText="1"/>
    </xf>
    <xf numFmtId="8" fontId="9" fillId="0" borderId="0" xfId="0" applyNumberFormat="1" applyFont="1" applyBorder="1" applyAlignment="1">
      <alignment wrapText="1"/>
    </xf>
    <xf numFmtId="9" fontId="0" fillId="0" borderId="0" xfId="0" applyNumberFormat="1"/>
    <xf numFmtId="10" fontId="0" fillId="0" borderId="0" xfId="0" applyNumberFormat="1" applyAlignment="1"/>
    <xf numFmtId="0" fontId="24" fillId="0" borderId="0" xfId="0" applyFont="1" applyAlignment="1">
      <alignment wrapText="1"/>
    </xf>
    <xf numFmtId="0" fontId="2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1" fontId="0" fillId="0" borderId="0" xfId="0" applyNumberFormat="1" applyFill="1" applyBorder="1"/>
    <xf numFmtId="0" fontId="17" fillId="0" borderId="0" xfId="0" applyFont="1" applyFill="1"/>
    <xf numFmtId="0" fontId="18" fillId="0" borderId="0" xfId="0" applyFont="1" applyFill="1" applyAlignment="1">
      <alignment wrapText="1"/>
    </xf>
    <xf numFmtId="0" fontId="16" fillId="0" borderId="12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C4FF"/>
      <color rgb="FFFEFFBF"/>
      <color rgb="FFFAAFB0"/>
      <color rgb="FFBEF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3FF1-88CA-4854-9B88-F4120FF65ED5}">
  <dimension ref="B3:Q54"/>
  <sheetViews>
    <sheetView workbookViewId="0">
      <selection activeCell="B29" sqref="B29:C31"/>
    </sheetView>
  </sheetViews>
  <sheetFormatPr defaultColWidth="8.875" defaultRowHeight="15.95"/>
  <cols>
    <col min="2" max="2" width="37.125" customWidth="1"/>
    <col min="3" max="3" width="32.25" customWidth="1"/>
    <col min="4" max="4" width="14.5" customWidth="1"/>
    <col min="5" max="5" width="16.375" customWidth="1"/>
    <col min="6" max="6" width="24.25" customWidth="1"/>
    <col min="7" max="7" width="14.875" customWidth="1"/>
    <col min="8" max="8" width="10.625" customWidth="1"/>
    <col min="9" max="10" width="12.625" bestFit="1" customWidth="1"/>
    <col min="11" max="11" width="31" customWidth="1"/>
    <col min="12" max="12" width="12.625" bestFit="1" customWidth="1"/>
    <col min="13" max="13" width="13.625" customWidth="1"/>
    <col min="14" max="14" width="12.625" customWidth="1"/>
    <col min="15" max="15" width="23.875" customWidth="1"/>
    <col min="16" max="16" width="14.875" customWidth="1"/>
    <col min="17" max="18" width="9"/>
    <col min="19" max="19" width="13.125" customWidth="1"/>
  </cols>
  <sheetData>
    <row r="3" spans="2:17" ht="15.75">
      <c r="C3" t="s">
        <v>0</v>
      </c>
      <c r="D3" t="s">
        <v>1</v>
      </c>
      <c r="F3" s="15" t="s">
        <v>2</v>
      </c>
      <c r="G3" s="15" t="s">
        <v>3</v>
      </c>
      <c r="H3" s="15" t="s">
        <v>4</v>
      </c>
      <c r="I3" s="15" t="s">
        <v>5</v>
      </c>
      <c r="J3" s="15" t="s">
        <v>6</v>
      </c>
    </row>
    <row r="4" spans="2:17" ht="15.75">
      <c r="B4" s="3" t="s">
        <v>7</v>
      </c>
      <c r="F4" s="4" t="s">
        <v>8</v>
      </c>
      <c r="G4" s="5" t="s">
        <v>8</v>
      </c>
      <c r="H4" s="4" t="s">
        <v>8</v>
      </c>
      <c r="I4" s="5" t="s">
        <v>8</v>
      </c>
      <c r="J4" s="4" t="s">
        <v>8</v>
      </c>
      <c r="K4" t="s">
        <v>9</v>
      </c>
      <c r="L4" s="16">
        <f>F5-G5</f>
        <v>667731</v>
      </c>
      <c r="M4" s="16">
        <f>G5-H5</f>
        <v>325376</v>
      </c>
      <c r="N4" s="16">
        <f>H5-I5</f>
        <v>172211</v>
      </c>
      <c r="O4" s="16">
        <f>I5-J5</f>
        <v>155191</v>
      </c>
    </row>
    <row r="5" spans="2:17" ht="15.75">
      <c r="B5" s="3" t="s">
        <v>10</v>
      </c>
      <c r="C5" s="16">
        <f>F5*C27+F5</f>
        <v>2753332.4</v>
      </c>
      <c r="D5" s="16">
        <f>F5*C26+F5</f>
        <v>2223845.4</v>
      </c>
      <c r="F5" s="6">
        <v>2117948</v>
      </c>
      <c r="G5" s="7">
        <v>1450217</v>
      </c>
      <c r="H5" s="6">
        <v>1124841</v>
      </c>
      <c r="I5" s="7">
        <v>952630</v>
      </c>
      <c r="J5" s="6">
        <v>797439</v>
      </c>
      <c r="K5" t="s">
        <v>11</v>
      </c>
      <c r="L5">
        <f>L4/F5*100</f>
        <v>31.527261292534092</v>
      </c>
      <c r="M5">
        <f>M4/G5*100</f>
        <v>22.436366419646163</v>
      </c>
      <c r="N5">
        <f>N4/H5*100</f>
        <v>15.309808230674379</v>
      </c>
      <c r="O5">
        <f>O4/I5*100</f>
        <v>16.290794957118713</v>
      </c>
    </row>
    <row r="6" spans="2:17" ht="15.75">
      <c r="B6" s="3" t="s">
        <v>12</v>
      </c>
      <c r="C6" s="72">
        <f>-C5+C5*$P$9%</f>
        <v>-2506712.0839939602</v>
      </c>
      <c r="D6" s="72">
        <f>-D5+D5*$P$9%</f>
        <v>-2024652.0678412754</v>
      </c>
      <c r="F6" s="6">
        <v>1911834</v>
      </c>
      <c r="G6" s="7">
        <v>1328064</v>
      </c>
      <c r="H6" s="6">
        <v>1026793</v>
      </c>
      <c r="I6" s="8" t="s">
        <v>13</v>
      </c>
      <c r="J6" s="9" t="s">
        <v>13</v>
      </c>
      <c r="K6" t="s">
        <v>14</v>
      </c>
      <c r="L6" s="17">
        <f>AVERAGE(L5:O5)</f>
        <v>21.391057724993338</v>
      </c>
      <c r="N6" s="18">
        <f>(((F5-G5)+(G5-H5)+(H5-I5)+(I5-J5))/4)+F5</f>
        <v>2448075.25</v>
      </c>
    </row>
    <row r="7" spans="2:17" ht="15.75">
      <c r="B7" s="3" t="s">
        <v>15</v>
      </c>
      <c r="C7" s="73">
        <f>-M27</f>
        <v>-65778.2</v>
      </c>
      <c r="D7" s="73">
        <f>-M27</f>
        <v>-65778.2</v>
      </c>
      <c r="F7" s="14">
        <f>F5-F6-F8</f>
        <v>79652</v>
      </c>
      <c r="G7" s="14">
        <f t="shared" ref="G7:H7" si="0">G5-G6-G8</f>
        <v>44946</v>
      </c>
      <c r="H7" s="14">
        <f t="shared" si="0"/>
        <v>32620</v>
      </c>
      <c r="I7" s="14"/>
      <c r="J7" s="14"/>
    </row>
    <row r="8" spans="2:17" ht="15.75">
      <c r="B8" s="10" t="s">
        <v>16</v>
      </c>
      <c r="C8" s="16">
        <f>C5+C6+C7</f>
        <v>180842.11600603972</v>
      </c>
      <c r="D8" s="16">
        <f>D5+D6+D7</f>
        <v>133415.13215872453</v>
      </c>
      <c r="F8" s="6">
        <v>126462</v>
      </c>
      <c r="G8" s="7">
        <v>77207</v>
      </c>
      <c r="H8" s="6">
        <v>65428</v>
      </c>
      <c r="I8" s="7">
        <v>49204</v>
      </c>
      <c r="J8" s="6">
        <v>47842</v>
      </c>
      <c r="K8" t="s">
        <v>17</v>
      </c>
      <c r="M8" s="16">
        <f>F5-F6</f>
        <v>206114</v>
      </c>
      <c r="N8" s="16">
        <f>G5-G6</f>
        <v>122153</v>
      </c>
      <c r="O8" s="16">
        <f>H5-H6</f>
        <v>98048</v>
      </c>
      <c r="P8" t="s">
        <v>18</v>
      </c>
    </row>
    <row r="9" spans="2:17" ht="15.75">
      <c r="B9" s="3" t="s">
        <v>19</v>
      </c>
      <c r="C9" s="75">
        <f>P21*$N$18</f>
        <v>-80026.96773024158</v>
      </c>
      <c r="D9" s="75">
        <f>F9</f>
        <v>-58324</v>
      </c>
      <c r="F9" s="7">
        <v>-58324</v>
      </c>
      <c r="G9" s="7">
        <v>-43606</v>
      </c>
      <c r="H9" s="6">
        <v>-39998</v>
      </c>
      <c r="I9" s="7">
        <v>-37428</v>
      </c>
      <c r="J9" s="6">
        <v>-27570</v>
      </c>
      <c r="K9" t="s">
        <v>20</v>
      </c>
      <c r="L9" t="s">
        <v>21</v>
      </c>
      <c r="M9">
        <f>M8/F5*100</f>
        <v>9.7317781173097728</v>
      </c>
      <c r="N9">
        <f>N8/G5*100</f>
        <v>8.4230842694576058</v>
      </c>
      <c r="O9">
        <f>O8/H5*100</f>
        <v>8.7166097252856183</v>
      </c>
      <c r="P9" s="17">
        <f>AVERAGE(M9:O9)</f>
        <v>8.9571573706843317</v>
      </c>
    </row>
    <row r="10" spans="2:17" ht="15.75">
      <c r="B10" s="88" t="s">
        <v>22</v>
      </c>
      <c r="C10" s="74">
        <f>-C5*$L$22</f>
        <v>-11170.032260000076</v>
      </c>
      <c r="D10" s="74">
        <f>-D5*$L$22</f>
        <v>-9021.9491330769852</v>
      </c>
      <c r="F10" s="7">
        <v>-7991</v>
      </c>
      <c r="G10" s="7">
        <v>-6992</v>
      </c>
      <c r="H10" s="6">
        <v>-4230</v>
      </c>
      <c r="I10" s="7">
        <v>-3876</v>
      </c>
      <c r="J10" s="6">
        <v>-3050</v>
      </c>
    </row>
    <row r="11" spans="2:17" ht="15.75">
      <c r="B11" s="3" t="s">
        <v>23</v>
      </c>
      <c r="C11" s="17">
        <f>F11*L6%+F11</f>
        <v>0</v>
      </c>
      <c r="D11" s="17">
        <f>G11*M6%+G11</f>
        <v>0</v>
      </c>
      <c r="F11" s="7"/>
      <c r="G11" s="7"/>
      <c r="H11" s="6"/>
      <c r="I11" s="7"/>
      <c r="J11" s="6"/>
      <c r="K11" t="s">
        <v>24</v>
      </c>
      <c r="L11">
        <f>(F8-G8)/F8*100</f>
        <v>38.948458825576061</v>
      </c>
      <c r="M11">
        <f>(G8-H8)/G8*100</f>
        <v>15.256388669421167</v>
      </c>
      <c r="N11">
        <f>(H8-I8)/H8*100</f>
        <v>24.796723115485726</v>
      </c>
      <c r="O11">
        <f>(I8-J8)/I8*100</f>
        <v>2.7680676367774977</v>
      </c>
      <c r="P11" t="s">
        <v>18</v>
      </c>
      <c r="Q11">
        <f>AVERAGE(L11:O11)</f>
        <v>20.442409561815115</v>
      </c>
    </row>
    <row r="12" spans="2:17" ht="15.75">
      <c r="B12" s="10" t="s">
        <v>25</v>
      </c>
      <c r="C12" s="16">
        <f>C8+C9+C10</f>
        <v>89645.116015798063</v>
      </c>
      <c r="D12" s="16">
        <f>D8+D9+D10</f>
        <v>66069.183025647551</v>
      </c>
      <c r="F12" s="6">
        <v>60147</v>
      </c>
      <c r="G12" s="7">
        <v>26609</v>
      </c>
      <c r="H12" s="6">
        <v>21200</v>
      </c>
      <c r="I12" s="7">
        <v>7695</v>
      </c>
      <c r="J12" s="6">
        <v>17222</v>
      </c>
      <c r="K12" t="s">
        <v>26</v>
      </c>
      <c r="L12">
        <v>132</v>
      </c>
      <c r="M12">
        <v>101</v>
      </c>
    </row>
    <row r="13" spans="2:17" ht="15.75">
      <c r="B13" s="3" t="s">
        <v>27</v>
      </c>
      <c r="C13" s="16">
        <f>F13+1000</f>
        <v>8105</v>
      </c>
      <c r="D13" s="16">
        <f>F13</f>
        <v>7105</v>
      </c>
      <c r="F13" s="6">
        <v>7105</v>
      </c>
      <c r="G13" s="7">
        <v>4757</v>
      </c>
      <c r="H13" s="6">
        <v>3611</v>
      </c>
      <c r="I13" s="7">
        <v>7350</v>
      </c>
      <c r="J13" s="6">
        <v>5144</v>
      </c>
      <c r="K13" t="s">
        <v>28</v>
      </c>
      <c r="L13" s="17">
        <f>F9/L12</f>
        <v>-441.84848484848487</v>
      </c>
    </row>
    <row r="14" spans="2:17" ht="17.25" customHeight="1">
      <c r="B14" s="3" t="s">
        <v>29</v>
      </c>
      <c r="C14" s="73">
        <f>F14</f>
        <v>-5513</v>
      </c>
      <c r="D14" s="73">
        <f>F14</f>
        <v>-5513</v>
      </c>
      <c r="F14" s="6">
        <v>-5513</v>
      </c>
      <c r="G14" s="7">
        <v>-4752</v>
      </c>
      <c r="H14" s="6">
        <v>-4134</v>
      </c>
      <c r="I14" s="7">
        <v>-3422</v>
      </c>
      <c r="J14" s="6">
        <v>-2793</v>
      </c>
      <c r="L14">
        <v>2020</v>
      </c>
      <c r="M14">
        <v>2019</v>
      </c>
      <c r="N14" t="s">
        <v>30</v>
      </c>
    </row>
    <row r="15" spans="2:17" ht="18" customHeight="1">
      <c r="B15" s="3" t="s">
        <v>31</v>
      </c>
      <c r="C15" s="77">
        <f>F15*3%+F15</f>
        <v>5447.67</v>
      </c>
      <c r="D15" s="77">
        <f>F15*3%+F15</f>
        <v>5447.67</v>
      </c>
      <c r="F15" s="6">
        <v>5289</v>
      </c>
      <c r="G15" s="7">
        <v>3387</v>
      </c>
      <c r="H15" s="6">
        <v>3512</v>
      </c>
      <c r="I15" s="8" t="s">
        <v>13</v>
      </c>
      <c r="J15" s="9" t="s">
        <v>13</v>
      </c>
      <c r="K15" t="s">
        <v>32</v>
      </c>
      <c r="L15">
        <f>F5/L12</f>
        <v>16045.060606060606</v>
      </c>
      <c r="M15">
        <f>G5/M12</f>
        <v>14358.584158415842</v>
      </c>
      <c r="N15">
        <f>AVERAGE(L15:M15)</f>
        <v>15201.822382238224</v>
      </c>
    </row>
    <row r="16" spans="2:17" ht="15.75">
      <c r="B16" s="10" t="s">
        <v>33</v>
      </c>
      <c r="C16" s="16">
        <f>C13+C14+C15</f>
        <v>8039.67</v>
      </c>
      <c r="D16" s="16">
        <f>D13+D14+D15</f>
        <v>7039.67</v>
      </c>
      <c r="F16" s="6">
        <v>6881</v>
      </c>
      <c r="G16" s="7">
        <v>3392</v>
      </c>
      <c r="H16" s="6">
        <v>2989</v>
      </c>
      <c r="I16" s="7">
        <v>3928</v>
      </c>
      <c r="J16" s="6">
        <v>2351</v>
      </c>
      <c r="K16" t="s">
        <v>34</v>
      </c>
      <c r="L16">
        <v>22</v>
      </c>
      <c r="M16">
        <v>21</v>
      </c>
      <c r="N16">
        <v>20</v>
      </c>
    </row>
    <row r="17" spans="2:16" ht="15.75">
      <c r="B17" s="10" t="s">
        <v>35</v>
      </c>
      <c r="C17" s="16">
        <f>C12+C13+C14+C15</f>
        <v>97684.786015798061</v>
      </c>
      <c r="D17" s="16">
        <f>D12+D13+D14+D15</f>
        <v>73108.85302564755</v>
      </c>
      <c r="F17" s="6">
        <v>66826</v>
      </c>
      <c r="G17" s="7">
        <v>29957</v>
      </c>
      <c r="H17" s="6">
        <v>24153</v>
      </c>
      <c r="I17" s="7">
        <v>11623</v>
      </c>
      <c r="J17" s="6">
        <v>19573</v>
      </c>
      <c r="K17" t="s">
        <v>36</v>
      </c>
      <c r="L17">
        <f>M17</f>
        <v>219</v>
      </c>
      <c r="M17">
        <f>N17+87</f>
        <v>219</v>
      </c>
      <c r="N17">
        <v>132</v>
      </c>
    </row>
    <row r="18" spans="2:16" ht="15.75">
      <c r="B18" s="3" t="s">
        <v>37</v>
      </c>
      <c r="C18" s="16">
        <v>0</v>
      </c>
      <c r="D18" s="16">
        <v>0</v>
      </c>
      <c r="F18" s="4">
        <v>0</v>
      </c>
      <c r="G18" s="5">
        <v>0</v>
      </c>
      <c r="H18" s="4">
        <v>0</v>
      </c>
      <c r="I18" s="8" t="s">
        <v>13</v>
      </c>
      <c r="J18" s="9" t="s">
        <v>13</v>
      </c>
      <c r="L18" s="17">
        <f>L17*$N$18</f>
        <v>-96764.818181818191</v>
      </c>
      <c r="M18">
        <f>P21*$N$18</f>
        <v>-80026.96773024158</v>
      </c>
      <c r="N18">
        <f>F9/N17</f>
        <v>-441.84848484848487</v>
      </c>
    </row>
    <row r="19" spans="2:16" ht="15.75">
      <c r="B19" s="10" t="s">
        <v>38</v>
      </c>
      <c r="C19" s="16">
        <f>C17+C18</f>
        <v>97684.786015798061</v>
      </c>
      <c r="D19" s="16">
        <f>D17+D18</f>
        <v>73108.85302564755</v>
      </c>
      <c r="F19" s="6">
        <v>66826</v>
      </c>
      <c r="G19" s="7">
        <v>29957</v>
      </c>
      <c r="H19" s="6">
        <v>24153</v>
      </c>
      <c r="I19" s="7">
        <v>11623</v>
      </c>
      <c r="J19" s="6">
        <v>19573</v>
      </c>
      <c r="L19" s="16">
        <f>J10+I10+H10+G10+F10</f>
        <v>-26139</v>
      </c>
      <c r="M19">
        <v>26139</v>
      </c>
    </row>
    <row r="20" spans="2:16" ht="15.75">
      <c r="B20" s="3" t="s">
        <v>39</v>
      </c>
      <c r="C20" s="78">
        <f>-C19*$L$24</f>
        <v>-19719.387115091668</v>
      </c>
      <c r="D20" s="78">
        <f>-D19*$L$24</f>
        <v>-14758.304063029142</v>
      </c>
      <c r="F20" s="6">
        <v>-13490</v>
      </c>
      <c r="G20" s="7">
        <v>-5872</v>
      </c>
      <c r="H20" s="6">
        <v>-4526</v>
      </c>
      <c r="I20" s="7">
        <v>-1658</v>
      </c>
      <c r="J20" s="6">
        <v>-3933</v>
      </c>
      <c r="L20" s="16">
        <f>SUM(F5:J5)</f>
        <v>6443075</v>
      </c>
    </row>
    <row r="21" spans="2:16" ht="15.75">
      <c r="B21" s="11" t="s">
        <v>40</v>
      </c>
      <c r="C21" s="16">
        <f>C19+C20</f>
        <v>77965.398900706394</v>
      </c>
      <c r="D21" s="16">
        <f>D19+D20</f>
        <v>58350.548962618406</v>
      </c>
      <c r="F21" s="12">
        <v>53336</v>
      </c>
      <c r="G21" s="12">
        <v>24085</v>
      </c>
      <c r="H21" s="12">
        <v>19627</v>
      </c>
      <c r="I21" s="12">
        <v>9965</v>
      </c>
      <c r="J21" s="13">
        <v>15640</v>
      </c>
      <c r="L21">
        <f>L20/L19</f>
        <v>-246.49278855350244</v>
      </c>
      <c r="O21" t="s">
        <v>41</v>
      </c>
      <c r="P21" s="19">
        <f>C5/$N$15</f>
        <v>181.11857452149866</v>
      </c>
    </row>
    <row r="22" spans="2:16" ht="15.75">
      <c r="K22" t="s">
        <v>42</v>
      </c>
      <c r="L22">
        <f>(M19/L20)*100%</f>
        <v>4.0569138183243246E-3</v>
      </c>
    </row>
    <row r="23" spans="2:16" ht="15.75">
      <c r="L23">
        <f>F5/F15*100%</f>
        <v>400.443940253356</v>
      </c>
    </row>
    <row r="24" spans="2:16" ht="15.75">
      <c r="K24" t="s">
        <v>43</v>
      </c>
      <c r="L24">
        <f>1-(F21/F19*100%)</f>
        <v>0.20186753658755574</v>
      </c>
    </row>
    <row r="25" spans="2:16" ht="15.75">
      <c r="F25" s="16"/>
    </row>
    <row r="26" spans="2:16" ht="15.75">
      <c r="B26" t="s">
        <v>44</v>
      </c>
      <c r="C26" s="126">
        <v>0.05</v>
      </c>
      <c r="F26" s="16"/>
      <c r="K26" t="s">
        <v>45</v>
      </c>
      <c r="M26">
        <v>21</v>
      </c>
    </row>
    <row r="27" spans="2:16" ht="15.75">
      <c r="B27" s="28" t="s">
        <v>46</v>
      </c>
      <c r="C27" s="127">
        <v>0.3</v>
      </c>
      <c r="D27" s="16"/>
      <c r="E27" s="16"/>
      <c r="F27" s="16"/>
      <c r="G27" s="16"/>
      <c r="K27" t="s">
        <v>47</v>
      </c>
      <c r="M27" s="70">
        <f>328891*0.2</f>
        <v>65778.2</v>
      </c>
    </row>
    <row r="28" spans="2:16" ht="15.75">
      <c r="C28" s="30"/>
      <c r="K28" t="s">
        <v>48</v>
      </c>
    </row>
    <row r="29" spans="2:16" ht="15.75">
      <c r="B29" s="131" t="s">
        <v>49</v>
      </c>
      <c r="C29" s="131" t="s">
        <v>50</v>
      </c>
      <c r="E29" s="16">
        <f>D5+(D6+D7)</f>
        <v>133415.13215872459</v>
      </c>
      <c r="F29" s="16">
        <f>C5+(D6+D7)</f>
        <v>662902.13215872459</v>
      </c>
    </row>
    <row r="30" spans="2:16" ht="15.75">
      <c r="B30" s="129"/>
      <c r="C30" s="130"/>
      <c r="E30" s="111"/>
      <c r="F30" s="111"/>
      <c r="G30" s="111"/>
      <c r="H30" s="111"/>
      <c r="I30" s="111"/>
      <c r="J30" s="111"/>
      <c r="K30" s="111"/>
      <c r="L30" s="111"/>
      <c r="M30" s="111"/>
      <c r="N30" s="111"/>
    </row>
    <row r="31" spans="2:16" ht="16.5" customHeight="1">
      <c r="B31" s="131" t="s">
        <v>51</v>
      </c>
      <c r="C31" s="131" t="s">
        <v>52</v>
      </c>
      <c r="D31" s="128"/>
      <c r="E31" s="113">
        <f>E29/D5*100</f>
        <v>5.999298879262227</v>
      </c>
      <c r="F31" s="132">
        <f>F29/C5*100</f>
        <v>24.076356787096415</v>
      </c>
      <c r="G31" s="112"/>
      <c r="H31" s="120"/>
      <c r="I31" s="121"/>
      <c r="J31" s="121"/>
      <c r="K31" s="121"/>
      <c r="L31" s="121"/>
      <c r="M31" s="122"/>
      <c r="N31" s="122"/>
      <c r="O31" s="22"/>
    </row>
    <row r="32" spans="2:16" ht="15.75">
      <c r="B32" s="111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22"/>
      <c r="N32" s="122"/>
      <c r="O32" s="20"/>
    </row>
    <row r="33" spans="2:16" ht="15.75">
      <c r="B33" s="111"/>
      <c r="C33" s="112"/>
      <c r="D33" s="113"/>
      <c r="E33" s="113"/>
      <c r="F33" s="113"/>
      <c r="G33" s="113"/>
      <c r="H33" s="113"/>
      <c r="I33" s="113"/>
      <c r="J33" s="113"/>
      <c r="K33" s="113"/>
      <c r="L33" s="113"/>
      <c r="M33" s="122"/>
      <c r="N33" s="122"/>
      <c r="O33" s="20"/>
    </row>
    <row r="34" spans="2:16" ht="15.75">
      <c r="B34" s="111"/>
      <c r="C34" s="112"/>
      <c r="D34" s="114"/>
      <c r="E34" s="114"/>
      <c r="F34" s="114"/>
      <c r="G34" s="114"/>
      <c r="H34" s="114"/>
      <c r="I34" s="114"/>
      <c r="J34" s="114"/>
      <c r="K34" s="114"/>
      <c r="L34" s="114"/>
      <c r="M34" s="122"/>
      <c r="N34" s="122"/>
      <c r="O34" s="20"/>
    </row>
    <row r="35" spans="2:16" ht="15.75">
      <c r="B35" s="111"/>
      <c r="C35" s="112"/>
      <c r="D35" s="115"/>
      <c r="E35" s="115"/>
      <c r="F35" s="115"/>
      <c r="G35" s="115"/>
      <c r="H35" s="115"/>
      <c r="I35" s="115"/>
      <c r="J35" s="115"/>
      <c r="K35" s="115"/>
      <c r="L35" s="115"/>
      <c r="M35" s="122"/>
      <c r="N35" s="122"/>
      <c r="O35" s="20"/>
    </row>
    <row r="36" spans="2:16" ht="15.75">
      <c r="B36" s="111"/>
      <c r="C36" s="112"/>
      <c r="D36" s="116"/>
      <c r="E36" s="116"/>
      <c r="F36" s="116"/>
      <c r="G36" s="116"/>
      <c r="H36" s="116"/>
      <c r="I36" s="116"/>
      <c r="J36" s="116"/>
      <c r="K36" s="116"/>
      <c r="L36" s="116"/>
      <c r="M36" s="122"/>
      <c r="N36" s="122"/>
      <c r="O36" s="20"/>
    </row>
    <row r="37" spans="2:16" ht="15.75">
      <c r="B37" s="111"/>
      <c r="C37" s="117"/>
      <c r="D37" s="112"/>
      <c r="E37" s="112"/>
      <c r="F37" s="112"/>
      <c r="G37" s="112"/>
      <c r="H37" s="112"/>
      <c r="I37" s="123"/>
      <c r="J37" s="123"/>
      <c r="K37" s="123"/>
      <c r="L37" s="123"/>
      <c r="M37" s="122"/>
      <c r="N37" s="122"/>
      <c r="O37" s="20"/>
    </row>
    <row r="38" spans="2:16" ht="15.75">
      <c r="B38" s="112"/>
      <c r="C38" s="112"/>
      <c r="D38" s="111"/>
      <c r="E38" s="111"/>
      <c r="F38" s="111"/>
      <c r="G38" s="111"/>
      <c r="H38" s="111"/>
      <c r="I38" s="122"/>
      <c r="J38" s="124"/>
      <c r="K38" s="122"/>
      <c r="L38" s="122"/>
      <c r="M38" s="122"/>
      <c r="N38" s="122"/>
      <c r="O38" s="20"/>
    </row>
    <row r="39" spans="2:16" ht="15.75">
      <c r="B39" s="118"/>
      <c r="C39" s="119"/>
      <c r="D39" s="111"/>
      <c r="E39" s="111"/>
      <c r="F39" s="111"/>
      <c r="G39" s="111"/>
      <c r="H39" s="111"/>
      <c r="I39" s="122"/>
      <c r="J39" s="124"/>
      <c r="K39" s="122"/>
      <c r="L39" s="122"/>
      <c r="M39" s="122"/>
      <c r="N39" s="122"/>
      <c r="O39" s="20"/>
    </row>
    <row r="40" spans="2:16" ht="15.75">
      <c r="B40" s="118"/>
      <c r="C40" s="119"/>
      <c r="D40" s="111"/>
      <c r="E40" s="111"/>
      <c r="F40" s="111"/>
      <c r="G40" s="111"/>
      <c r="H40" s="111"/>
      <c r="I40" s="122"/>
      <c r="J40" s="125"/>
      <c r="K40" s="122"/>
      <c r="L40" s="122"/>
      <c r="M40" s="122"/>
      <c r="N40" s="122"/>
      <c r="O40" s="20"/>
    </row>
    <row r="41" spans="2:16"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</row>
    <row r="42" spans="2:16" ht="15.75">
      <c r="B42" s="23"/>
      <c r="E42" s="111"/>
      <c r="F42" s="111"/>
      <c r="G42" s="111"/>
      <c r="H42" s="111"/>
      <c r="I42" s="23"/>
      <c r="J42" s="23"/>
      <c r="K42" s="23"/>
      <c r="L42" s="23"/>
      <c r="M42" s="23"/>
      <c r="N42" s="23"/>
      <c r="O42" s="23"/>
      <c r="P42" s="23"/>
    </row>
    <row r="43" spans="2:16" ht="15.75">
      <c r="B43" s="23"/>
      <c r="I43" s="23"/>
      <c r="J43" s="24"/>
      <c r="K43" s="23"/>
      <c r="L43" s="23"/>
      <c r="M43" s="23"/>
      <c r="N43" s="23"/>
      <c r="O43" s="23"/>
      <c r="P43" s="23"/>
    </row>
    <row r="44" spans="2:16" ht="15.75">
      <c r="I44" s="23"/>
      <c r="J44" s="24"/>
      <c r="K44" s="23"/>
      <c r="L44" s="24"/>
      <c r="M44" s="24"/>
      <c r="N44" s="24"/>
      <c r="O44" s="24"/>
      <c r="P44" s="24"/>
    </row>
    <row r="45" spans="2:16" ht="15.75">
      <c r="I45" s="23"/>
      <c r="J45" s="23"/>
      <c r="K45" s="23"/>
      <c r="L45" s="23"/>
      <c r="M45" s="23"/>
      <c r="N45" s="23"/>
      <c r="O45" s="23"/>
      <c r="P45" s="23"/>
    </row>
    <row r="46" spans="2:16" ht="15.75">
      <c r="I46" s="23"/>
      <c r="J46" s="25"/>
      <c r="K46" s="23"/>
      <c r="L46" s="23"/>
      <c r="M46" s="23"/>
      <c r="N46" s="23"/>
      <c r="O46" s="23"/>
      <c r="P46" s="23"/>
    </row>
    <row r="47" spans="2:16" ht="15.75">
      <c r="I47" s="23"/>
      <c r="J47" s="24"/>
      <c r="K47" s="23"/>
      <c r="L47" s="24"/>
      <c r="M47" s="24"/>
      <c r="N47" s="24"/>
      <c r="O47" s="24"/>
      <c r="P47" s="24"/>
    </row>
    <row r="48" spans="2:16" ht="15.75">
      <c r="I48" s="23"/>
      <c r="J48" s="23"/>
      <c r="K48" s="23"/>
      <c r="L48" s="23"/>
      <c r="M48" s="23"/>
      <c r="N48" s="23"/>
      <c r="O48" s="23"/>
      <c r="P48" s="23"/>
    </row>
    <row r="49" spans="9:16" ht="15.75">
      <c r="I49" s="23"/>
      <c r="J49" s="23"/>
      <c r="K49" s="24"/>
      <c r="L49" s="24"/>
      <c r="M49" s="24"/>
      <c r="N49" s="24"/>
      <c r="O49" s="24"/>
      <c r="P49" s="24"/>
    </row>
    <row r="50" spans="9:16" ht="15.75">
      <c r="I50" s="23"/>
      <c r="J50" s="23"/>
      <c r="K50" s="23"/>
      <c r="L50" s="23"/>
      <c r="M50" s="23"/>
      <c r="N50" s="23"/>
      <c r="O50" s="23"/>
      <c r="P50" s="23"/>
    </row>
    <row r="51" spans="9:16" ht="15.75">
      <c r="I51" s="23"/>
      <c r="J51" s="25"/>
      <c r="K51" s="23"/>
      <c r="L51" s="23"/>
      <c r="M51" s="23"/>
      <c r="N51" s="23"/>
      <c r="O51" s="23"/>
      <c r="P51" s="23"/>
    </row>
    <row r="52" spans="9:16" ht="15.75">
      <c r="I52" s="23"/>
      <c r="J52" s="26"/>
      <c r="K52" s="23"/>
      <c r="L52" s="23"/>
      <c r="M52" s="23"/>
      <c r="N52" s="23"/>
      <c r="O52" s="23"/>
      <c r="P52" s="23"/>
    </row>
    <row r="53" spans="9:16" ht="15.75">
      <c r="I53" s="23"/>
      <c r="J53" s="27"/>
      <c r="K53" s="23"/>
      <c r="L53" s="23"/>
      <c r="M53" s="23"/>
      <c r="N53" s="23"/>
      <c r="O53" s="23"/>
      <c r="P53" s="23"/>
    </row>
    <row r="54" spans="9:16" ht="15.75">
      <c r="I54" s="23"/>
      <c r="J54" s="25"/>
      <c r="K54" s="23"/>
      <c r="L54" s="23"/>
      <c r="M54" s="23"/>
      <c r="N54" s="23"/>
      <c r="O54" s="23"/>
      <c r="P54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A9C9-2DB2-4E0A-8576-D71E3FB25B3E}">
  <dimension ref="B3:U54"/>
  <sheetViews>
    <sheetView workbookViewId="0">
      <selection activeCell="B12" sqref="B12"/>
    </sheetView>
  </sheetViews>
  <sheetFormatPr defaultColWidth="8.875" defaultRowHeight="15.95"/>
  <cols>
    <col min="2" max="2" width="37.125" customWidth="1"/>
    <col min="3" max="3" width="15.625" customWidth="1"/>
    <col min="4" max="4" width="10.5" bestFit="1" customWidth="1"/>
    <col min="5" max="5" width="16.375" customWidth="1"/>
    <col min="6" max="6" width="12.625" customWidth="1"/>
    <col min="7" max="7" width="14.875" customWidth="1"/>
    <col min="8" max="8" width="10.625" customWidth="1"/>
    <col min="9" max="12" width="12.625" bestFit="1" customWidth="1"/>
    <col min="15" max="15" width="29" customWidth="1"/>
    <col min="16" max="16" width="14.875" customWidth="1"/>
    <col min="19" max="19" width="13.125" customWidth="1"/>
  </cols>
  <sheetData>
    <row r="3" spans="2:21" ht="17.100000000000001">
      <c r="C3" t="s">
        <v>53</v>
      </c>
      <c r="D3" t="s">
        <v>54</v>
      </c>
      <c r="E3" t="s">
        <v>55</v>
      </c>
      <c r="F3" t="s">
        <v>56</v>
      </c>
      <c r="G3" t="s">
        <v>57</v>
      </c>
      <c r="I3" s="15" t="s">
        <v>2</v>
      </c>
      <c r="J3" s="15" t="s">
        <v>3</v>
      </c>
      <c r="K3" s="15" t="s">
        <v>4</v>
      </c>
      <c r="L3" s="15" t="s">
        <v>5</v>
      </c>
      <c r="M3" s="15" t="s">
        <v>6</v>
      </c>
    </row>
    <row r="4" spans="2:21">
      <c r="B4" s="3" t="s">
        <v>7</v>
      </c>
      <c r="I4" s="4" t="s">
        <v>8</v>
      </c>
      <c r="J4" s="5" t="s">
        <v>8</v>
      </c>
      <c r="K4" s="4" t="s">
        <v>8</v>
      </c>
      <c r="L4" s="5" t="s">
        <v>8</v>
      </c>
      <c r="M4" s="4" t="s">
        <v>8</v>
      </c>
      <c r="O4" t="s">
        <v>9</v>
      </c>
      <c r="P4" s="16">
        <f>I5-J5</f>
        <v>667731</v>
      </c>
      <c r="Q4" s="16">
        <f>J5-K5</f>
        <v>325376</v>
      </c>
      <c r="R4" s="16">
        <f>K5-L5</f>
        <v>172211</v>
      </c>
      <c r="S4" s="16">
        <f>L5-M5</f>
        <v>155191</v>
      </c>
    </row>
    <row r="5" spans="2:21">
      <c r="B5" s="3" t="s">
        <v>10</v>
      </c>
      <c r="C5" s="16">
        <f>D5*$P$6%+D5</f>
        <v>5582757.5954520581</v>
      </c>
      <c r="D5" s="16">
        <f>E5*$P$6%+E5</f>
        <v>4598985.8726658234</v>
      </c>
      <c r="E5" s="16">
        <f>F5*$P$6%+F5</f>
        <v>3788570.5577132748</v>
      </c>
      <c r="F5" s="16">
        <f>G5*$P$6%+G5</f>
        <v>3120963.4619842693</v>
      </c>
      <c r="G5" s="16">
        <f>I5*$P$6%+I5</f>
        <v>2570999.479265342</v>
      </c>
      <c r="I5" s="6">
        <v>2117948</v>
      </c>
      <c r="J5" s="7">
        <v>1450217</v>
      </c>
      <c r="K5" s="6">
        <v>1124841</v>
      </c>
      <c r="L5" s="7">
        <v>952630</v>
      </c>
      <c r="M5" s="6">
        <v>797439</v>
      </c>
      <c r="O5" t="s">
        <v>11</v>
      </c>
      <c r="P5">
        <f>P4/I5*100</f>
        <v>31.527261292534092</v>
      </c>
      <c r="Q5">
        <f>Q4/J5*100</f>
        <v>22.436366419646163</v>
      </c>
      <c r="R5">
        <f>R4/K5*100</f>
        <v>15.309808230674379</v>
      </c>
      <c r="S5">
        <f>S4/L5*100</f>
        <v>16.290794957118713</v>
      </c>
    </row>
    <row r="6" spans="2:21">
      <c r="B6" s="3" t="s">
        <v>12</v>
      </c>
      <c r="C6" s="71">
        <f>-C5+C5*$T$9%</f>
        <v>-5082701.212003585</v>
      </c>
      <c r="D6" s="71">
        <f>-D5+D5*$T$9%</f>
        <v>-4187047.4705956057</v>
      </c>
      <c r="E6" s="71">
        <f>-E5+E5*$T$9%</f>
        <v>-3449222.3307594839</v>
      </c>
      <c r="F6" s="71">
        <f>-F5+F5*$T$9%</f>
        <v>-2841413.8532127803</v>
      </c>
      <c r="G6" s="72">
        <f>-G5+G5*$T$9%</f>
        <v>-2340711.0099080708</v>
      </c>
      <c r="I6" s="6">
        <v>1911834</v>
      </c>
      <c r="J6" s="7">
        <v>1328064</v>
      </c>
      <c r="K6" s="6">
        <v>1026793</v>
      </c>
      <c r="L6" s="8" t="s">
        <v>13</v>
      </c>
      <c r="M6" s="9" t="s">
        <v>13</v>
      </c>
      <c r="O6" t="s">
        <v>14</v>
      </c>
      <c r="P6" s="17">
        <f>AVERAGE(P5:S5)</f>
        <v>21.391057724993338</v>
      </c>
      <c r="R6" s="18">
        <f>(((I5-J5)+(J5-K5)+(K5-L5)+(L5-M5))/4)+I5</f>
        <v>2448075.25</v>
      </c>
    </row>
    <row r="7" spans="2:21">
      <c r="B7" s="3" t="s">
        <v>15</v>
      </c>
      <c r="C7" s="73">
        <f>-C5-C6+C8-($Q$27)</f>
        <v>-186758.48363030472</v>
      </c>
      <c r="D7" s="73">
        <f>-D5-D6+D8-($Q$27)</f>
        <v>-157398.01516635969</v>
      </c>
      <c r="E7" s="73">
        <f>-E5-E6+E8-($Q$27)</f>
        <v>-133592.5771936664</v>
      </c>
      <c r="F7" s="73">
        <f>-F5-F6+F8-($Q$27)</f>
        <v>-114298.57638095919</v>
      </c>
      <c r="G7" s="73">
        <f>-P27</f>
        <v>-65778.2</v>
      </c>
      <c r="I7" s="14">
        <f>I5-I6-I8</f>
        <v>79652</v>
      </c>
      <c r="J7" s="14">
        <f t="shared" ref="J7:K7" si="0">J5-J6-J8</f>
        <v>44946</v>
      </c>
      <c r="K7" s="14">
        <f t="shared" si="0"/>
        <v>32620</v>
      </c>
      <c r="L7" s="14"/>
      <c r="M7" s="14"/>
    </row>
    <row r="8" spans="2:21">
      <c r="B8" s="10" t="s">
        <v>16</v>
      </c>
      <c r="C8" s="16">
        <f>D8*$U$11%+D8</f>
        <v>346186.99981816846</v>
      </c>
      <c r="D8" s="16">
        <f>E8*$U$11%+E8</f>
        <v>287429.48690385808</v>
      </c>
      <c r="E8" s="16">
        <f>F8*$U$11%+F8</f>
        <v>238644.7497601246</v>
      </c>
      <c r="F8" s="16">
        <f>G8*$U$11%+G8</f>
        <v>198140.13239052982</v>
      </c>
      <c r="G8" s="16">
        <f>G5+G6+G7</f>
        <v>164510.2693572712</v>
      </c>
      <c r="I8" s="6">
        <v>126462</v>
      </c>
      <c r="J8" s="7">
        <v>77207</v>
      </c>
      <c r="K8" s="6">
        <v>65428</v>
      </c>
      <c r="L8" s="7">
        <v>49204</v>
      </c>
      <c r="M8" s="6">
        <v>47842</v>
      </c>
      <c r="O8" t="s">
        <v>17</v>
      </c>
      <c r="Q8" s="16">
        <f>I5-I6</f>
        <v>206114</v>
      </c>
      <c r="R8" s="16">
        <f>J5-J6</f>
        <v>122153</v>
      </c>
      <c r="S8" s="16">
        <f>K5-K6</f>
        <v>98048</v>
      </c>
      <c r="T8" t="s">
        <v>18</v>
      </c>
    </row>
    <row r="9" spans="2:21">
      <c r="B9" s="3" t="s">
        <v>19</v>
      </c>
      <c r="C9" s="75">
        <f>P17*$U$18</f>
        <v>-162265.61018822243</v>
      </c>
      <c r="D9" s="75">
        <f>Q17*$U$18</f>
        <v>-133671.79858983416</v>
      </c>
      <c r="E9" s="76">
        <f>F9</f>
        <v>-96764.818181818191</v>
      </c>
      <c r="F9" s="76">
        <f>S17*$U$18</f>
        <v>-96764.818181818191</v>
      </c>
      <c r="G9" s="75">
        <f>T21*$U$18</f>
        <v>-74727.371225368726</v>
      </c>
      <c r="I9" s="7">
        <v>-58324</v>
      </c>
      <c r="J9" s="7">
        <v>-43606</v>
      </c>
      <c r="K9" s="6">
        <v>-39998</v>
      </c>
      <c r="L9" s="7">
        <v>-37428</v>
      </c>
      <c r="M9" s="6">
        <v>-27570</v>
      </c>
      <c r="O9" t="s">
        <v>20</v>
      </c>
      <c r="P9" t="s">
        <v>21</v>
      </c>
      <c r="Q9">
        <f>Q8/I5*100</f>
        <v>9.7317781173097728</v>
      </c>
      <c r="R9">
        <f>R8/J5*100</f>
        <v>8.4230842694576058</v>
      </c>
      <c r="S9">
        <f>S8/K5*100</f>
        <v>8.7166097252856183</v>
      </c>
      <c r="T9" s="17">
        <f>AVERAGE(Q9:S9)</f>
        <v>8.9571573706843317</v>
      </c>
    </row>
    <row r="10" spans="2:21">
      <c r="B10" s="88" t="s">
        <v>22</v>
      </c>
      <c r="C10" s="74">
        <f>-C5*$P$22-('Lån &amp; Afskrivelse '!I12+'Lån &amp; Afskrivelse '!M12)</f>
        <v>-34648.766433344535</v>
      </c>
      <c r="D10" s="74">
        <f>-D5*$P$22-('Lån &amp; Afskrivelse '!I11+'Lån &amp; Afskrivelse '!M11)</f>
        <v>-30657.689337096333</v>
      </c>
      <c r="E10" s="74">
        <f>-E5*$P$22-('Lån &amp; Afskrivelse '!I10+'Lån &amp; Afskrivelse '!M10)</f>
        <v>-27369.904247283677</v>
      </c>
      <c r="F10" s="74">
        <f>-F5*$P$22-('Lån &amp; Afskrivelse '!I10+'Lån &amp; Afskrivelse '!M10)</f>
        <v>-24661.479795409305</v>
      </c>
      <c r="G10" s="74">
        <f>-G5*$P$22</f>
        <v>-10430.323314336209</v>
      </c>
      <c r="I10" s="7">
        <v>-7991</v>
      </c>
      <c r="J10" s="7">
        <v>-6992</v>
      </c>
      <c r="K10" s="6">
        <v>-4230</v>
      </c>
      <c r="L10" s="7">
        <v>-3876</v>
      </c>
      <c r="M10" s="6">
        <v>-3050</v>
      </c>
    </row>
    <row r="11" spans="2:21">
      <c r="B11" s="3" t="s">
        <v>23</v>
      </c>
      <c r="C11" s="17">
        <v>0</v>
      </c>
      <c r="D11" s="17">
        <v>0</v>
      </c>
      <c r="E11" s="17">
        <f>G11*N6%+G11</f>
        <v>0</v>
      </c>
      <c r="F11" s="17">
        <v>0</v>
      </c>
      <c r="G11" s="17">
        <f>I11*P6%+I11</f>
        <v>0</v>
      </c>
      <c r="I11" s="7"/>
      <c r="J11" s="7"/>
      <c r="K11" s="6"/>
      <c r="L11" s="7"/>
      <c r="M11" s="6"/>
      <c r="O11" t="s">
        <v>24</v>
      </c>
      <c r="P11">
        <f>(I8-J8)/I8*100</f>
        <v>38.948458825576061</v>
      </c>
      <c r="Q11">
        <f>(J8-K8)/J8*100</f>
        <v>15.256388669421167</v>
      </c>
      <c r="R11">
        <f>(K8-L8)/K8*100</f>
        <v>24.796723115485726</v>
      </c>
      <c r="S11">
        <f>(L8-M8)/L8*100</f>
        <v>2.7680676367774977</v>
      </c>
      <c r="T11" t="s">
        <v>18</v>
      </c>
      <c r="U11">
        <f>AVERAGE(P11:S11)</f>
        <v>20.442409561815115</v>
      </c>
    </row>
    <row r="12" spans="2:21">
      <c r="B12" s="10" t="s">
        <v>25</v>
      </c>
      <c r="C12" s="16">
        <f>C8+C9+C10</f>
        <v>149272.62319660149</v>
      </c>
      <c r="D12" s="16">
        <f>D8+D9+D10</f>
        <v>123099.99897692759</v>
      </c>
      <c r="E12" s="16">
        <f>E8+E9+E10</f>
        <v>114510.02733102275</v>
      </c>
      <c r="F12" s="16">
        <f>F8+F9+F10</f>
        <v>76713.83441330232</v>
      </c>
      <c r="G12" s="16">
        <f>G8+G9+G10</f>
        <v>79352.574817566259</v>
      </c>
      <c r="I12" s="6">
        <v>60147</v>
      </c>
      <c r="J12" s="7">
        <v>26609</v>
      </c>
      <c r="K12" s="6">
        <v>21200</v>
      </c>
      <c r="L12" s="7">
        <v>7695</v>
      </c>
      <c r="M12" s="6">
        <v>17222</v>
      </c>
      <c r="O12" t="s">
        <v>26</v>
      </c>
      <c r="P12">
        <v>132</v>
      </c>
      <c r="Q12">
        <v>101</v>
      </c>
    </row>
    <row r="13" spans="2:21">
      <c r="B13" s="3" t="s">
        <v>27</v>
      </c>
      <c r="C13" s="16">
        <f>D13+1000</f>
        <v>12105</v>
      </c>
      <c r="D13" s="16">
        <f>E13+1000</f>
        <v>11105</v>
      </c>
      <c r="E13" s="16">
        <f>F13+1000</f>
        <v>10105</v>
      </c>
      <c r="F13" s="16">
        <f>G13+1000</f>
        <v>9105</v>
      </c>
      <c r="G13" s="16">
        <f>I13+1000</f>
        <v>8105</v>
      </c>
      <c r="I13" s="6">
        <v>7105</v>
      </c>
      <c r="J13" s="7">
        <v>4757</v>
      </c>
      <c r="K13" s="6">
        <v>3611</v>
      </c>
      <c r="L13" s="7">
        <v>7350</v>
      </c>
      <c r="M13" s="6">
        <v>5144</v>
      </c>
      <c r="O13" t="s">
        <v>28</v>
      </c>
      <c r="P13" s="17">
        <f>I9/P12</f>
        <v>-441.84848484848487</v>
      </c>
    </row>
    <row r="14" spans="2:21" ht="17.25" customHeight="1">
      <c r="B14" s="3" t="s">
        <v>29</v>
      </c>
      <c r="C14" s="73">
        <f>I14-'Lån &amp; Afskrivelse '!E13</f>
        <v>-34022.6</v>
      </c>
      <c r="D14" s="73">
        <f>I14-'Lån &amp; Afskrivelse '!E12</f>
        <v>-34277.4</v>
      </c>
      <c r="E14" s="73">
        <f>I14-'Lån &amp; Afskrivelse '!E11</f>
        <v>-34532.199999999997</v>
      </c>
      <c r="F14" s="73">
        <f>I14-'Lån &amp; Afskrivelse '!D10</f>
        <v>-6787</v>
      </c>
      <c r="G14" s="73">
        <f>I14</f>
        <v>-5513</v>
      </c>
      <c r="I14" s="6">
        <v>-5513</v>
      </c>
      <c r="J14" s="7">
        <v>-4752</v>
      </c>
      <c r="K14" s="6">
        <v>-4134</v>
      </c>
      <c r="L14" s="7">
        <v>-3422</v>
      </c>
      <c r="M14" s="6">
        <v>-2793</v>
      </c>
      <c r="P14">
        <v>2020</v>
      </c>
      <c r="Q14">
        <v>2019</v>
      </c>
      <c r="R14" t="s">
        <v>30</v>
      </c>
    </row>
    <row r="15" spans="2:21" ht="18" customHeight="1">
      <c r="B15" s="3" t="s">
        <v>31</v>
      </c>
      <c r="C15" s="17">
        <f>D15*3%+D15</f>
        <v>6131.4005789726998</v>
      </c>
      <c r="D15" s="17">
        <f>E15*3%+E15</f>
        <v>5952.8160960899995</v>
      </c>
      <c r="E15" s="17">
        <f>F15*3%+F15</f>
        <v>5779.4331029999994</v>
      </c>
      <c r="F15" s="17">
        <f>G15*3%+G15</f>
        <v>5611.1000999999997</v>
      </c>
      <c r="G15" s="77">
        <f>I15*3%+I15</f>
        <v>5447.67</v>
      </c>
      <c r="I15" s="6">
        <v>5289</v>
      </c>
      <c r="J15" s="7">
        <v>3387</v>
      </c>
      <c r="K15" s="6">
        <v>3512</v>
      </c>
      <c r="L15" s="8" t="s">
        <v>13</v>
      </c>
      <c r="M15" s="9" t="s">
        <v>13</v>
      </c>
      <c r="O15" t="s">
        <v>32</v>
      </c>
      <c r="P15">
        <f>I5/P12</f>
        <v>16045.060606060606</v>
      </c>
      <c r="Q15">
        <f>J5/Q12</f>
        <v>14358.584158415842</v>
      </c>
      <c r="R15">
        <f>AVERAGE(P15:Q15)</f>
        <v>15201.822382238224</v>
      </c>
    </row>
    <row r="16" spans="2:21">
      <c r="B16" s="10" t="s">
        <v>33</v>
      </c>
      <c r="C16" s="73">
        <f>C13+C14+C15</f>
        <v>-15786.199421027299</v>
      </c>
      <c r="D16" s="73">
        <f>D13+D14+D15</f>
        <v>-17219.583903910003</v>
      </c>
      <c r="E16" s="73">
        <f>E13+E14+E15</f>
        <v>-18647.766896999998</v>
      </c>
      <c r="F16" s="107">
        <f>F13+F14+F15</f>
        <v>7929.1000999999997</v>
      </c>
      <c r="G16" s="16">
        <f>G13+G14+G15</f>
        <v>8039.67</v>
      </c>
      <c r="I16" s="6">
        <v>6881</v>
      </c>
      <c r="J16" s="7">
        <v>3392</v>
      </c>
      <c r="K16" s="6">
        <v>2989</v>
      </c>
      <c r="L16" s="7">
        <v>3928</v>
      </c>
      <c r="M16" s="6">
        <v>2351</v>
      </c>
      <c r="O16" t="s">
        <v>34</v>
      </c>
      <c r="P16" s="19">
        <v>25</v>
      </c>
      <c r="Q16">
        <v>24</v>
      </c>
      <c r="R16">
        <v>23</v>
      </c>
      <c r="S16">
        <v>22</v>
      </c>
      <c r="T16">
        <v>21</v>
      </c>
      <c r="U16">
        <v>20</v>
      </c>
    </row>
    <row r="17" spans="2:21">
      <c r="B17" s="10" t="s">
        <v>35</v>
      </c>
      <c r="C17" s="16">
        <f>C12+C13+C14+C15</f>
        <v>133486.42377557419</v>
      </c>
      <c r="D17" s="16">
        <f>D12+D13+D14+D15</f>
        <v>105880.4150730176</v>
      </c>
      <c r="E17" s="16">
        <f>E12+E13+E14+E15</f>
        <v>95862.260434022755</v>
      </c>
      <c r="F17" s="16">
        <f>F12+F13+F14+F15</f>
        <v>84642.934513302316</v>
      </c>
      <c r="G17" s="16">
        <f>G12+G13+G14+G15</f>
        <v>87392.244817566258</v>
      </c>
      <c r="I17" s="6">
        <v>66826</v>
      </c>
      <c r="J17" s="7">
        <v>29957</v>
      </c>
      <c r="K17" s="6">
        <v>24153</v>
      </c>
      <c r="L17" s="7">
        <v>11623</v>
      </c>
      <c r="M17" s="6">
        <v>19573</v>
      </c>
      <c r="O17" t="s">
        <v>36</v>
      </c>
      <c r="P17" s="19">
        <f>C5/$R$15</f>
        <v>367.24265387911254</v>
      </c>
      <c r="Q17" s="19">
        <f>D5/$R$15</f>
        <v>302.52858881177747</v>
      </c>
      <c r="R17" s="19">
        <f>E5/$R$15</f>
        <v>249.21818335016414</v>
      </c>
      <c r="S17">
        <f>T17</f>
        <v>219</v>
      </c>
      <c r="T17">
        <f>U17+87</f>
        <v>219</v>
      </c>
      <c r="U17">
        <v>132</v>
      </c>
    </row>
    <row r="18" spans="2:21">
      <c r="B18" s="3" t="s">
        <v>37</v>
      </c>
      <c r="C18">
        <v>0</v>
      </c>
      <c r="D18">
        <v>0</v>
      </c>
      <c r="E18">
        <v>0</v>
      </c>
      <c r="F18">
        <v>0</v>
      </c>
      <c r="G18" s="16">
        <v>0</v>
      </c>
      <c r="I18" s="4">
        <v>0</v>
      </c>
      <c r="J18" s="5">
        <v>0</v>
      </c>
      <c r="K18" s="4">
        <v>0</v>
      </c>
      <c r="L18" s="8" t="s">
        <v>13</v>
      </c>
      <c r="M18" s="9" t="s">
        <v>13</v>
      </c>
      <c r="P18" s="17">
        <f t="shared" ref="P18:R18" si="1">P17*$U$18</f>
        <v>-162265.61018822243</v>
      </c>
      <c r="Q18">
        <f t="shared" si="1"/>
        <v>-133671.79858983416</v>
      </c>
      <c r="R18">
        <f t="shared" si="1"/>
        <v>-110116.67670996192</v>
      </c>
      <c r="S18" s="17">
        <f>S17*$U$18</f>
        <v>-96764.818181818191</v>
      </c>
      <c r="T18">
        <f>T21*$U$18</f>
        <v>-74727.371225368726</v>
      </c>
      <c r="U18">
        <f>I9/U17</f>
        <v>-441.84848484848487</v>
      </c>
    </row>
    <row r="19" spans="2:21">
      <c r="B19" s="10" t="s">
        <v>38</v>
      </c>
      <c r="C19" s="16">
        <f>C17</f>
        <v>133486.42377557419</v>
      </c>
      <c r="D19" s="16">
        <f>D17</f>
        <v>105880.4150730176</v>
      </c>
      <c r="E19" s="16">
        <f>E17</f>
        <v>95862.260434022755</v>
      </c>
      <c r="F19" s="16">
        <f>F17</f>
        <v>84642.934513302316</v>
      </c>
      <c r="G19" s="16">
        <f>G17+G18</f>
        <v>87392.244817566258</v>
      </c>
      <c r="I19" s="6">
        <v>66826</v>
      </c>
      <c r="J19" s="7">
        <v>29957</v>
      </c>
      <c r="K19" s="6">
        <v>24153</v>
      </c>
      <c r="L19" s="7">
        <v>11623</v>
      </c>
      <c r="M19" s="6">
        <v>19573</v>
      </c>
      <c r="P19" s="16">
        <f>M10+L10+K10+J10+I10</f>
        <v>-26139</v>
      </c>
      <c r="Q19">
        <v>26139</v>
      </c>
    </row>
    <row r="20" spans="2:21">
      <c r="B20" s="3" t="s">
        <v>39</v>
      </c>
      <c r="C20" s="74">
        <f>-C17*$P$24</f>
        <v>-26946.575535457694</v>
      </c>
      <c r="D20" s="74">
        <f>-D17*$P$24</f>
        <v>-21373.818563657969</v>
      </c>
      <c r="E20" s="74">
        <f>-E17*$P$24</f>
        <v>-19351.478365530886</v>
      </c>
      <c r="F20" s="74">
        <f>-F17*$P$24</f>
        <v>-17086.660679742141</v>
      </c>
      <c r="G20" s="78">
        <f>-G19*$P$24</f>
        <v>-17641.657178178684</v>
      </c>
      <c r="I20" s="6">
        <v>-13490</v>
      </c>
      <c r="J20" s="7">
        <v>-5872</v>
      </c>
      <c r="K20" s="6">
        <v>-4526</v>
      </c>
      <c r="L20" s="7">
        <v>-1658</v>
      </c>
      <c r="M20" s="6">
        <v>-3933</v>
      </c>
      <c r="P20" s="16">
        <f>SUM(I5:M5)</f>
        <v>6443075</v>
      </c>
    </row>
    <row r="21" spans="2:21">
      <c r="B21" s="11" t="s">
        <v>40</v>
      </c>
      <c r="C21" s="16">
        <f t="shared" ref="C21:F21" si="2">C19+C20</f>
        <v>106539.84824011649</v>
      </c>
      <c r="D21" s="16">
        <f t="shared" si="2"/>
        <v>84506.596509359631</v>
      </c>
      <c r="E21" s="16">
        <f t="shared" si="2"/>
        <v>76510.78206849187</v>
      </c>
      <c r="F21" s="16">
        <f t="shared" si="2"/>
        <v>67556.273833560175</v>
      </c>
      <c r="G21" s="16">
        <f>G19+G20</f>
        <v>69750.587639387581</v>
      </c>
      <c r="H21" s="16"/>
      <c r="I21" s="12">
        <v>53336</v>
      </c>
      <c r="J21" s="12">
        <v>24085</v>
      </c>
      <c r="K21" s="12">
        <v>19627</v>
      </c>
      <c r="L21" s="12">
        <v>9965</v>
      </c>
      <c r="M21" s="13">
        <v>15640</v>
      </c>
      <c r="P21">
        <f>P20/P19</f>
        <v>-246.49278855350244</v>
      </c>
      <c r="T21" s="19">
        <f>G5/$R$15</f>
        <v>169.12442565236731</v>
      </c>
    </row>
    <row r="22" spans="2:21">
      <c r="O22" t="s">
        <v>42</v>
      </c>
      <c r="P22">
        <f>(Q19/P20)*100%</f>
        <v>4.0569138183243246E-3</v>
      </c>
    </row>
    <row r="23" spans="2:21">
      <c r="P23">
        <f>I5/I15*100%</f>
        <v>400.443940253356</v>
      </c>
    </row>
    <row r="24" spans="2:21">
      <c r="O24" t="s">
        <v>43</v>
      </c>
      <c r="P24">
        <f>1-(I21/I19*100%)</f>
        <v>0.20186753658755574</v>
      </c>
    </row>
    <row r="25" spans="2:21">
      <c r="B25" s="29" t="s">
        <v>58</v>
      </c>
    </row>
    <row r="26" spans="2:21">
      <c r="B26" t="s">
        <v>59</v>
      </c>
      <c r="C26" s="28">
        <v>328891</v>
      </c>
      <c r="P26">
        <v>21</v>
      </c>
      <c r="Q26">
        <v>22</v>
      </c>
    </row>
    <row r="27" spans="2:21">
      <c r="B27" t="s">
        <v>60</v>
      </c>
      <c r="C27" s="28">
        <v>78</v>
      </c>
      <c r="D27" s="28">
        <v>78</v>
      </c>
      <c r="E27" s="28">
        <v>78</v>
      </c>
      <c r="F27" s="28">
        <v>78</v>
      </c>
      <c r="G27" s="28">
        <f>78+10</f>
        <v>88</v>
      </c>
      <c r="H27" s="16">
        <f>G27+10</f>
        <v>98</v>
      </c>
      <c r="I27" s="16">
        <f>H27+10</f>
        <v>108</v>
      </c>
      <c r="J27" s="16">
        <f>I27+10</f>
        <v>118</v>
      </c>
      <c r="K27" s="16">
        <f>J27+10</f>
        <v>128</v>
      </c>
      <c r="O27" t="s">
        <v>47</v>
      </c>
      <c r="P27" s="70">
        <f>328891*0.2</f>
        <v>65778.2</v>
      </c>
      <c r="Q27">
        <f>328891*0.1</f>
        <v>32889.1</v>
      </c>
    </row>
    <row r="28" spans="2:21">
      <c r="B28" t="s">
        <v>61</v>
      </c>
      <c r="C28" s="30">
        <v>0.1</v>
      </c>
      <c r="D28" t="s">
        <v>62</v>
      </c>
    </row>
    <row r="29" spans="2:21" ht="17.100000000000001">
      <c r="C29" s="28" t="s">
        <v>63</v>
      </c>
      <c r="O29" s="19"/>
      <c r="P29">
        <v>24</v>
      </c>
      <c r="Q29">
        <v>23</v>
      </c>
      <c r="R29">
        <v>22</v>
      </c>
      <c r="S29">
        <v>21</v>
      </c>
      <c r="T29">
        <v>20</v>
      </c>
    </row>
    <row r="30" spans="2:21">
      <c r="B30" s="29" t="s">
        <v>64</v>
      </c>
      <c r="O30" t="s">
        <v>65</v>
      </c>
      <c r="P30">
        <f>(C12*100)/'Balance &amp; Likviditet'!C17</f>
        <v>12.478126139826957</v>
      </c>
      <c r="Q30">
        <f>(D12*100)/'Balance &amp; Likviditet'!D17</f>
        <v>11.274915390851906</v>
      </c>
      <c r="R30">
        <f>(E12*100)/'Balance &amp; Likviditet'!E17</f>
        <v>11.304968567999834</v>
      </c>
      <c r="S30">
        <f>(F12*100)/'Balance &amp; Likviditet'!F17</f>
        <v>8.1455822658730828</v>
      </c>
      <c r="T30">
        <f>(G12*100)/'Balance &amp; Likviditet'!G17</f>
        <v>10.970425252604873</v>
      </c>
    </row>
    <row r="31" spans="2:21" ht="16.5" customHeight="1">
      <c r="B31" t="s">
        <v>34</v>
      </c>
      <c r="C31" s="46">
        <v>0</v>
      </c>
      <c r="D31" s="47">
        <v>1</v>
      </c>
      <c r="E31" s="47">
        <v>2</v>
      </c>
      <c r="F31" s="47">
        <v>3</v>
      </c>
      <c r="G31" s="57">
        <v>4</v>
      </c>
      <c r="H31" s="48">
        <v>5</v>
      </c>
      <c r="I31" s="49">
        <v>6</v>
      </c>
      <c r="J31" s="49">
        <v>7</v>
      </c>
      <c r="K31" s="49">
        <v>8</v>
      </c>
      <c r="L31" s="50">
        <v>9</v>
      </c>
      <c r="M31" s="20"/>
      <c r="N31" s="20"/>
      <c r="O31" s="22" t="s">
        <v>66</v>
      </c>
      <c r="P31">
        <f>C5/'Balance &amp; Likviditet'!C17</f>
        <v>4.6667869829270758</v>
      </c>
      <c r="Q31">
        <f>D5/'Balance &amp; Likviditet'!D17</f>
        <v>4.2122808309485951</v>
      </c>
      <c r="R31">
        <f>E5/'Balance &amp; Likviditet'!E17</f>
        <v>3.7402550738012859</v>
      </c>
      <c r="S31">
        <f>F5/'Balance &amp; Likviditet'!F17</f>
        <v>3.3138826683350731</v>
      </c>
      <c r="T31">
        <f>G5/'Balance &amp; Likviditet'!G17</f>
        <v>3.5543846783309121</v>
      </c>
    </row>
    <row r="32" spans="2:21" ht="31.5">
      <c r="B32" t="s">
        <v>67</v>
      </c>
      <c r="C32" s="51">
        <v>140000</v>
      </c>
      <c r="D32" s="35">
        <f t="shared" ref="D32:L32" si="3">C32-($C$32*$C$28)</f>
        <v>126000</v>
      </c>
      <c r="E32" s="35">
        <f t="shared" si="3"/>
        <v>112000</v>
      </c>
      <c r="F32" s="35">
        <f t="shared" si="3"/>
        <v>98000</v>
      </c>
      <c r="G32" s="81">
        <f t="shared" si="3"/>
        <v>84000</v>
      </c>
      <c r="H32" s="81">
        <f t="shared" si="3"/>
        <v>70000</v>
      </c>
      <c r="I32" s="81">
        <f t="shared" si="3"/>
        <v>56000</v>
      </c>
      <c r="J32" s="81">
        <f t="shared" si="3"/>
        <v>42000</v>
      </c>
      <c r="K32" s="81">
        <f t="shared" si="3"/>
        <v>28000</v>
      </c>
      <c r="L32" s="81">
        <f t="shared" si="3"/>
        <v>14000</v>
      </c>
      <c r="M32" s="20"/>
      <c r="N32" s="20"/>
      <c r="O32" s="20" t="s">
        <v>68</v>
      </c>
      <c r="P32">
        <f>C5/'Balance &amp; Likviditet'!C12</f>
        <v>69.132175999121159</v>
      </c>
      <c r="Q32">
        <f>D5/'Balance &amp; Likviditet'!D12</f>
        <v>39.851319550883716</v>
      </c>
      <c r="R32">
        <f>E5/'Balance &amp; Likviditet'!E12</f>
        <v>25.938224215049075</v>
      </c>
      <c r="S32">
        <f>F5/'Balance &amp; Likviditet'!F12</f>
        <v>17.995398278656772</v>
      </c>
      <c r="T32">
        <f>G5/'Balance &amp; Likviditet'!G12</f>
        <v>12.978770958529878</v>
      </c>
    </row>
    <row r="33" spans="2:16">
      <c r="B33" t="s">
        <v>69</v>
      </c>
      <c r="C33" s="51"/>
      <c r="D33" s="36">
        <f>-D35+D35*$T$9%</f>
        <v>-363483.32667264505</v>
      </c>
      <c r="E33" s="36">
        <f>-E35+E35*$T$9%</f>
        <v>-441236.25490191672</v>
      </c>
      <c r="F33" s="36">
        <f>-F35+(F35*$T$9%)</f>
        <v>-535621.35689158435</v>
      </c>
      <c r="G33" s="58">
        <f>-G35+G35*$T$9%</f>
        <v>-650196.43053165579</v>
      </c>
      <c r="H33" s="37">
        <f>-H35+H35*$T$9%</f>
        <v>-789280.32431252848</v>
      </c>
      <c r="I33" s="37">
        <f t="shared" ref="I33:L33" si="4">-I35+I35*$T$9%</f>
        <v>-958115.73409823608</v>
      </c>
      <c r="J33" s="37">
        <f t="shared" si="4"/>
        <v>-1163066.8238514333</v>
      </c>
      <c r="K33" s="37">
        <f t="shared" si="4"/>
        <v>-1411859.1195217399</v>
      </c>
      <c r="L33" s="52">
        <f t="shared" si="4"/>
        <v>-1713870.7187742181</v>
      </c>
      <c r="M33" s="20"/>
      <c r="N33" s="20"/>
      <c r="O33" s="20"/>
    </row>
    <row r="34" spans="2:16">
      <c r="B34" t="s">
        <v>19</v>
      </c>
      <c r="C34" s="51"/>
      <c r="D34" s="38">
        <f t="shared" ref="D34:L34" si="5">$U$18*C27</f>
        <v>-34464.181818181823</v>
      </c>
      <c r="E34" s="82">
        <f t="shared" si="5"/>
        <v>-34464.181818181823</v>
      </c>
      <c r="F34" s="82">
        <f t="shared" si="5"/>
        <v>-34464.181818181823</v>
      </c>
      <c r="G34" s="82">
        <f t="shared" si="5"/>
        <v>-34464.181818181823</v>
      </c>
      <c r="H34" s="82">
        <f t="shared" si="5"/>
        <v>-38882.666666666672</v>
      </c>
      <c r="I34" s="82">
        <f t="shared" si="5"/>
        <v>-43301.15151515152</v>
      </c>
      <c r="J34" s="82">
        <f t="shared" si="5"/>
        <v>-47719.636363636368</v>
      </c>
      <c r="K34" s="82">
        <f t="shared" si="5"/>
        <v>-52138.121212121216</v>
      </c>
      <c r="L34" s="82">
        <f t="shared" si="5"/>
        <v>-56556.606060606064</v>
      </c>
      <c r="M34" s="20"/>
      <c r="N34" s="20"/>
      <c r="O34" s="20"/>
    </row>
    <row r="35" spans="2:16">
      <c r="B35" t="s">
        <v>70</v>
      </c>
      <c r="C35" s="51"/>
      <c r="D35" s="39">
        <f>C26*$P$6%+$C$26</f>
        <v>399244.26366230787</v>
      </c>
      <c r="E35" s="39">
        <f>D35*$P$6%+D35</f>
        <v>484646.83456603676</v>
      </c>
      <c r="F35" s="39">
        <f>E35*$P$6%+E35</f>
        <v>588317.91871041059</v>
      </c>
      <c r="G35" s="59">
        <f>F35*$P$6%+F35</f>
        <v>714165.34430823394</v>
      </c>
      <c r="H35" s="40">
        <f>G35*$P$6%+G35</f>
        <v>866932.86536110565</v>
      </c>
      <c r="I35" s="40">
        <f t="shared" ref="I35:K35" si="6">H35*$P$6%+H35</f>
        <v>1052378.9750274385</v>
      </c>
      <c r="J35" s="40">
        <f t="shared" si="6"/>
        <v>1277493.969061251</v>
      </c>
      <c r="K35" s="40">
        <f t="shared" si="6"/>
        <v>1550763.4414164517</v>
      </c>
      <c r="L35" s="53">
        <f>K35*$P$6%+K35</f>
        <v>1882488.1443479382</v>
      </c>
      <c r="M35" s="20"/>
      <c r="N35" s="20"/>
      <c r="O35" s="20"/>
    </row>
    <row r="36" spans="2:16">
      <c r="B36" t="s">
        <v>71</v>
      </c>
      <c r="C36" s="51"/>
      <c r="D36" s="41">
        <f>D35+D34+D33</f>
        <v>1296.7551714809961</v>
      </c>
      <c r="E36" s="41">
        <f>E35+E34+E33</f>
        <v>8946.3978459382197</v>
      </c>
      <c r="F36" s="41">
        <f>F35+F34+F33</f>
        <v>18232.380000644363</v>
      </c>
      <c r="G36" s="60">
        <f>G35+G34+G33</f>
        <v>29504.731958396384</v>
      </c>
      <c r="H36" s="42">
        <f>H35+H34+H33</f>
        <v>38769.874381910544</v>
      </c>
      <c r="I36" s="42">
        <f t="shared" ref="I36:L36" si="7">I35+I34+I33</f>
        <v>50962.089414050919</v>
      </c>
      <c r="J36" s="42">
        <f t="shared" si="7"/>
        <v>66707.508846181212</v>
      </c>
      <c r="K36" s="42">
        <f t="shared" si="7"/>
        <v>86766.200682590716</v>
      </c>
      <c r="L36" s="54">
        <f t="shared" si="7"/>
        <v>112060.81951311417</v>
      </c>
      <c r="M36" s="20"/>
      <c r="N36" s="20"/>
      <c r="O36" s="20"/>
    </row>
    <row r="37" spans="2:16">
      <c r="B37" t="s">
        <v>72</v>
      </c>
      <c r="C37" s="55">
        <v>0.1</v>
      </c>
      <c r="D37" s="43"/>
      <c r="E37" s="43"/>
      <c r="F37" s="43"/>
      <c r="G37" s="61"/>
      <c r="H37" s="44"/>
      <c r="I37" s="45"/>
      <c r="J37" s="45"/>
      <c r="K37" s="45"/>
      <c r="L37" s="56"/>
      <c r="M37" s="20"/>
      <c r="N37" s="20"/>
      <c r="O37" s="20"/>
    </row>
    <row r="38" spans="2:16">
      <c r="I38" s="20"/>
      <c r="J38" s="21"/>
      <c r="K38" s="20"/>
      <c r="L38" s="20"/>
      <c r="M38" s="20"/>
      <c r="N38" s="20"/>
      <c r="O38" s="20"/>
    </row>
    <row r="39" spans="2:16">
      <c r="B39" s="31" t="s">
        <v>73</v>
      </c>
      <c r="C39" s="32">
        <f>NPV(C37,D36:G36,)-C32+G32</f>
        <v>-13577.028559571336</v>
      </c>
      <c r="I39" s="20"/>
      <c r="J39" s="21"/>
      <c r="K39" s="20"/>
      <c r="L39" s="20"/>
      <c r="M39" s="20"/>
      <c r="N39" s="20"/>
      <c r="O39" s="20"/>
    </row>
    <row r="40" spans="2:16">
      <c r="B40" s="33" t="s">
        <v>74</v>
      </c>
      <c r="C40" s="34">
        <f>NPV(C37,D36:L36,)-C32+L32</f>
        <v>91496.083382715558</v>
      </c>
      <c r="I40" s="20"/>
      <c r="J40" s="22"/>
      <c r="K40" s="20"/>
      <c r="L40" s="20"/>
      <c r="M40" s="20"/>
      <c r="N40" s="20"/>
      <c r="O40" s="20"/>
    </row>
    <row r="42" spans="2:16" ht="17.100000000000001">
      <c r="B42" s="23" t="s">
        <v>75</v>
      </c>
      <c r="I42" s="23"/>
      <c r="J42" s="23"/>
      <c r="K42" s="23"/>
      <c r="L42" s="23"/>
      <c r="M42" s="23"/>
      <c r="N42" s="23"/>
      <c r="O42" s="23"/>
      <c r="P42" s="23"/>
    </row>
    <row r="43" spans="2:16" ht="17.100000000000001">
      <c r="B43" s="23" t="s">
        <v>76</v>
      </c>
      <c r="I43" s="23"/>
      <c r="J43" s="24"/>
      <c r="K43" s="23"/>
      <c r="L43" s="23"/>
      <c r="M43" s="23"/>
      <c r="N43" s="23"/>
      <c r="O43" s="23"/>
      <c r="P43" s="23"/>
    </row>
    <row r="44" spans="2:16">
      <c r="I44" s="23"/>
      <c r="J44" s="24"/>
      <c r="K44" s="23"/>
      <c r="L44" s="24"/>
      <c r="M44" s="24"/>
      <c r="N44" s="24"/>
      <c r="O44" s="24"/>
      <c r="P44" s="24"/>
    </row>
    <row r="45" spans="2:16">
      <c r="I45" s="23"/>
      <c r="J45" s="23"/>
      <c r="K45" s="23"/>
      <c r="L45" s="23"/>
      <c r="M45" s="23"/>
      <c r="N45" s="23"/>
      <c r="O45" s="23"/>
      <c r="P45" s="23"/>
    </row>
    <row r="46" spans="2:16">
      <c r="I46" s="23"/>
      <c r="J46" s="25"/>
      <c r="K46" s="23"/>
      <c r="L46" s="23"/>
      <c r="M46" s="23"/>
      <c r="N46" s="23"/>
      <c r="O46" s="23"/>
      <c r="P46" s="23"/>
    </row>
    <row r="47" spans="2:16">
      <c r="I47" s="23"/>
      <c r="J47" s="24"/>
      <c r="K47" s="23"/>
      <c r="L47" s="24"/>
      <c r="M47" s="24"/>
      <c r="N47" s="24"/>
      <c r="O47" s="24"/>
      <c r="P47" s="24"/>
    </row>
    <row r="48" spans="2:16">
      <c r="I48" s="23"/>
      <c r="J48" s="23"/>
      <c r="K48" s="23"/>
      <c r="L48" s="23"/>
      <c r="M48" s="23"/>
      <c r="N48" s="23"/>
      <c r="O48" s="23"/>
      <c r="P48" s="23"/>
    </row>
    <row r="49" spans="9:16">
      <c r="I49" s="23"/>
      <c r="J49" s="23"/>
      <c r="K49" s="24"/>
      <c r="L49" s="24"/>
      <c r="M49" s="24"/>
      <c r="N49" s="24"/>
      <c r="O49" s="24"/>
      <c r="P49" s="24"/>
    </row>
    <row r="50" spans="9:16">
      <c r="I50" s="23"/>
      <c r="J50" s="23"/>
      <c r="K50" s="23"/>
      <c r="L50" s="23"/>
      <c r="M50" s="23"/>
      <c r="N50" s="23"/>
      <c r="O50" s="23"/>
      <c r="P50" s="23"/>
    </row>
    <row r="51" spans="9:16">
      <c r="I51" s="23"/>
      <c r="J51" s="25"/>
      <c r="K51" s="23"/>
      <c r="L51" s="23"/>
      <c r="M51" s="23"/>
      <c r="N51" s="23"/>
      <c r="O51" s="23"/>
      <c r="P51" s="23"/>
    </row>
    <row r="52" spans="9:16">
      <c r="I52" s="23"/>
      <c r="J52" s="26"/>
      <c r="K52" s="23"/>
      <c r="L52" s="23"/>
      <c r="M52" s="23"/>
      <c r="N52" s="23"/>
      <c r="O52" s="23"/>
      <c r="P52" s="23"/>
    </row>
    <row r="53" spans="9:16">
      <c r="I53" s="23"/>
      <c r="J53" s="27"/>
      <c r="K53" s="23"/>
      <c r="L53" s="23"/>
      <c r="M53" s="23"/>
      <c r="N53" s="23"/>
      <c r="O53" s="23"/>
      <c r="P53" s="23"/>
    </row>
    <row r="54" spans="9:16">
      <c r="I54" s="23"/>
      <c r="J54" s="25"/>
      <c r="K54" s="23"/>
      <c r="L54" s="23"/>
      <c r="M54" s="23"/>
      <c r="N54" s="23"/>
      <c r="O54" s="23"/>
      <c r="P54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CFE2-5988-E34C-89CA-B0427EB19B1E}">
  <dimension ref="B6:M55"/>
  <sheetViews>
    <sheetView tabSelected="1" topLeftCell="A26" workbookViewId="0">
      <selection activeCell="B30" sqref="B30:B51"/>
    </sheetView>
  </sheetViews>
  <sheetFormatPr defaultColWidth="11" defaultRowHeight="15.95"/>
  <cols>
    <col min="2" max="2" width="61.875" bestFit="1" customWidth="1"/>
    <col min="3" max="3" width="18.375" bestFit="1" customWidth="1"/>
    <col min="4" max="5" width="12.125" customWidth="1"/>
    <col min="6" max="6" width="12.5" bestFit="1" customWidth="1"/>
    <col min="7" max="7" width="14" customWidth="1"/>
    <col min="8" max="8" width="11.5" customWidth="1"/>
    <col min="9" max="9" width="11.875" customWidth="1"/>
    <col min="10" max="11" width="11.625" customWidth="1"/>
  </cols>
  <sheetData>
    <row r="6" spans="2:13" ht="18">
      <c r="B6" s="92" t="s">
        <v>77</v>
      </c>
      <c r="C6" s="93" t="s">
        <v>53</v>
      </c>
      <c r="D6" s="93" t="s">
        <v>54</v>
      </c>
      <c r="E6" s="93" t="s">
        <v>55</v>
      </c>
      <c r="F6" s="93" t="s">
        <v>56</v>
      </c>
      <c r="G6" s="93" t="s">
        <v>57</v>
      </c>
      <c r="H6" s="92" t="s">
        <v>2</v>
      </c>
      <c r="I6" s="93" t="s">
        <v>3</v>
      </c>
      <c r="J6" s="93" t="s">
        <v>4</v>
      </c>
      <c r="K6" s="93" t="s">
        <v>5</v>
      </c>
      <c r="L6" s="94" t="s">
        <v>6</v>
      </c>
      <c r="M6" s="1"/>
    </row>
    <row r="7" spans="2:13" ht="18">
      <c r="B7" s="79" t="s">
        <v>7</v>
      </c>
      <c r="C7" s="95" t="s">
        <v>8</v>
      </c>
      <c r="D7" s="95" t="s">
        <v>8</v>
      </c>
      <c r="E7" s="95" t="s">
        <v>8</v>
      </c>
      <c r="F7" s="95" t="s">
        <v>8</v>
      </c>
      <c r="G7" s="95" t="s">
        <v>8</v>
      </c>
      <c r="H7" s="79" t="s">
        <v>8</v>
      </c>
      <c r="I7" s="95" t="s">
        <v>8</v>
      </c>
      <c r="J7" s="95" t="s">
        <v>8</v>
      </c>
      <c r="K7" s="95" t="s">
        <v>8</v>
      </c>
      <c r="L7" s="96" t="s">
        <v>8</v>
      </c>
      <c r="M7" s="2"/>
    </row>
    <row r="8" spans="2:13" ht="18">
      <c r="B8" s="105" t="s">
        <v>78</v>
      </c>
      <c r="C8" s="97">
        <v>5343</v>
      </c>
      <c r="D8" s="97">
        <v>5343</v>
      </c>
      <c r="E8" s="97">
        <v>5343</v>
      </c>
      <c r="F8" s="97">
        <v>5343</v>
      </c>
      <c r="G8" s="97">
        <v>5343</v>
      </c>
      <c r="H8" s="80">
        <v>5343</v>
      </c>
      <c r="I8" s="97">
        <v>5227</v>
      </c>
      <c r="J8" s="97">
        <v>5726</v>
      </c>
      <c r="K8" s="97">
        <v>6113</v>
      </c>
      <c r="L8" s="98">
        <v>4717</v>
      </c>
      <c r="M8" s="2"/>
    </row>
    <row r="9" spans="2:13" ht="18">
      <c r="B9" s="105" t="s">
        <v>79</v>
      </c>
      <c r="C9" s="97">
        <f>D9+'Resultat '!C10</f>
        <v>65695.836872529937</v>
      </c>
      <c r="D9" s="97">
        <f>E9+'Resultat '!D10</f>
        <v>100344.60330587447</v>
      </c>
      <c r="E9" s="97">
        <f>F9+'Resultat '!E10</f>
        <v>131002.2926429708</v>
      </c>
      <c r="F9" s="97">
        <f>G9+'Resultat '!F10</f>
        <v>158372.19689025448</v>
      </c>
      <c r="G9" s="97">
        <f>'Lån &amp; Afskrivelse '!C6+H9+'Resultat '!G10</f>
        <v>183033.67668566378</v>
      </c>
      <c r="H9" s="80">
        <v>53464</v>
      </c>
      <c r="I9" s="97">
        <v>29937</v>
      </c>
      <c r="J9" s="97">
        <v>29745</v>
      </c>
      <c r="K9" s="97">
        <v>9976</v>
      </c>
      <c r="L9" s="96">
        <v>865</v>
      </c>
      <c r="M9" s="2"/>
    </row>
    <row r="10" spans="2:13" ht="18">
      <c r="B10" s="105" t="s">
        <v>80</v>
      </c>
      <c r="C10" s="97">
        <v>9716</v>
      </c>
      <c r="D10" s="97">
        <v>9716</v>
      </c>
      <c r="E10" s="97">
        <v>9716</v>
      </c>
      <c r="F10" s="97">
        <v>9716</v>
      </c>
      <c r="G10" s="97">
        <v>9716</v>
      </c>
      <c r="H10" s="80">
        <v>9716</v>
      </c>
      <c r="I10" s="97">
        <v>7728</v>
      </c>
      <c r="J10" s="97">
        <v>7108</v>
      </c>
      <c r="K10" s="97">
        <v>6500</v>
      </c>
      <c r="L10" s="98">
        <v>3638</v>
      </c>
      <c r="M10" s="2"/>
    </row>
    <row r="11" spans="2:13" ht="18">
      <c r="B11" s="99"/>
      <c r="C11" s="95"/>
      <c r="D11" s="95"/>
      <c r="E11" s="95"/>
      <c r="F11" s="95"/>
      <c r="G11" s="95"/>
      <c r="H11" s="80"/>
      <c r="I11" s="97"/>
      <c r="J11" s="97"/>
      <c r="K11" s="97"/>
      <c r="L11" s="98"/>
      <c r="M11" s="2"/>
    </row>
    <row r="12" spans="2:13" ht="18">
      <c r="B12" s="100" t="s">
        <v>81</v>
      </c>
      <c r="C12" s="97">
        <f t="shared" ref="C12:F12" si="0">C9+C8+C10</f>
        <v>80754.836872529937</v>
      </c>
      <c r="D12" s="97">
        <f t="shared" si="0"/>
        <v>115403.60330587447</v>
      </c>
      <c r="E12" s="97">
        <f t="shared" si="0"/>
        <v>146061.2926429708</v>
      </c>
      <c r="F12" s="97">
        <f t="shared" si="0"/>
        <v>173431.19689025448</v>
      </c>
      <c r="G12" s="97">
        <f>G9+G8+G10</f>
        <v>198092.67668566378</v>
      </c>
      <c r="H12" s="80">
        <v>68523</v>
      </c>
      <c r="I12" s="97">
        <v>42892</v>
      </c>
      <c r="J12" s="97">
        <v>42579</v>
      </c>
      <c r="K12" s="97">
        <v>23469</v>
      </c>
      <c r="L12" s="98">
        <v>10097</v>
      </c>
      <c r="M12" s="2"/>
    </row>
    <row r="13" spans="2:13" ht="18">
      <c r="B13" s="100" t="s">
        <v>82</v>
      </c>
      <c r="C13" s="97">
        <f>227277*'Resultat '!$T$9%+D13</f>
        <v>488158.69278685108</v>
      </c>
      <c r="D13" s="97">
        <f>227277*'Resultat '!$T$9%+E13</f>
        <v>467801.13422948087</v>
      </c>
      <c r="E13" s="97">
        <f>227277*'Resultat '!$T$9%+F13</f>
        <v>447443.57567211066</v>
      </c>
      <c r="F13" s="97">
        <f>(227277*'Resultat '!$T$9%+G13)+H13*70%</f>
        <v>427086.01711474045</v>
      </c>
      <c r="G13" s="97">
        <f>227277*'Resultat '!$T$9%+H13</f>
        <v>247634.55855737024</v>
      </c>
      <c r="H13" s="80">
        <v>227277</v>
      </c>
      <c r="I13" s="97">
        <v>154601</v>
      </c>
      <c r="J13" s="97">
        <v>130962</v>
      </c>
      <c r="K13" s="97">
        <v>83422</v>
      </c>
      <c r="L13" s="98">
        <v>63930</v>
      </c>
      <c r="M13" s="2"/>
    </row>
    <row r="14" spans="2:13" ht="18">
      <c r="B14" s="100" t="s">
        <v>83</v>
      </c>
      <c r="C14" s="97">
        <v>111319</v>
      </c>
      <c r="D14" s="97">
        <v>111319</v>
      </c>
      <c r="E14" s="97">
        <v>111319</v>
      </c>
      <c r="F14" s="97">
        <v>111319</v>
      </c>
      <c r="G14" s="97">
        <v>111319</v>
      </c>
      <c r="H14" s="80">
        <v>111319</v>
      </c>
      <c r="I14" s="97">
        <v>63354</v>
      </c>
      <c r="J14" s="97"/>
      <c r="K14" s="95"/>
      <c r="L14" s="96"/>
      <c r="M14" s="2"/>
    </row>
    <row r="15" spans="2:13" ht="18">
      <c r="B15" s="100" t="s">
        <v>84</v>
      </c>
      <c r="C15" s="97">
        <f>C55</f>
        <v>516041.82695384347</v>
      </c>
      <c r="D15" s="97">
        <f>D55</f>
        <v>397280.45530858269</v>
      </c>
      <c r="E15" s="97">
        <f>E55</f>
        <v>308093.82926399965</v>
      </c>
      <c r="F15" s="97">
        <f>F55</f>
        <v>229948.32526243539</v>
      </c>
      <c r="G15" s="97">
        <f>G55</f>
        <v>166285.56813190243</v>
      </c>
      <c r="H15" s="80">
        <v>68463</v>
      </c>
      <c r="I15" s="97">
        <v>34533</v>
      </c>
      <c r="J15" s="97">
        <v>16672</v>
      </c>
      <c r="K15" s="97">
        <v>14152</v>
      </c>
      <c r="L15" s="98">
        <v>34274</v>
      </c>
      <c r="M15" s="2"/>
    </row>
    <row r="16" spans="2:13" ht="18">
      <c r="B16" s="100"/>
      <c r="C16" s="95"/>
      <c r="D16" s="95"/>
      <c r="E16" s="95"/>
      <c r="F16" s="95"/>
      <c r="G16" s="97"/>
      <c r="H16" s="80"/>
      <c r="I16" s="97"/>
      <c r="J16" s="97"/>
      <c r="K16" s="97"/>
      <c r="L16" s="98"/>
      <c r="M16" s="2"/>
    </row>
    <row r="17" spans="2:13" ht="18">
      <c r="B17" s="99" t="s">
        <v>85</v>
      </c>
      <c r="C17" s="90">
        <f>C12+C15+C13+C14</f>
        <v>1196274.3566132244</v>
      </c>
      <c r="D17" s="90">
        <f>D12+D15+D13+D14</f>
        <v>1091804.192843938</v>
      </c>
      <c r="E17" s="90">
        <f t="shared" ref="E17" si="1">E12+E15+E13+E14</f>
        <v>1012917.6975790812</v>
      </c>
      <c r="F17" s="90">
        <f>F12+F15+F13+F14</f>
        <v>941784.53926743031</v>
      </c>
      <c r="G17" s="90">
        <f>G12+G15+G13+G14</f>
        <v>723331.80337493645</v>
      </c>
      <c r="H17" s="80">
        <v>475582</v>
      </c>
      <c r="I17" s="97">
        <v>295381</v>
      </c>
      <c r="J17" s="97">
        <v>245955</v>
      </c>
      <c r="K17" s="97">
        <v>175537</v>
      </c>
      <c r="L17" s="98">
        <v>147679</v>
      </c>
      <c r="M17" s="2"/>
    </row>
    <row r="18" spans="2:13" ht="18">
      <c r="B18" s="99"/>
      <c r="C18" s="95"/>
      <c r="D18" s="95"/>
      <c r="E18" s="95"/>
      <c r="F18" s="95"/>
      <c r="G18" s="95"/>
      <c r="H18" s="80"/>
      <c r="I18" s="97"/>
      <c r="J18" s="97"/>
      <c r="K18" s="97"/>
      <c r="L18" s="98"/>
      <c r="M18" s="2"/>
    </row>
    <row r="19" spans="2:13" ht="18">
      <c r="B19" s="105" t="s">
        <v>86</v>
      </c>
      <c r="C19" s="97">
        <f>D19+'Resultat '!C21</f>
        <v>501500.08829091571</v>
      </c>
      <c r="D19" s="97">
        <f>E19+'Resultat '!D21</f>
        <v>394960.24005079921</v>
      </c>
      <c r="E19" s="97">
        <f>F19+'Resultat '!E21</f>
        <v>310453.64354143961</v>
      </c>
      <c r="F19" s="97">
        <f>G19+'Resultat '!F21</f>
        <v>233942.86147294776</v>
      </c>
      <c r="G19" s="97">
        <f>H19+'Resultat '!G21</f>
        <v>166386.58763938758</v>
      </c>
      <c r="H19" s="80">
        <f>91944+4692</f>
        <v>96636</v>
      </c>
      <c r="I19" s="97">
        <v>58765</v>
      </c>
      <c r="J19" s="97">
        <v>49585</v>
      </c>
      <c r="K19" s="97">
        <v>41025</v>
      </c>
      <c r="L19" s="98">
        <v>46404</v>
      </c>
      <c r="M19" s="2"/>
    </row>
    <row r="20" spans="2:13" ht="18">
      <c r="B20" s="100" t="s">
        <v>87</v>
      </c>
      <c r="C20" s="97">
        <f>D20-'Lån &amp; Afskrivelse '!C13</f>
        <v>31076</v>
      </c>
      <c r="D20" s="106">
        <f>E20-'Lån &amp; Afskrivelse '!C12</f>
        <v>59076</v>
      </c>
      <c r="E20" s="97">
        <f>F20-'Lån &amp; Afskrivelse '!C11</f>
        <v>87076</v>
      </c>
      <c r="F20" s="97">
        <f>G20-'Lån &amp; Afskrivelse '!C10</f>
        <v>115076</v>
      </c>
      <c r="G20" s="97">
        <f>$H$20+'Lån &amp; Afskrivelse '!F9</f>
        <v>143076</v>
      </c>
      <c r="H20" s="80">
        <v>3076</v>
      </c>
      <c r="I20" s="95">
        <v>985</v>
      </c>
      <c r="J20" s="95">
        <v>0</v>
      </c>
      <c r="K20" s="95"/>
      <c r="L20" s="96"/>
      <c r="M20" s="2"/>
    </row>
    <row r="21" spans="2:13" ht="18">
      <c r="B21" s="100" t="s">
        <v>88</v>
      </c>
      <c r="C21" s="97">
        <f>(C13-D13)+D21-'Resultat '!C20+'Resultat '!D20</f>
        <v>663698.26832230878</v>
      </c>
      <c r="D21" s="97">
        <f>(D13-E13)+E21-'Resultat '!D20+'Resultat '!E20</f>
        <v>637767.9527931388</v>
      </c>
      <c r="E21" s="97">
        <f>(E13-F13)+F21-'Resultat '!E20+'Resultat '!F20</f>
        <v>615388.0540376415</v>
      </c>
      <c r="F21" s="97">
        <f>(F13-G13)+G21-'Resultat '!F20+'Resultat '!G20</f>
        <v>592765.67779448256</v>
      </c>
      <c r="G21" s="97">
        <f>(G13-H13)+H21-'Resultat '!G20</f>
        <v>413869.21573554887</v>
      </c>
      <c r="H21" s="80">
        <v>375870</v>
      </c>
      <c r="I21" s="97">
        <v>232822</v>
      </c>
      <c r="J21" s="97">
        <v>194177</v>
      </c>
      <c r="K21" s="97">
        <v>133865</v>
      </c>
      <c r="L21" s="98">
        <v>100708</v>
      </c>
      <c r="M21" s="2"/>
    </row>
    <row r="22" spans="2:13" ht="18">
      <c r="B22" s="101" t="s">
        <v>89</v>
      </c>
      <c r="C22" s="91">
        <f t="shared" ref="C22:E22" si="2">SUM(C19:C21)</f>
        <v>1196274.3566132244</v>
      </c>
      <c r="D22" s="91">
        <f t="shared" si="2"/>
        <v>1091804.192843938</v>
      </c>
      <c r="E22" s="91">
        <f t="shared" si="2"/>
        <v>1012917.6975790812</v>
      </c>
      <c r="F22" s="91">
        <f>SUM(F19:F21)</f>
        <v>941784.53926743031</v>
      </c>
      <c r="G22" s="91">
        <f>G19+G20+G21</f>
        <v>723331.80337493645</v>
      </c>
      <c r="H22" s="102">
        <v>475582</v>
      </c>
      <c r="I22" s="103">
        <v>295381</v>
      </c>
      <c r="J22" s="103">
        <v>245955</v>
      </c>
      <c r="K22" s="103">
        <v>175537</v>
      </c>
      <c r="L22" s="104">
        <v>147679</v>
      </c>
      <c r="M22" s="2"/>
    </row>
    <row r="23" spans="2:13">
      <c r="C23" s="16"/>
      <c r="D23" s="16">
        <f>D17-D22</f>
        <v>0</v>
      </c>
      <c r="E23" s="16">
        <f>E17-E22</f>
        <v>0</v>
      </c>
      <c r="F23" s="16">
        <f>F17-F22</f>
        <v>0</v>
      </c>
      <c r="G23" s="110">
        <f>G17-G22</f>
        <v>0</v>
      </c>
    </row>
    <row r="24" spans="2:13">
      <c r="C24" s="16"/>
      <c r="G24" s="16"/>
    </row>
    <row r="26" spans="2:13" ht="18.95">
      <c r="B26" s="64"/>
      <c r="C26" s="65"/>
      <c r="D26" s="64"/>
      <c r="E26" s="64"/>
      <c r="F26" s="64"/>
      <c r="G26" s="64"/>
      <c r="H26" s="64"/>
    </row>
    <row r="27" spans="2:13" ht="18.95">
      <c r="B27" s="135" t="s">
        <v>90</v>
      </c>
      <c r="C27" s="135"/>
      <c r="D27" s="135"/>
      <c r="E27" s="135"/>
      <c r="F27" s="135"/>
      <c r="G27" s="135"/>
      <c r="H27" s="64"/>
    </row>
    <row r="28" spans="2:13" ht="18.95">
      <c r="B28" s="66"/>
      <c r="C28" s="67"/>
      <c r="D28" s="64"/>
      <c r="E28" s="64"/>
      <c r="F28" s="64"/>
      <c r="G28" s="64"/>
      <c r="H28" s="64"/>
    </row>
    <row r="29" spans="2:13" ht="18.95">
      <c r="B29" s="66" t="s">
        <v>91</v>
      </c>
      <c r="C29" s="1" t="s">
        <v>53</v>
      </c>
      <c r="D29" s="1" t="s">
        <v>54</v>
      </c>
      <c r="E29" s="1" t="s">
        <v>55</v>
      </c>
      <c r="F29" s="1" t="s">
        <v>56</v>
      </c>
      <c r="G29" s="1" t="s">
        <v>57</v>
      </c>
      <c r="H29" s="1"/>
      <c r="I29" s="1"/>
      <c r="J29" s="1"/>
      <c r="K29" s="1"/>
      <c r="L29" s="1"/>
    </row>
    <row r="30" spans="2:13" ht="18.95">
      <c r="B30" s="64" t="s">
        <v>92</v>
      </c>
      <c r="C30" s="68">
        <f>'Resultat '!C12</f>
        <v>149272.62319660149</v>
      </c>
      <c r="D30" s="68">
        <f>'Resultat '!D12</f>
        <v>123099.99897692759</v>
      </c>
      <c r="E30" s="68">
        <f>'Resultat '!E12</f>
        <v>114510.02733102275</v>
      </c>
      <c r="F30" s="68">
        <f>'Resultat '!F12</f>
        <v>76713.83441330232</v>
      </c>
      <c r="G30" s="68">
        <f>'Resultat '!G12</f>
        <v>79352.574817566259</v>
      </c>
      <c r="H30" s="64"/>
    </row>
    <row r="31" spans="2:13" ht="18.95">
      <c r="B31" s="133" t="s">
        <v>93</v>
      </c>
      <c r="C31" s="89">
        <f>-'Resultat '!C10</f>
        <v>34648.766433344535</v>
      </c>
      <c r="D31" s="89">
        <f>-'Resultat '!D10</f>
        <v>30657.689337096333</v>
      </c>
      <c r="E31" s="89">
        <f>-'Resultat '!E10</f>
        <v>27369.904247283677</v>
      </c>
      <c r="F31" s="89">
        <f>-'Resultat '!F10</f>
        <v>24661.479795409305</v>
      </c>
      <c r="G31" s="89">
        <f>-'Resultat '!G10</f>
        <v>10430.323314336209</v>
      </c>
      <c r="H31" s="64"/>
    </row>
    <row r="32" spans="2:13" ht="18.95">
      <c r="B32" s="133" t="s">
        <v>94</v>
      </c>
      <c r="C32" s="68">
        <f t="shared" ref="C32:E32" si="3">D13-C13</f>
        <v>-20357.558557370212</v>
      </c>
      <c r="D32" s="68">
        <f t="shared" si="3"/>
        <v>-20357.558557370212</v>
      </c>
      <c r="E32" s="68">
        <f t="shared" si="3"/>
        <v>-20357.558557370212</v>
      </c>
      <c r="F32" s="68">
        <f>G13-F13</f>
        <v>-179451.45855737021</v>
      </c>
      <c r="G32" s="68">
        <f>H13-G13</f>
        <v>-20357.558557370241</v>
      </c>
      <c r="H32" s="64"/>
    </row>
    <row r="33" spans="2:8" ht="18.95">
      <c r="B33" s="64" t="s">
        <v>95</v>
      </c>
      <c r="C33" s="68">
        <f>C14-D14</f>
        <v>0</v>
      </c>
      <c r="D33" s="68">
        <f>D14-E14</f>
        <v>0</v>
      </c>
      <c r="E33" s="68">
        <f>E14-F14</f>
        <v>0</v>
      </c>
      <c r="F33" s="68">
        <f>F14-G14</f>
        <v>0</v>
      </c>
      <c r="G33" s="68">
        <f>G14-H14</f>
        <v>0</v>
      </c>
      <c r="H33" s="64"/>
    </row>
    <row r="34" spans="2:8" ht="18.95">
      <c r="B34" s="133" t="s">
        <v>96</v>
      </c>
      <c r="C34" s="69">
        <f>C21-D21</f>
        <v>25930.31552916998</v>
      </c>
      <c r="D34" s="69">
        <f>D21-E21</f>
        <v>22379.898755497299</v>
      </c>
      <c r="E34" s="69">
        <f>E21-F21</f>
        <v>22622.376243158942</v>
      </c>
      <c r="F34" s="69">
        <f>F21-G21</f>
        <v>178896.46205893368</v>
      </c>
      <c r="G34" s="68">
        <f>G21-H21</f>
        <v>37999.215735548874</v>
      </c>
      <c r="H34" s="64"/>
    </row>
    <row r="35" spans="2:8" ht="18.95">
      <c r="B35" s="63" t="s">
        <v>97</v>
      </c>
      <c r="C35" s="68">
        <f>C30+C32+C34+C31</f>
        <v>189494.1466017458</v>
      </c>
      <c r="D35" s="68">
        <f t="shared" ref="D35:F35" si="4">D30+D32+D34+D31</f>
        <v>155780.02851215101</v>
      </c>
      <c r="E35" s="68">
        <f t="shared" si="4"/>
        <v>144144.74926409515</v>
      </c>
      <c r="F35" s="68">
        <f t="shared" si="4"/>
        <v>100820.31771027511</v>
      </c>
      <c r="G35" s="68">
        <f>G30+G32+G34+G31</f>
        <v>107424.55531008111</v>
      </c>
      <c r="H35" s="64"/>
    </row>
    <row r="36" spans="2:8" ht="18.95">
      <c r="B36" s="85"/>
      <c r="H36" s="64"/>
    </row>
    <row r="37" spans="2:8" ht="18.95">
      <c r="B37" s="66" t="s">
        <v>98</v>
      </c>
      <c r="C37" s="68"/>
      <c r="D37" s="68"/>
      <c r="E37" s="68"/>
      <c r="F37" s="68"/>
      <c r="G37" s="68"/>
      <c r="H37" s="64"/>
    </row>
    <row r="38" spans="2:8" ht="18.95">
      <c r="B38" s="64" t="s">
        <v>99</v>
      </c>
      <c r="C38" s="69">
        <f>C8-D8</f>
        <v>0</v>
      </c>
      <c r="D38" s="69">
        <f>D8-E8</f>
        <v>0</v>
      </c>
      <c r="E38" s="69">
        <f>E8-F8</f>
        <v>0</v>
      </c>
      <c r="F38" s="69">
        <f>F8-G8</f>
        <v>0</v>
      </c>
      <c r="G38" s="68">
        <f>G8-H8</f>
        <v>0</v>
      </c>
      <c r="H38" s="64"/>
    </row>
    <row r="39" spans="2:8" ht="20.100000000000001">
      <c r="B39" s="134" t="s">
        <v>100</v>
      </c>
      <c r="C39" s="69">
        <v>0</v>
      </c>
      <c r="D39" s="69">
        <v>0</v>
      </c>
      <c r="E39" s="69">
        <v>0</v>
      </c>
      <c r="F39" s="69">
        <v>0</v>
      </c>
      <c r="G39" s="69">
        <f>-'Lån &amp; Afskrivelse '!C6</f>
        <v>-140000</v>
      </c>
      <c r="H39" s="64"/>
    </row>
    <row r="40" spans="2:8" ht="20.100000000000001">
      <c r="B40" s="134" t="s">
        <v>101</v>
      </c>
      <c r="C40" s="69">
        <f>C10-D10</f>
        <v>0</v>
      </c>
      <c r="D40" s="69">
        <f>D10-E10</f>
        <v>0</v>
      </c>
      <c r="E40" s="69">
        <f>E10-F10</f>
        <v>0</v>
      </c>
      <c r="F40" s="69">
        <f>F10-G10</f>
        <v>0</v>
      </c>
      <c r="G40" s="69">
        <f>G10-H10</f>
        <v>0</v>
      </c>
      <c r="H40" s="87"/>
    </row>
    <row r="41" spans="2:8" ht="18.95">
      <c r="B41" s="63" t="s">
        <v>98</v>
      </c>
      <c r="C41" s="69">
        <f>C38-C39-C40</f>
        <v>0</v>
      </c>
      <c r="D41" s="69">
        <f t="shared" ref="D41:F41" si="5">D38-D39-D40</f>
        <v>0</v>
      </c>
      <c r="E41" s="69">
        <f t="shared" si="5"/>
        <v>0</v>
      </c>
      <c r="F41" s="69">
        <f t="shared" si="5"/>
        <v>0</v>
      </c>
      <c r="G41" s="69">
        <f>-G38+G39+G40</f>
        <v>-140000</v>
      </c>
      <c r="H41" s="87"/>
    </row>
    <row r="42" spans="2:8" ht="18.95">
      <c r="B42" s="85"/>
      <c r="C42" s="16"/>
      <c r="D42" s="16"/>
      <c r="E42" s="16"/>
      <c r="F42" s="16"/>
      <c r="G42" s="16"/>
      <c r="H42" s="64"/>
    </row>
    <row r="43" spans="2:8">
      <c r="B43" s="85"/>
      <c r="C43" s="83"/>
      <c r="D43" s="83"/>
      <c r="E43" s="83"/>
      <c r="F43" s="83"/>
      <c r="G43" s="83"/>
    </row>
    <row r="44" spans="2:8" ht="18.95">
      <c r="B44" s="66" t="s">
        <v>102</v>
      </c>
      <c r="C44" s="16"/>
      <c r="D44" s="16"/>
      <c r="E44" s="16"/>
      <c r="F44" s="16"/>
      <c r="G44" s="16"/>
    </row>
    <row r="45" spans="2:8" ht="18.95">
      <c r="B45" s="133" t="s">
        <v>103</v>
      </c>
      <c r="C45" s="16">
        <v>0</v>
      </c>
      <c r="D45" s="16">
        <v>0</v>
      </c>
      <c r="E45" s="16">
        <v>0</v>
      </c>
      <c r="F45" s="16">
        <v>0</v>
      </c>
      <c r="G45" s="16">
        <f>'Lån &amp; Afskrivelse '!C6</f>
        <v>140000</v>
      </c>
    </row>
    <row r="46" spans="2:8" ht="18.95">
      <c r="B46" s="133" t="s">
        <v>104</v>
      </c>
      <c r="C46" s="107">
        <f>'Lån &amp; Afskrivelse '!C13</f>
        <v>28000</v>
      </c>
      <c r="D46" s="107">
        <f>'Lån &amp; Afskrivelse '!C12</f>
        <v>28000</v>
      </c>
      <c r="E46" s="107">
        <f>'Lån &amp; Afskrivelse '!C11</f>
        <v>28000</v>
      </c>
      <c r="F46" s="107">
        <f>'Lån &amp; Afskrivelse '!C10</f>
        <v>28000</v>
      </c>
      <c r="G46" s="107">
        <v>0</v>
      </c>
    </row>
    <row r="47" spans="2:8" ht="18.95">
      <c r="B47" s="64" t="s">
        <v>105</v>
      </c>
      <c r="C47" s="108">
        <f>'Resultat '!C16</f>
        <v>-15786.199421027299</v>
      </c>
      <c r="D47" s="109">
        <f>'Resultat '!D16</f>
        <v>-17219.583903910003</v>
      </c>
      <c r="E47" s="109">
        <f>'Resultat '!E16</f>
        <v>-18647.766896999998</v>
      </c>
      <c r="F47" s="109">
        <f>'Resultat '!F16</f>
        <v>7929.1000999999997</v>
      </c>
      <c r="G47" s="109">
        <f>'Resultat '!G16</f>
        <v>8039.67</v>
      </c>
    </row>
    <row r="48" spans="2:8" ht="18.95">
      <c r="B48" s="63" t="s">
        <v>106</v>
      </c>
      <c r="C48" s="16">
        <f>C43-C44+C45-C46+C47</f>
        <v>-43786.199421027297</v>
      </c>
      <c r="D48" s="16">
        <f>D43-D44+D45-D46+D47</f>
        <v>-45219.583903910003</v>
      </c>
      <c r="E48" s="16">
        <f>E43-E44+E45-E46+E47</f>
        <v>-46647.766896999994</v>
      </c>
      <c r="F48" s="16">
        <f>F43-F44+F45-F46+F47</f>
        <v>-20070.8999</v>
      </c>
      <c r="G48" s="16">
        <f>G45+G46+G47</f>
        <v>148039.67000000001</v>
      </c>
    </row>
    <row r="49" spans="2:7" ht="18.95">
      <c r="B49" s="64"/>
      <c r="C49" s="16"/>
      <c r="D49" s="16"/>
      <c r="E49" s="16"/>
      <c r="F49" s="16"/>
      <c r="G49" s="16"/>
    </row>
    <row r="50" spans="2:7" ht="18.95">
      <c r="B50" s="64" t="s">
        <v>107</v>
      </c>
      <c r="C50" s="16">
        <f>'Resultat '!C20</f>
        <v>-26946.575535457694</v>
      </c>
      <c r="D50" s="16">
        <f>'Resultat '!D20</f>
        <v>-21373.818563657969</v>
      </c>
      <c r="E50" s="16">
        <f>'Resultat '!E20</f>
        <v>-19351.478365530886</v>
      </c>
      <c r="F50" s="16">
        <f>'Resultat '!F20</f>
        <v>-17086.660679742141</v>
      </c>
      <c r="G50" s="16">
        <f>'Resultat '!G20</f>
        <v>-17641.657178178684</v>
      </c>
    </row>
    <row r="51" spans="2:7" ht="18.95">
      <c r="B51" s="64"/>
      <c r="C51" s="16"/>
      <c r="D51" s="16"/>
      <c r="E51" s="16"/>
      <c r="F51" s="16"/>
      <c r="G51" s="16"/>
    </row>
    <row r="52" spans="2:7">
      <c r="C52" s="16"/>
      <c r="D52" s="16"/>
      <c r="E52" s="16"/>
      <c r="F52" s="16"/>
      <c r="G52" s="16"/>
    </row>
    <row r="53" spans="2:7">
      <c r="B53" s="84" t="s">
        <v>108</v>
      </c>
      <c r="C53" s="83">
        <f>C48+C35+C41+C50</f>
        <v>118761.37164526081</v>
      </c>
      <c r="D53" s="83">
        <f t="shared" ref="C53:F53" si="6">D48+D35+D41+D50</f>
        <v>89186.626044583027</v>
      </c>
      <c r="E53" s="83">
        <f t="shared" si="6"/>
        <v>78145.504001564273</v>
      </c>
      <c r="F53" s="83">
        <f t="shared" si="6"/>
        <v>63662.757130532962</v>
      </c>
      <c r="G53" s="83">
        <f>G48+G35+G41+G50</f>
        <v>97822.56813190243</v>
      </c>
    </row>
    <row r="54" spans="2:7">
      <c r="B54" s="85" t="s">
        <v>109</v>
      </c>
      <c r="C54" s="83">
        <f>'Balance &amp; Likviditet'!D15</f>
        <v>397280.45530858269</v>
      </c>
      <c r="D54" s="83">
        <f>'Balance &amp; Likviditet'!E15</f>
        <v>308093.82926399965</v>
      </c>
      <c r="E54" s="83">
        <f>'Balance &amp; Likviditet'!F15</f>
        <v>229948.32526243539</v>
      </c>
      <c r="F54" s="83">
        <f>'Balance &amp; Likviditet'!G15</f>
        <v>166285.56813190243</v>
      </c>
      <c r="G54" s="83">
        <f>'Balance &amp; Likviditet'!H15</f>
        <v>68463</v>
      </c>
    </row>
    <row r="55" spans="2:7">
      <c r="B55" s="86" t="s">
        <v>110</v>
      </c>
      <c r="C55" s="83">
        <f>C53+C54</f>
        <v>516041.82695384347</v>
      </c>
      <c r="D55" s="83">
        <f>D53+D54</f>
        <v>397280.45530858269</v>
      </c>
      <c r="E55" s="83">
        <f>E53+E54</f>
        <v>308093.82926399965</v>
      </c>
      <c r="F55" s="83">
        <f>F53+F54</f>
        <v>229948.32526243539</v>
      </c>
      <c r="G55" s="83">
        <f>G53+G54</f>
        <v>166285.56813190243</v>
      </c>
    </row>
  </sheetData>
  <mergeCells count="1">
    <mergeCell ref="B27:G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10B5-40D0-4A6A-9D17-1AB9F15866CE}">
  <dimension ref="B2:N33"/>
  <sheetViews>
    <sheetView topLeftCell="A4" workbookViewId="0">
      <selection activeCell="E10" sqref="E10"/>
    </sheetView>
  </sheetViews>
  <sheetFormatPr defaultColWidth="8.875" defaultRowHeight="15.95"/>
  <cols>
    <col min="2" max="2" width="12.375" bestFit="1" customWidth="1"/>
    <col min="3" max="4" width="10" bestFit="1" customWidth="1"/>
    <col min="6" max="6" width="13.125" bestFit="1" customWidth="1"/>
    <col min="8" max="8" width="12.375" bestFit="1" customWidth="1"/>
    <col min="10" max="10" width="13.125" bestFit="1" customWidth="1"/>
    <col min="14" max="14" width="13.125" bestFit="1" customWidth="1"/>
  </cols>
  <sheetData>
    <row r="2" spans="2:14">
      <c r="B2" s="136" t="s">
        <v>111</v>
      </c>
      <c r="C2" s="136"/>
      <c r="D2" s="136"/>
      <c r="E2" s="136"/>
      <c r="F2" s="136"/>
      <c r="H2" s="136" t="s">
        <v>112</v>
      </c>
      <c r="I2" s="136"/>
      <c r="J2" s="136"/>
      <c r="L2" s="136" t="s">
        <v>113</v>
      </c>
      <c r="M2" s="136"/>
      <c r="N2" s="136"/>
    </row>
    <row r="3" spans="2:14">
      <c r="B3" t="s">
        <v>114</v>
      </c>
      <c r="C3" s="62">
        <v>-8.9999999999999998E-4</v>
      </c>
      <c r="H3" t="s">
        <v>115</v>
      </c>
      <c r="I3">
        <v>5</v>
      </c>
      <c r="J3" t="s">
        <v>45</v>
      </c>
      <c r="L3" t="s">
        <v>115</v>
      </c>
      <c r="M3">
        <v>25</v>
      </c>
      <c r="N3" t="s">
        <v>45</v>
      </c>
    </row>
    <row r="4" spans="2:14">
      <c r="B4" t="s">
        <v>116</v>
      </c>
      <c r="C4" s="62">
        <v>9.1000000000000004E-3</v>
      </c>
      <c r="H4" t="s">
        <v>117</v>
      </c>
      <c r="I4">
        <v>40000</v>
      </c>
      <c r="L4" t="s">
        <v>117</v>
      </c>
      <c r="M4">
        <v>100000</v>
      </c>
    </row>
    <row r="5" spans="2:14">
      <c r="B5" t="s">
        <v>115</v>
      </c>
      <c r="C5">
        <v>5</v>
      </c>
      <c r="D5" t="s">
        <v>45</v>
      </c>
    </row>
    <row r="6" spans="2:14">
      <c r="B6" t="s">
        <v>117</v>
      </c>
      <c r="C6">
        <v>140000</v>
      </c>
    </row>
    <row r="8" spans="2:14">
      <c r="B8" t="s">
        <v>34</v>
      </c>
      <c r="C8" t="s">
        <v>118</v>
      </c>
      <c r="D8" t="s">
        <v>119</v>
      </c>
      <c r="E8" t="s">
        <v>120</v>
      </c>
      <c r="F8" t="s">
        <v>121</v>
      </c>
      <c r="H8" t="s">
        <v>34</v>
      </c>
      <c r="I8" t="s">
        <v>122</v>
      </c>
      <c r="J8" t="s">
        <v>121</v>
      </c>
      <c r="L8" t="s">
        <v>34</v>
      </c>
      <c r="M8" t="s">
        <v>122</v>
      </c>
      <c r="N8" t="s">
        <v>121</v>
      </c>
    </row>
    <row r="9" spans="2:14">
      <c r="B9">
        <v>2021</v>
      </c>
      <c r="F9">
        <v>140000</v>
      </c>
      <c r="H9">
        <v>2022</v>
      </c>
      <c r="I9">
        <f>$I$4/$I$3</f>
        <v>8000</v>
      </c>
      <c r="J9">
        <f>I4-I9</f>
        <v>32000</v>
      </c>
      <c r="L9">
        <v>2022</v>
      </c>
      <c r="M9">
        <f t="shared" ref="M9:M33" si="0">$M$4/$M$3</f>
        <v>4000</v>
      </c>
      <c r="N9">
        <f>M4-M9</f>
        <v>96000</v>
      </c>
    </row>
    <row r="10" spans="2:14">
      <c r="B10">
        <v>2022</v>
      </c>
      <c r="C10">
        <f>$C$6/$C$5</f>
        <v>28000</v>
      </c>
      <c r="D10">
        <f>C6*C4</f>
        <v>1274</v>
      </c>
      <c r="E10">
        <f>C10+D10</f>
        <v>29274</v>
      </c>
      <c r="F10">
        <f>C6-C10</f>
        <v>112000</v>
      </c>
      <c r="H10">
        <v>2023</v>
      </c>
      <c r="I10">
        <f>$I$4/$I$3</f>
        <v>8000</v>
      </c>
      <c r="J10">
        <f>J9-I10</f>
        <v>24000</v>
      </c>
      <c r="L10">
        <v>2023</v>
      </c>
      <c r="M10">
        <f t="shared" si="0"/>
        <v>4000</v>
      </c>
      <c r="N10">
        <f>N9-M10</f>
        <v>92000</v>
      </c>
    </row>
    <row r="11" spans="2:14">
      <c r="B11">
        <v>2023</v>
      </c>
      <c r="C11">
        <f>$C$6/$C$5</f>
        <v>28000</v>
      </c>
      <c r="D11">
        <f>F10*$C$4</f>
        <v>1019.2</v>
      </c>
      <c r="E11">
        <f>C11+D11</f>
        <v>29019.200000000001</v>
      </c>
      <c r="F11">
        <f>F10-C11</f>
        <v>84000</v>
      </c>
      <c r="H11">
        <v>2024</v>
      </c>
      <c r="I11">
        <f>$I$4/$I$3</f>
        <v>8000</v>
      </c>
      <c r="J11">
        <f>J10-I11</f>
        <v>16000</v>
      </c>
      <c r="L11">
        <v>2024</v>
      </c>
      <c r="M11">
        <f t="shared" si="0"/>
        <v>4000</v>
      </c>
      <c r="N11">
        <f>N10-M11</f>
        <v>88000</v>
      </c>
    </row>
    <row r="12" spans="2:14">
      <c r="B12">
        <v>2024</v>
      </c>
      <c r="C12">
        <f>$C$6/$C$5</f>
        <v>28000</v>
      </c>
      <c r="D12">
        <f>F11*$C$4</f>
        <v>764.40000000000009</v>
      </c>
      <c r="E12">
        <f>C12+D12</f>
        <v>28764.400000000001</v>
      </c>
      <c r="F12">
        <f>F11-C12</f>
        <v>56000</v>
      </c>
      <c r="H12">
        <v>2025</v>
      </c>
      <c r="I12">
        <f>$I$4/$I$3</f>
        <v>8000</v>
      </c>
      <c r="J12">
        <f>J11-I12</f>
        <v>8000</v>
      </c>
      <c r="L12">
        <v>2025</v>
      </c>
      <c r="M12">
        <f t="shared" si="0"/>
        <v>4000</v>
      </c>
      <c r="N12">
        <f>N11-M12</f>
        <v>84000</v>
      </c>
    </row>
    <row r="13" spans="2:14">
      <c r="B13">
        <v>2025</v>
      </c>
      <c r="C13">
        <f>$C$6/$C$5</f>
        <v>28000</v>
      </c>
      <c r="D13">
        <f>F12*$C$4</f>
        <v>509.6</v>
      </c>
      <c r="E13">
        <f>C13+D13</f>
        <v>28509.599999999999</v>
      </c>
      <c r="F13">
        <f>F12-C13</f>
        <v>28000</v>
      </c>
      <c r="H13">
        <v>2026</v>
      </c>
      <c r="I13">
        <f>$I$4/$I$3</f>
        <v>8000</v>
      </c>
      <c r="J13">
        <f>J12-I13</f>
        <v>0</v>
      </c>
      <c r="L13">
        <v>2026</v>
      </c>
      <c r="M13">
        <f t="shared" si="0"/>
        <v>4000</v>
      </c>
      <c r="N13">
        <f>N12-M13</f>
        <v>80000</v>
      </c>
    </row>
    <row r="14" spans="2:14">
      <c r="B14">
        <v>2026</v>
      </c>
      <c r="C14">
        <f>$C$6/$C$5</f>
        <v>28000</v>
      </c>
      <c r="D14">
        <f>F13*$C$4</f>
        <v>254.8</v>
      </c>
      <c r="E14">
        <f>C14+D14</f>
        <v>28254.799999999999</v>
      </c>
      <c r="F14">
        <f>F13-C14</f>
        <v>0</v>
      </c>
      <c r="L14">
        <v>2027</v>
      </c>
      <c r="M14">
        <f t="shared" si="0"/>
        <v>4000</v>
      </c>
      <c r="N14">
        <f t="shared" ref="N14:N25" si="1">N13-M14</f>
        <v>76000</v>
      </c>
    </row>
    <row r="15" spans="2:14">
      <c r="L15">
        <v>2028</v>
      </c>
      <c r="M15">
        <f t="shared" si="0"/>
        <v>4000</v>
      </c>
      <c r="N15">
        <f t="shared" si="1"/>
        <v>72000</v>
      </c>
    </row>
    <row r="16" spans="2:14">
      <c r="L16">
        <v>2029</v>
      </c>
      <c r="M16">
        <f t="shared" si="0"/>
        <v>4000</v>
      </c>
      <c r="N16">
        <f t="shared" si="1"/>
        <v>68000</v>
      </c>
    </row>
    <row r="17" spans="12:14">
      <c r="L17">
        <v>2030</v>
      </c>
      <c r="M17">
        <f t="shared" si="0"/>
        <v>4000</v>
      </c>
      <c r="N17">
        <f t="shared" si="1"/>
        <v>64000</v>
      </c>
    </row>
    <row r="18" spans="12:14">
      <c r="L18">
        <v>2031</v>
      </c>
      <c r="M18">
        <f t="shared" si="0"/>
        <v>4000</v>
      </c>
      <c r="N18">
        <f t="shared" si="1"/>
        <v>60000</v>
      </c>
    </row>
    <row r="19" spans="12:14">
      <c r="L19">
        <v>2032</v>
      </c>
      <c r="M19">
        <f t="shared" si="0"/>
        <v>4000</v>
      </c>
      <c r="N19">
        <f t="shared" si="1"/>
        <v>56000</v>
      </c>
    </row>
    <row r="20" spans="12:14">
      <c r="L20">
        <v>2033</v>
      </c>
      <c r="M20">
        <f t="shared" si="0"/>
        <v>4000</v>
      </c>
      <c r="N20">
        <f t="shared" si="1"/>
        <v>52000</v>
      </c>
    </row>
    <row r="21" spans="12:14">
      <c r="L21">
        <v>2034</v>
      </c>
      <c r="M21">
        <f t="shared" si="0"/>
        <v>4000</v>
      </c>
      <c r="N21">
        <f t="shared" si="1"/>
        <v>48000</v>
      </c>
    </row>
    <row r="22" spans="12:14">
      <c r="L22">
        <v>2035</v>
      </c>
      <c r="M22">
        <f t="shared" si="0"/>
        <v>4000</v>
      </c>
      <c r="N22">
        <f t="shared" si="1"/>
        <v>44000</v>
      </c>
    </row>
    <row r="23" spans="12:14">
      <c r="L23">
        <v>2036</v>
      </c>
      <c r="M23">
        <f t="shared" si="0"/>
        <v>4000</v>
      </c>
      <c r="N23">
        <f t="shared" si="1"/>
        <v>40000</v>
      </c>
    </row>
    <row r="24" spans="12:14">
      <c r="L24">
        <v>2037</v>
      </c>
      <c r="M24">
        <f t="shared" si="0"/>
        <v>4000</v>
      </c>
      <c r="N24">
        <f t="shared" si="1"/>
        <v>36000</v>
      </c>
    </row>
    <row r="25" spans="12:14">
      <c r="L25">
        <v>2038</v>
      </c>
      <c r="M25">
        <f t="shared" si="0"/>
        <v>4000</v>
      </c>
      <c r="N25">
        <f t="shared" si="1"/>
        <v>32000</v>
      </c>
    </row>
    <row r="26" spans="12:14">
      <c r="L26">
        <v>2039</v>
      </c>
      <c r="M26">
        <f t="shared" si="0"/>
        <v>4000</v>
      </c>
      <c r="N26">
        <f>N25-M26</f>
        <v>28000</v>
      </c>
    </row>
    <row r="27" spans="12:14">
      <c r="L27">
        <v>2040</v>
      </c>
      <c r="M27">
        <f t="shared" si="0"/>
        <v>4000</v>
      </c>
      <c r="N27">
        <f>N26-M27</f>
        <v>24000</v>
      </c>
    </row>
    <row r="28" spans="12:14">
      <c r="L28">
        <v>2041</v>
      </c>
      <c r="M28">
        <f t="shared" si="0"/>
        <v>4000</v>
      </c>
      <c r="N28">
        <f>N27-M28</f>
        <v>20000</v>
      </c>
    </row>
    <row r="29" spans="12:14">
      <c r="L29">
        <v>2042</v>
      </c>
      <c r="M29">
        <f t="shared" si="0"/>
        <v>4000</v>
      </c>
      <c r="N29">
        <f>N28-M29</f>
        <v>16000</v>
      </c>
    </row>
    <row r="30" spans="12:14">
      <c r="L30">
        <v>2043</v>
      </c>
      <c r="M30">
        <f t="shared" si="0"/>
        <v>4000</v>
      </c>
      <c r="N30">
        <f t="shared" ref="N30:N32" si="2">N29-M30</f>
        <v>12000</v>
      </c>
    </row>
    <row r="31" spans="12:14">
      <c r="L31">
        <v>2044</v>
      </c>
      <c r="M31">
        <f t="shared" si="0"/>
        <v>4000</v>
      </c>
      <c r="N31">
        <f t="shared" si="2"/>
        <v>8000</v>
      </c>
    </row>
    <row r="32" spans="12:14">
      <c r="L32">
        <v>2045</v>
      </c>
      <c r="M32">
        <f t="shared" si="0"/>
        <v>4000</v>
      </c>
      <c r="N32">
        <f t="shared" si="2"/>
        <v>4000</v>
      </c>
    </row>
    <row r="33" spans="12:14">
      <c r="L33">
        <v>2046</v>
      </c>
      <c r="M33">
        <f t="shared" si="0"/>
        <v>4000</v>
      </c>
      <c r="N33">
        <f>N32-M33</f>
        <v>0</v>
      </c>
    </row>
  </sheetData>
  <mergeCells count="3">
    <mergeCell ref="B2:F2"/>
    <mergeCell ref="L2:N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Koefoed-Pedersen</dc:creator>
  <cp:keywords/>
  <dc:description/>
  <cp:lastModifiedBy/>
  <cp:revision/>
  <dcterms:created xsi:type="dcterms:W3CDTF">2021-05-20T07:34:15Z</dcterms:created>
  <dcterms:modified xsi:type="dcterms:W3CDTF">2021-05-27T18:30:46Z</dcterms:modified>
  <cp:category/>
  <cp:contentStatus/>
</cp:coreProperties>
</file>