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Projects\Random_python_scripts\"/>
    </mc:Choice>
  </mc:AlternateContent>
  <xr:revisionPtr revIDLastSave="0" documentId="13_ncr:1_{9EEC22EA-D0B7-4AEF-8B80-9EAFE990C87A}" xr6:coauthVersionLast="47" xr6:coauthVersionMax="47" xr10:uidLastSave="{00000000-0000-0000-0000-000000000000}"/>
  <bookViews>
    <workbookView xWindow="28680" yWindow="-120" windowWidth="38640" windowHeight="21120" activeTab="1" xr2:uid="{6979CFAE-716C-4B00-9622-236F8AB11CCE}"/>
  </bookViews>
  <sheets>
    <sheet name="frame" sheetId="2" r:id="rId1"/>
    <sheet name="palen" sheetId="3" r:id="rId2"/>
    <sheet name="palen (2)" sheetId="5" r:id="rId3"/>
  </sheets>
  <definedNames>
    <definedName name="_xlnm.Print_Area" localSheetId="0">frame!$A$1:$L$110</definedName>
    <definedName name="_xlnm.Print_Area" localSheetId="1">palen!$A$1:$M$75</definedName>
    <definedName name="_xlnm.Print_Area" localSheetId="2">'palen (2)'!$A$1:$M$74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3" l="1"/>
  <c r="G67" i="3"/>
  <c r="E67" i="3"/>
  <c r="F10" i="3"/>
  <c r="J13" i="3"/>
  <c r="I13" i="3"/>
  <c r="I12" i="3"/>
  <c r="G12" i="3"/>
  <c r="H62" i="3"/>
  <c r="C41" i="3"/>
  <c r="C110" i="2"/>
  <c r="G47" i="5"/>
  <c r="E66" i="5"/>
  <c r="I70" i="5"/>
  <c r="G66" i="5"/>
  <c r="I47" i="5"/>
  <c r="I55" i="5"/>
  <c r="H62" i="5"/>
  <c r="M7" i="5"/>
  <c r="T7" i="5"/>
  <c r="C10" i="2"/>
  <c r="K10" i="2"/>
  <c r="E65" i="2" s="1"/>
  <c r="I65" i="2" s="1"/>
  <c r="I67" i="2" s="1"/>
  <c r="E70" i="2" s="1"/>
  <c r="I69" i="2" s="1"/>
  <c r="C109" i="2"/>
  <c r="E99" i="2"/>
  <c r="I99" i="2" s="1"/>
  <c r="I101" i="2" s="1"/>
  <c r="E104" i="2" s="1"/>
  <c r="I103" i="2" s="1"/>
  <c r="E95" i="2"/>
  <c r="G73" i="2"/>
  <c r="C59" i="2"/>
  <c r="E49" i="2"/>
  <c r="I49" i="2" s="1"/>
  <c r="I51" i="2" s="1"/>
  <c r="E54" i="2" s="1"/>
  <c r="I53" i="2" s="1"/>
  <c r="E60" i="2" s="1"/>
  <c r="E46" i="2"/>
  <c r="G24" i="2"/>
  <c r="J9" i="2"/>
  <c r="J10" i="2" s="1"/>
  <c r="E73" i="2" s="1"/>
  <c r="I73" i="2" s="1"/>
  <c r="I75" i="2" s="1"/>
  <c r="E78" i="2" s="1"/>
  <c r="I77" i="2" s="1"/>
  <c r="F87" i="2" s="1"/>
  <c r="I87" i="2" s="1"/>
  <c r="K8" i="2"/>
  <c r="E42" i="2" s="1"/>
  <c r="J8" i="2"/>
  <c r="E24" i="2" s="1"/>
  <c r="I24" i="2" s="1"/>
  <c r="I26" i="2" s="1"/>
  <c r="E29" i="2" s="1"/>
  <c r="I28" i="2" s="1"/>
  <c r="F38" i="2" s="1"/>
  <c r="I38" i="2" s="1"/>
  <c r="C8" i="2"/>
  <c r="J7" i="2"/>
  <c r="E91" i="2" l="1"/>
  <c r="E110" i="2"/>
  <c r="F40" i="2"/>
  <c r="I40" i="2"/>
  <c r="G42" i="2" s="1"/>
  <c r="I42" i="2" s="1"/>
  <c r="I44" i="2" s="1"/>
  <c r="E47" i="2" s="1"/>
  <c r="I46" i="2" s="1"/>
  <c r="C60" i="2" s="1"/>
  <c r="I60" i="2" s="1"/>
  <c r="I89" i="2"/>
  <c r="G91" i="2" s="1"/>
  <c r="I91" i="2" s="1"/>
  <c r="I93" i="2" s="1"/>
  <c r="E96" i="2" s="1"/>
  <c r="I95" i="2" s="1"/>
  <c r="F89" i="2"/>
  <c r="E16" i="2"/>
  <c r="I16" i="2" s="1"/>
  <c r="I18" i="2" s="1"/>
  <c r="E21" i="2" s="1"/>
  <c r="I20" i="2" s="1"/>
  <c r="T7" i="3"/>
  <c r="U7" i="3" s="1"/>
  <c r="U7" i="5"/>
  <c r="G49" i="5"/>
  <c r="E47" i="5"/>
  <c r="F61" i="5"/>
  <c r="E58" i="5"/>
  <c r="E56" i="5"/>
  <c r="E55" i="5"/>
  <c r="E45" i="5"/>
  <c r="F44" i="5"/>
  <c r="I33" i="5"/>
  <c r="E37" i="5" s="1"/>
  <c r="G29" i="5"/>
  <c r="F9" i="5"/>
  <c r="L9" i="5" s="1"/>
  <c r="D8" i="5"/>
  <c r="G8" i="5" s="1"/>
  <c r="J8" i="5" s="1"/>
  <c r="G7" i="5"/>
  <c r="J7" i="5" s="1"/>
  <c r="F7" i="5"/>
  <c r="E49" i="5" s="1"/>
  <c r="I49" i="5" l="1"/>
  <c r="G67" i="5" s="1"/>
  <c r="I110" i="2"/>
  <c r="G9" i="5"/>
  <c r="J9" i="5" s="1"/>
  <c r="K9" i="5"/>
  <c r="D61" i="5"/>
  <c r="H61" i="5" s="1"/>
  <c r="K7" i="5"/>
  <c r="J10" i="5"/>
  <c r="E15" i="5" s="1"/>
  <c r="H15" i="5" s="1"/>
  <c r="H17" i="5" s="1"/>
  <c r="F8" i="5"/>
  <c r="L7" i="5"/>
  <c r="E27" i="5"/>
  <c r="E29" i="5" s="1"/>
  <c r="I29" i="5" s="1"/>
  <c r="I31" i="5" s="1"/>
  <c r="E38" i="5" s="1"/>
  <c r="I37" i="5" s="1"/>
  <c r="G49" i="3"/>
  <c r="E47" i="3"/>
  <c r="E67" i="5" l="1"/>
  <c r="E71" i="5"/>
  <c r="F23" i="5"/>
  <c r="G56" i="5"/>
  <c r="G58" i="5" s="1"/>
  <c r="I58" i="5" s="1"/>
  <c r="L8" i="5"/>
  <c r="L10" i="5" s="1"/>
  <c r="H19" i="5" s="1"/>
  <c r="H21" i="5" s="1"/>
  <c r="K8" i="5"/>
  <c r="K10" i="5" s="1"/>
  <c r="G48" i="5" s="1"/>
  <c r="D23" i="5" l="1"/>
  <c r="H23" i="5" s="1"/>
  <c r="G45" i="5"/>
  <c r="I44" i="5" s="1"/>
  <c r="E73" i="5"/>
  <c r="G71" i="5"/>
  <c r="I71" i="5" s="1"/>
  <c r="E74" i="5" s="1"/>
  <c r="F61" i="3"/>
  <c r="E55" i="3"/>
  <c r="E56" i="3"/>
  <c r="E45" i="3"/>
  <c r="F44" i="3"/>
  <c r="I66" i="5" l="1"/>
  <c r="I73" i="5"/>
  <c r="E37" i="3"/>
  <c r="G29" i="3"/>
  <c r="G7" i="3"/>
  <c r="F9" i="3"/>
  <c r="F7" i="3"/>
  <c r="I49" i="3" s="1"/>
  <c r="D8" i="3"/>
  <c r="G8" i="3" s="1"/>
  <c r="J8" i="3" s="1"/>
  <c r="J10" i="3" s="1"/>
  <c r="J7" i="3" l="1"/>
  <c r="M7" i="3"/>
  <c r="D61" i="3" s="1"/>
  <c r="H61" i="3" s="1"/>
  <c r="E27" i="3"/>
  <c r="E29" i="3" s="1"/>
  <c r="I29" i="3" s="1"/>
  <c r="I31" i="3" s="1"/>
  <c r="E38" i="3" s="1"/>
  <c r="I37" i="3" s="1"/>
  <c r="G9" i="3"/>
  <c r="J9" i="3" s="1"/>
  <c r="K9" i="3"/>
  <c r="K7" i="3"/>
  <c r="G47" i="3" s="1"/>
  <c r="L7" i="3"/>
  <c r="L9" i="3"/>
  <c r="F8" i="3"/>
  <c r="K8" i="3" s="1"/>
  <c r="E71" i="3" l="1"/>
  <c r="E15" i="3"/>
  <c r="H15" i="3" s="1"/>
  <c r="H17" i="3" s="1"/>
  <c r="G56" i="3" s="1"/>
  <c r="K10" i="3"/>
  <c r="G48" i="3" s="1"/>
  <c r="L8" i="3"/>
  <c r="L10" i="3" s="1"/>
  <c r="H19" i="3" s="1"/>
  <c r="H21" i="3" s="1"/>
  <c r="I47" i="3" l="1"/>
  <c r="G66" i="3" s="1"/>
  <c r="K47" i="3"/>
  <c r="I55" i="3"/>
  <c r="G58" i="3" s="1"/>
  <c r="I58" i="3" s="1"/>
  <c r="E73" i="3" s="1"/>
  <c r="F23" i="3"/>
  <c r="I70" i="3"/>
  <c r="G71" i="3" s="1"/>
  <c r="I71" i="3" s="1"/>
  <c r="E74" i="3" s="1"/>
  <c r="D23" i="3"/>
  <c r="G45" i="3"/>
  <c r="I44" i="3" s="1"/>
  <c r="I73" i="3" l="1"/>
  <c r="E66" i="3"/>
  <c r="I66" i="3" s="1"/>
  <c r="H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Wine2</author>
  </authors>
  <commentList>
    <comment ref="J8" authorId="0" shapeId="0" xr:uid="{4357780C-24C7-4E27-8190-ABFAC9182892}">
      <text>
        <r>
          <rPr>
            <b/>
            <sz val="9"/>
            <color indexed="81"/>
            <rFont val="Tahoma"/>
            <family val="2"/>
          </rPr>
          <t>Wine2:</t>
        </r>
        <r>
          <rPr>
            <sz val="9"/>
            <color indexed="81"/>
            <rFont val="Tahoma"/>
            <family val="2"/>
          </rPr>
          <t xml:space="preserve">
incl. Ke=0,6</t>
        </r>
      </text>
    </comment>
    <comment ref="G9" authorId="0" shapeId="0" xr:uid="{3039DEC5-6C6C-47DE-B69B-0CDA818D56CC}">
      <text>
        <r>
          <rPr>
            <b/>
            <sz val="9"/>
            <color indexed="81"/>
            <rFont val="Tahoma"/>
            <family val="2"/>
          </rPr>
          <t>Wine2:</t>
        </r>
        <r>
          <rPr>
            <sz val="9"/>
            <color indexed="81"/>
            <rFont val="Tahoma"/>
            <family val="2"/>
          </rPr>
          <t xml:space="preserve">
incl. I_steiner staven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Wine2</author>
  </authors>
  <commentList>
    <comment ref="J8" authorId="0" shapeId="0" xr:uid="{37BE598D-1E68-4A09-A80A-E25567D7C38B}">
      <text>
        <r>
          <rPr>
            <b/>
            <sz val="9"/>
            <color indexed="81"/>
            <rFont val="Tahoma"/>
            <family val="2"/>
          </rPr>
          <t>Wine2:</t>
        </r>
        <r>
          <rPr>
            <sz val="9"/>
            <color indexed="81"/>
            <rFont val="Tahoma"/>
            <family val="2"/>
          </rPr>
          <t xml:space="preserve">
incl. Ke=0,6</t>
        </r>
      </text>
    </comment>
    <comment ref="G9" authorId="0" shapeId="0" xr:uid="{8B3F0A55-31B2-42E8-80F7-472321628C14}">
      <text>
        <r>
          <rPr>
            <b/>
            <sz val="9"/>
            <color indexed="81"/>
            <rFont val="Tahoma"/>
            <family val="2"/>
          </rPr>
          <t>Wine2:</t>
        </r>
        <r>
          <rPr>
            <sz val="9"/>
            <color indexed="81"/>
            <rFont val="Tahoma"/>
            <family val="2"/>
          </rPr>
          <t xml:space="preserve">
incl. I_steiner staven</t>
        </r>
      </text>
    </comment>
  </commentList>
</comments>
</file>

<file path=xl/sharedStrings.xml><?xml version="1.0" encoding="utf-8"?>
<sst xmlns="http://schemas.openxmlformats.org/spreadsheetml/2006/main" count="583" uniqueCount="185">
  <si>
    <t>Paaljuk</t>
  </si>
  <si>
    <t>N</t>
  </si>
  <si>
    <r>
      <t>M</t>
    </r>
    <r>
      <rPr>
        <vertAlign val="subscript"/>
        <sz val="9"/>
        <color theme="1"/>
        <rFont val="Segoe UI"/>
        <family val="2"/>
      </rPr>
      <t>Ed</t>
    </r>
  </si>
  <si>
    <t>Profieleigenschappen</t>
  </si>
  <si>
    <r>
      <t>W</t>
    </r>
    <r>
      <rPr>
        <vertAlign val="subscript"/>
        <sz val="9"/>
        <color theme="1"/>
        <rFont val="Segoe UI"/>
        <family val="2"/>
      </rPr>
      <t>pl</t>
    </r>
  </si>
  <si>
    <t>A</t>
  </si>
  <si>
    <t>x100</t>
  </si>
  <si>
    <t>b</t>
  </si>
  <si>
    <t>r</t>
  </si>
  <si>
    <t>mm</t>
  </si>
  <si>
    <r>
      <t>mm</t>
    </r>
    <r>
      <rPr>
        <vertAlign val="superscript"/>
        <sz val="9"/>
        <color theme="1"/>
        <rFont val="Segoe UI"/>
        <family val="2"/>
      </rPr>
      <t>2</t>
    </r>
  </si>
  <si>
    <r>
      <t>mm</t>
    </r>
    <r>
      <rPr>
        <vertAlign val="superscript"/>
        <sz val="9"/>
        <color theme="1"/>
        <rFont val="Segoe UI"/>
        <family val="2"/>
      </rPr>
      <t>3</t>
    </r>
  </si>
  <si>
    <t>x1000</t>
  </si>
  <si>
    <r>
      <t>t</t>
    </r>
    <r>
      <rPr>
        <vertAlign val="subscript"/>
        <sz val="9"/>
        <color theme="1"/>
        <rFont val="Segoe UI"/>
        <family val="2"/>
      </rPr>
      <t>f</t>
    </r>
  </si>
  <si>
    <r>
      <t>t</t>
    </r>
    <r>
      <rPr>
        <vertAlign val="subscript"/>
        <sz val="9"/>
        <color theme="1"/>
        <rFont val="Segoe UI"/>
        <family val="2"/>
      </rPr>
      <t>w</t>
    </r>
  </si>
  <si>
    <r>
      <t>h</t>
    </r>
    <r>
      <rPr>
        <vertAlign val="subscript"/>
        <sz val="9"/>
        <color theme="1"/>
        <rFont val="Segoe UI"/>
        <family val="2"/>
      </rPr>
      <t>w</t>
    </r>
  </si>
  <si>
    <r>
      <t>A</t>
    </r>
    <r>
      <rPr>
        <vertAlign val="subscript"/>
        <sz val="9"/>
        <color theme="1"/>
        <rFont val="Segoe UI"/>
        <family val="2"/>
      </rPr>
      <t>v</t>
    </r>
  </si>
  <si>
    <t>HE1000M</t>
  </si>
  <si>
    <t>Buigend moment volgens art. 6.2.5</t>
  </si>
  <si>
    <r>
      <t>M</t>
    </r>
    <r>
      <rPr>
        <vertAlign val="subscript"/>
        <sz val="9"/>
        <color theme="1"/>
        <rFont val="Segoe UI"/>
        <family val="2"/>
      </rPr>
      <t>C,Rd</t>
    </r>
    <r>
      <rPr>
        <sz val="9"/>
        <color theme="1"/>
        <rFont val="Segoe UI"/>
        <family val="2"/>
      </rPr>
      <t xml:space="preserve"> = M</t>
    </r>
    <r>
      <rPr>
        <vertAlign val="subscript"/>
        <sz val="9"/>
        <color theme="1"/>
        <rFont val="Segoe UI"/>
        <family val="2"/>
      </rPr>
      <t>pl,Rd</t>
    </r>
    <r>
      <rPr>
        <sz val="9"/>
        <color theme="1"/>
        <rFont val="Segoe UI"/>
        <family val="2"/>
      </rPr>
      <t xml:space="preserve"> = </t>
    </r>
  </si>
  <si>
    <r>
      <t>W</t>
    </r>
    <r>
      <rPr>
        <vertAlign val="subscript"/>
        <sz val="9"/>
        <color theme="1"/>
        <rFont val="Segoe UI"/>
        <family val="2"/>
      </rPr>
      <t>pl</t>
    </r>
    <r>
      <rPr>
        <sz val="9"/>
        <color theme="1"/>
        <rFont val="Segoe UI"/>
        <family val="2"/>
      </rPr>
      <t xml:space="preserve"> * f</t>
    </r>
    <r>
      <rPr>
        <vertAlign val="subscript"/>
        <sz val="9"/>
        <color theme="1"/>
        <rFont val="Segoe UI"/>
        <family val="2"/>
      </rPr>
      <t>y</t>
    </r>
  </si>
  <si>
    <r>
      <t>γ</t>
    </r>
    <r>
      <rPr>
        <vertAlign val="subscript"/>
        <sz val="9"/>
        <color theme="1"/>
        <rFont val="Arial"/>
        <family val="2"/>
      </rPr>
      <t>m0</t>
    </r>
  </si>
  <si>
    <t>=</t>
  </si>
  <si>
    <t>*</t>
  </si>
  <si>
    <t>* 1000 *</t>
  </si>
  <si>
    <t>Nmm</t>
  </si>
  <si>
    <t>kNm</t>
  </si>
  <si>
    <t>Unity check =</t>
  </si>
  <si>
    <r>
      <t>M</t>
    </r>
    <r>
      <rPr>
        <vertAlign val="subscript"/>
        <sz val="9"/>
        <color theme="1"/>
        <rFont val="Segoe UI"/>
        <family val="2"/>
      </rPr>
      <t>C,Rd</t>
    </r>
  </si>
  <si>
    <t>Afschuiving volgens art. 6.2.6</t>
  </si>
  <si>
    <r>
      <t>V</t>
    </r>
    <r>
      <rPr>
        <vertAlign val="subscript"/>
        <sz val="9"/>
        <color theme="1"/>
        <rFont val="Segoe UI"/>
        <family val="2"/>
      </rPr>
      <t>pl,Rd</t>
    </r>
    <r>
      <rPr>
        <sz val="9"/>
        <color theme="1"/>
        <rFont val="Segoe UI"/>
        <family val="2"/>
      </rPr>
      <t xml:space="preserve"> = </t>
    </r>
  </si>
  <si>
    <r>
      <t>A</t>
    </r>
    <r>
      <rPr>
        <vertAlign val="subscript"/>
        <sz val="9"/>
        <color theme="1"/>
        <rFont val="Segoe UI"/>
        <family val="2"/>
      </rPr>
      <t>v</t>
    </r>
    <r>
      <rPr>
        <sz val="9"/>
        <color theme="1"/>
        <rFont val="Segoe UI"/>
        <family val="2"/>
      </rPr>
      <t xml:space="preserve"> * (f</t>
    </r>
    <r>
      <rPr>
        <vertAlign val="subscript"/>
        <sz val="9"/>
        <color theme="1"/>
        <rFont val="Segoe UI"/>
        <family val="2"/>
      </rPr>
      <t>y</t>
    </r>
    <r>
      <rPr>
        <sz val="9"/>
        <color theme="1"/>
        <rFont val="Calibri Light"/>
        <family val="2"/>
      </rPr>
      <t>/√</t>
    </r>
    <r>
      <rPr>
        <sz val="9"/>
        <color theme="1"/>
        <rFont val="Segoe UI"/>
        <family val="2"/>
      </rPr>
      <t>3)</t>
    </r>
  </si>
  <si>
    <t>* 100 *</t>
  </si>
  <si>
    <t>kN</t>
  </si>
  <si>
    <r>
      <t>V</t>
    </r>
    <r>
      <rPr>
        <vertAlign val="subscript"/>
        <sz val="9"/>
        <color theme="1"/>
        <rFont val="Segoe UI"/>
        <family val="2"/>
      </rPr>
      <t>Ed</t>
    </r>
  </si>
  <si>
    <r>
      <t>V</t>
    </r>
    <r>
      <rPr>
        <vertAlign val="subscript"/>
        <sz val="9"/>
        <color theme="1"/>
        <rFont val="Segoe UI"/>
        <family val="2"/>
      </rPr>
      <t>pl,Rd</t>
    </r>
  </si>
  <si>
    <t>Combinatie buiging en afschuiving volgens art. 6.2.8</t>
  </si>
  <si>
    <t xml:space="preserve">Als </t>
  </si>
  <si>
    <t>&lt; 0,5</t>
  </si>
  <si>
    <t>geen extra toetsing</t>
  </si>
  <si>
    <t>&gt; 0,5</t>
  </si>
  <si>
    <t>(2 *</t>
  </si>
  <si>
    <r>
      <t>-1)</t>
    </r>
    <r>
      <rPr>
        <vertAlign val="superscript"/>
        <sz val="9"/>
        <color theme="1"/>
        <rFont val="Segoe UI"/>
        <family val="2"/>
      </rPr>
      <t xml:space="preserve">2 </t>
    </r>
  </si>
  <si>
    <r>
      <t>(1-</t>
    </r>
    <r>
      <rPr>
        <sz val="9"/>
        <color theme="1"/>
        <rFont val="Arial"/>
        <family val="2"/>
      </rPr>
      <t>ρ</t>
    </r>
    <r>
      <rPr>
        <sz val="11.7"/>
        <color theme="1"/>
        <rFont val="Segoe UI"/>
        <family val="2"/>
      </rPr>
      <t>)</t>
    </r>
    <r>
      <rPr>
        <sz val="9"/>
        <color theme="1"/>
        <rFont val="Segoe UI"/>
        <family val="2"/>
      </rPr>
      <t>f</t>
    </r>
    <r>
      <rPr>
        <vertAlign val="subscript"/>
        <sz val="9"/>
        <color theme="1"/>
        <rFont val="Segoe UI"/>
        <family val="2"/>
      </rPr>
      <t>y</t>
    </r>
  </si>
  <si>
    <r>
      <t>f</t>
    </r>
    <r>
      <rPr>
        <vertAlign val="subscript"/>
        <sz val="9"/>
        <color theme="1"/>
        <rFont val="Segoe UI"/>
        <family val="2"/>
      </rPr>
      <t>y,red</t>
    </r>
    <r>
      <rPr>
        <sz val="9"/>
        <color theme="1"/>
        <rFont val="Segoe UI"/>
        <family val="2"/>
      </rPr>
      <t xml:space="preserve"> = </t>
    </r>
  </si>
  <si>
    <t>(1 -</t>
  </si>
  <si>
    <t>) * 355</t>
  </si>
  <si>
    <r>
      <t>N/mm</t>
    </r>
    <r>
      <rPr>
        <vertAlign val="superscript"/>
        <sz val="9"/>
        <color theme="1"/>
        <rFont val="Segoe UI"/>
        <family val="2"/>
      </rPr>
      <t>2</t>
    </r>
  </si>
  <si>
    <r>
      <t>ρ = ( 2*V</t>
    </r>
    <r>
      <rPr>
        <vertAlign val="subscript"/>
        <sz val="9"/>
        <color theme="1"/>
        <rFont val="Segoe UI"/>
        <family val="2"/>
      </rPr>
      <t>Ed</t>
    </r>
    <r>
      <rPr>
        <sz val="9"/>
        <color theme="1"/>
        <rFont val="Segoe UI"/>
        <family val="2"/>
      </rPr>
      <t xml:space="preserve"> / V</t>
    </r>
    <r>
      <rPr>
        <vertAlign val="subscript"/>
        <sz val="9"/>
        <color theme="1"/>
        <rFont val="Segoe UI"/>
        <family val="2"/>
      </rPr>
      <t>pl,Rd</t>
    </r>
    <r>
      <rPr>
        <sz val="9"/>
        <color theme="1"/>
        <rFont val="Segoe UI"/>
        <family val="2"/>
      </rPr>
      <t xml:space="preserve"> - 1)</t>
    </r>
    <r>
      <rPr>
        <vertAlign val="superscript"/>
        <sz val="9"/>
        <color theme="1"/>
        <rFont val="Segoe UI"/>
        <family val="2"/>
      </rPr>
      <t>2</t>
    </r>
    <r>
      <rPr>
        <sz val="9"/>
        <color theme="1"/>
        <rFont val="Segoe UI"/>
        <family val="2"/>
      </rPr>
      <t xml:space="preserve"> = </t>
    </r>
  </si>
  <si>
    <t>buis Ø559*8</t>
  </si>
  <si>
    <t>betonvulling</t>
  </si>
  <si>
    <t>d</t>
  </si>
  <si>
    <t>t</t>
  </si>
  <si>
    <t>spanning f</t>
  </si>
  <si>
    <t>aantal</t>
  </si>
  <si>
    <t>-</t>
  </si>
  <si>
    <t>E</t>
  </si>
  <si>
    <t>I</t>
  </si>
  <si>
    <r>
      <t>mm</t>
    </r>
    <r>
      <rPr>
        <vertAlign val="superscript"/>
        <sz val="9"/>
        <color theme="1"/>
        <rFont val="Segoe UI"/>
        <family val="2"/>
      </rPr>
      <t>4</t>
    </r>
  </si>
  <si>
    <t>x10000</t>
  </si>
  <si>
    <t>200 mm uit hart paal</t>
  </si>
  <si>
    <r>
      <t>N*mm</t>
    </r>
    <r>
      <rPr>
        <vertAlign val="superscript"/>
        <sz val="9"/>
        <color theme="1"/>
        <rFont val="Segoe UI"/>
        <family val="2"/>
      </rPr>
      <t>2</t>
    </r>
  </si>
  <si>
    <r>
      <t>*10</t>
    </r>
    <r>
      <rPr>
        <vertAlign val="superscript"/>
        <sz val="9"/>
        <color theme="1"/>
        <rFont val="Segoe UI"/>
        <family val="2"/>
      </rPr>
      <t>9</t>
    </r>
  </si>
  <si>
    <r>
      <t>(EI)</t>
    </r>
    <r>
      <rPr>
        <vertAlign val="subscript"/>
        <sz val="9"/>
        <color theme="1"/>
        <rFont val="Segoe UI"/>
        <family val="2"/>
      </rPr>
      <t>eff</t>
    </r>
  </si>
  <si>
    <r>
      <rPr>
        <sz val="9"/>
        <color theme="1"/>
        <rFont val="Arial"/>
        <family val="2"/>
      </rPr>
      <t>π</t>
    </r>
    <r>
      <rPr>
        <vertAlign val="superscript"/>
        <sz val="10.35"/>
        <color theme="1"/>
        <rFont val="Segoe UI"/>
        <family val="2"/>
      </rPr>
      <t>2</t>
    </r>
    <r>
      <rPr>
        <sz val="10.35"/>
        <color theme="1"/>
        <rFont val="Segoe UI"/>
        <family val="2"/>
      </rPr>
      <t xml:space="preserve"> * (EI)</t>
    </r>
    <r>
      <rPr>
        <vertAlign val="subscript"/>
        <sz val="10.35"/>
        <color theme="1"/>
        <rFont val="Segoe UI"/>
        <family val="2"/>
      </rPr>
      <t>eff</t>
    </r>
  </si>
  <si>
    <r>
      <t>L</t>
    </r>
    <r>
      <rPr>
        <vertAlign val="subscript"/>
        <sz val="9"/>
        <color theme="1"/>
        <rFont val="Segoe UI"/>
        <family val="2"/>
      </rPr>
      <t>knik</t>
    </r>
    <r>
      <rPr>
        <vertAlign val="superscript"/>
        <sz val="9"/>
        <color theme="1"/>
        <rFont val="Segoe UI"/>
        <family val="2"/>
      </rPr>
      <t>2</t>
    </r>
  </si>
  <si>
    <r>
      <rPr>
        <sz val="9"/>
        <color theme="1"/>
        <rFont val="Arial"/>
        <family val="2"/>
      </rPr>
      <t>π</t>
    </r>
    <r>
      <rPr>
        <vertAlign val="superscript"/>
        <sz val="10.35"/>
        <color theme="1"/>
        <rFont val="Segoe UI"/>
        <family val="2"/>
      </rPr>
      <t>2</t>
    </r>
    <r>
      <rPr>
        <sz val="10.35"/>
        <color theme="1"/>
        <rFont val="Segoe UI"/>
        <family val="2"/>
      </rPr>
      <t xml:space="preserve"> *</t>
    </r>
  </si>
  <si>
    <r>
      <t>N</t>
    </r>
    <r>
      <rPr>
        <vertAlign val="subscript"/>
        <sz val="9"/>
        <color theme="1"/>
        <rFont val="Segoe UI"/>
        <family val="2"/>
      </rPr>
      <t>Cr</t>
    </r>
    <r>
      <rPr>
        <sz val="9"/>
        <color theme="1"/>
        <rFont val="Segoe UI"/>
        <family val="2"/>
      </rPr>
      <t xml:space="preserve"> =</t>
    </r>
  </si>
  <si>
    <r>
      <rPr>
        <sz val="9"/>
        <color theme="1"/>
        <rFont val="Arial"/>
        <family val="2"/>
      </rPr>
      <t>λ</t>
    </r>
    <r>
      <rPr>
        <sz val="10.35"/>
        <color theme="1"/>
        <rFont val="Segoe UI"/>
        <family val="2"/>
      </rPr>
      <t xml:space="preserve"> = </t>
    </r>
    <r>
      <rPr>
        <sz val="10.35"/>
        <color theme="1"/>
        <rFont val="Arial"/>
        <family val="2"/>
      </rPr>
      <t>√</t>
    </r>
  </si>
  <si>
    <r>
      <t>(N</t>
    </r>
    <r>
      <rPr>
        <vertAlign val="subscript"/>
        <sz val="9"/>
        <color theme="1"/>
        <rFont val="Segoe UI"/>
        <family val="2"/>
      </rPr>
      <t>pl,Rk</t>
    </r>
    <r>
      <rPr>
        <sz val="9"/>
        <color theme="1"/>
        <rFont val="Segoe UI"/>
        <family val="2"/>
      </rPr>
      <t>/N</t>
    </r>
    <r>
      <rPr>
        <vertAlign val="subscript"/>
        <sz val="9"/>
        <color theme="1"/>
        <rFont val="Segoe UI"/>
        <family val="2"/>
      </rPr>
      <t>Cr</t>
    </r>
    <r>
      <rPr>
        <sz val="9"/>
        <color theme="1"/>
        <rFont val="Segoe UI"/>
        <family val="2"/>
      </rPr>
      <t>)</t>
    </r>
  </si>
  <si>
    <r>
      <t>N</t>
    </r>
    <r>
      <rPr>
        <vertAlign val="subscript"/>
        <sz val="9"/>
        <color theme="1"/>
        <rFont val="Segoe UI"/>
        <family val="2"/>
      </rPr>
      <t>pl,Rk</t>
    </r>
    <r>
      <rPr>
        <sz val="9"/>
        <color theme="1"/>
        <rFont val="Segoe UI"/>
        <family val="2"/>
      </rPr>
      <t xml:space="preserve"> =</t>
    </r>
  </si>
  <si>
    <t>A*f</t>
  </si>
  <si>
    <r>
      <t>*10</t>
    </r>
    <r>
      <rPr>
        <vertAlign val="superscript"/>
        <sz val="9"/>
        <color theme="1"/>
        <rFont val="Segoe UI"/>
        <family val="2"/>
      </rPr>
      <t>3</t>
    </r>
  </si>
  <si>
    <r>
      <t>A</t>
    </r>
    <r>
      <rPr>
        <vertAlign val="subscript"/>
        <sz val="9"/>
        <color theme="1"/>
        <rFont val="Segoe UI"/>
        <family val="2"/>
      </rPr>
      <t>a</t>
    </r>
    <r>
      <rPr>
        <sz val="9"/>
        <color theme="1"/>
        <rFont val="Segoe UI"/>
        <family val="2"/>
      </rPr>
      <t xml:space="preserve"> * f</t>
    </r>
    <r>
      <rPr>
        <vertAlign val="subscript"/>
        <sz val="9"/>
        <color theme="1"/>
        <rFont val="Segoe UI"/>
        <family val="2"/>
      </rPr>
      <t>yd</t>
    </r>
    <r>
      <rPr>
        <sz val="9"/>
        <color theme="1"/>
        <rFont val="Segoe UI"/>
        <family val="2"/>
      </rPr>
      <t xml:space="preserve"> + A</t>
    </r>
    <r>
      <rPr>
        <vertAlign val="subscript"/>
        <sz val="9"/>
        <color theme="1"/>
        <rFont val="Segoe UI"/>
        <family val="2"/>
      </rPr>
      <t>c</t>
    </r>
    <r>
      <rPr>
        <sz val="9"/>
        <color theme="1"/>
        <rFont val="Segoe UI"/>
        <family val="2"/>
      </rPr>
      <t xml:space="preserve"> * f</t>
    </r>
    <r>
      <rPr>
        <vertAlign val="subscript"/>
        <sz val="9"/>
        <color theme="1"/>
        <rFont val="Segoe UI"/>
        <family val="2"/>
      </rPr>
      <t>cd</t>
    </r>
    <r>
      <rPr>
        <sz val="9"/>
        <color theme="1"/>
        <rFont val="Segoe UI"/>
        <family val="2"/>
      </rPr>
      <t xml:space="preserve"> + A</t>
    </r>
    <r>
      <rPr>
        <vertAlign val="subscript"/>
        <sz val="9"/>
        <color theme="1"/>
        <rFont val="Segoe UI"/>
        <family val="2"/>
      </rPr>
      <t>s</t>
    </r>
    <r>
      <rPr>
        <sz val="9"/>
        <color theme="1"/>
        <rFont val="Segoe UI"/>
        <family val="2"/>
      </rPr>
      <t xml:space="preserve"> * f</t>
    </r>
    <r>
      <rPr>
        <vertAlign val="subscript"/>
        <sz val="9"/>
        <color theme="1"/>
        <rFont val="Segoe UI"/>
        <family val="2"/>
      </rPr>
      <t>sd</t>
    </r>
  </si>
  <si>
    <t>= √(</t>
  </si>
  <si>
    <t>/</t>
  </si>
  <si>
    <t>) =</t>
  </si>
  <si>
    <t>&lt; 2,0</t>
  </si>
  <si>
    <t>(vergelijking 6.28)</t>
  </si>
  <si>
    <t>(vergelijking 6.30)</t>
  </si>
  <si>
    <t>Algemene eigenschappen</t>
  </si>
  <si>
    <t>Afschuiving alleen op staalprofiel volgens EN 1993-1-1 art. 6.2.6</t>
  </si>
  <si>
    <r>
      <t>A</t>
    </r>
    <r>
      <rPr>
        <vertAlign val="subscript"/>
        <sz val="9"/>
        <color theme="1"/>
        <rFont val="Segoe UI"/>
        <family val="2"/>
      </rPr>
      <t xml:space="preserve">v </t>
    </r>
    <r>
      <rPr>
        <sz val="9"/>
        <color theme="1"/>
        <rFont val="Segoe UI"/>
        <family val="2"/>
      </rPr>
      <t xml:space="preserve">= </t>
    </r>
  </si>
  <si>
    <r>
      <t>2A/</t>
    </r>
    <r>
      <rPr>
        <sz val="9"/>
        <color theme="1"/>
        <rFont val="Arial"/>
        <family val="2"/>
      </rPr>
      <t>π</t>
    </r>
  </si>
  <si>
    <r>
      <t>V</t>
    </r>
    <r>
      <rPr>
        <vertAlign val="subscript"/>
        <sz val="9"/>
        <color theme="1"/>
        <rFont val="Segoe UI"/>
        <family val="2"/>
      </rPr>
      <t>Ed,y</t>
    </r>
  </si>
  <si>
    <t>geen reductie op momentweerstand en de normaalkracht</t>
  </si>
  <si>
    <t xml:space="preserve">wapening </t>
  </si>
  <si>
    <t>Normaalkracht</t>
  </si>
  <si>
    <r>
      <t>N</t>
    </r>
    <r>
      <rPr>
        <vertAlign val="subscript"/>
        <sz val="9"/>
        <color theme="1"/>
        <rFont val="Segoe UI"/>
        <family val="2"/>
      </rPr>
      <t>Ed</t>
    </r>
  </si>
  <si>
    <t>χ</t>
  </si>
  <si>
    <t>reductiefactor afhankelijk van slankheid en kromme</t>
  </si>
  <si>
    <r>
      <rPr>
        <sz val="9"/>
        <color theme="1"/>
        <rFont val="Arial"/>
        <family val="2"/>
      </rPr>
      <t>χ</t>
    </r>
    <r>
      <rPr>
        <sz val="9"/>
        <color theme="1"/>
        <rFont val="Segoe UI"/>
        <family val="2"/>
      </rPr>
      <t xml:space="preserve"> * </t>
    </r>
    <r>
      <rPr>
        <sz val="9"/>
        <color theme="1"/>
        <rFont val="Segoe UI"/>
        <family val="2"/>
      </rPr>
      <t>N</t>
    </r>
    <r>
      <rPr>
        <vertAlign val="subscript"/>
        <sz val="9"/>
        <color theme="1"/>
        <rFont val="Segoe UI"/>
        <family val="2"/>
      </rPr>
      <t>pl,Rd</t>
    </r>
  </si>
  <si>
    <t>Buiging</t>
  </si>
  <si>
    <t>inclusief 2de orde volgens art. 6.7.3.3</t>
  </si>
  <si>
    <t>k =</t>
  </si>
  <si>
    <t>β</t>
  </si>
  <si>
    <t>1- {</t>
  </si>
  <si>
    <r>
      <t>1-{N</t>
    </r>
    <r>
      <rPr>
        <vertAlign val="subscript"/>
        <sz val="9"/>
        <color theme="1"/>
        <rFont val="Segoe UI"/>
        <family val="2"/>
      </rPr>
      <t>Ed</t>
    </r>
    <r>
      <rPr>
        <sz val="9"/>
        <color theme="1"/>
        <rFont val="Segoe UI"/>
        <family val="2"/>
      </rPr>
      <t>/N</t>
    </r>
    <r>
      <rPr>
        <vertAlign val="subscript"/>
        <sz val="9"/>
        <color theme="1"/>
        <rFont val="Segoe UI"/>
        <family val="2"/>
      </rPr>
      <t>Cr,eff</t>
    </r>
    <r>
      <rPr>
        <sz val="9"/>
        <color theme="1"/>
        <rFont val="Segoe UI"/>
        <family val="2"/>
      </rPr>
      <t>}</t>
    </r>
  </si>
  <si>
    <t>}</t>
  </si>
  <si>
    <t>(eindmoment)</t>
  </si>
  <si>
    <r>
      <rPr>
        <sz val="9"/>
        <color theme="1"/>
        <rFont val="Arial"/>
        <family val="2"/>
      </rPr>
      <t>≥</t>
    </r>
    <r>
      <rPr>
        <sz val="9"/>
        <color theme="1"/>
        <rFont val="Segoe UI"/>
        <family val="2"/>
      </rPr>
      <t xml:space="preserve"> 1,0</t>
    </r>
  </si>
  <si>
    <r>
      <t>M</t>
    </r>
    <r>
      <rPr>
        <vertAlign val="subscript"/>
        <sz val="9"/>
        <color theme="1"/>
        <rFont val="Segoe UI"/>
        <family val="2"/>
      </rPr>
      <t>Ed</t>
    </r>
    <r>
      <rPr>
        <sz val="9"/>
        <color theme="1"/>
        <rFont val="Segoe UI"/>
        <family val="2"/>
      </rPr>
      <t xml:space="preserve"> =</t>
    </r>
  </si>
  <si>
    <r>
      <rPr>
        <sz val="9"/>
        <color theme="1"/>
        <rFont val="Arial"/>
        <family val="2"/>
      </rPr>
      <t>M</t>
    </r>
    <r>
      <rPr>
        <vertAlign val="subscript"/>
        <sz val="9"/>
        <color theme="1"/>
        <rFont val="Segoe UI"/>
        <family val="2"/>
      </rPr>
      <t>pl,Rd</t>
    </r>
  </si>
  <si>
    <r>
      <t>M</t>
    </r>
    <r>
      <rPr>
        <vertAlign val="subscript"/>
        <sz val="9"/>
        <color theme="1"/>
        <rFont val="Segoe UI"/>
        <family val="2"/>
      </rPr>
      <t>pl,a</t>
    </r>
    <r>
      <rPr>
        <sz val="9"/>
        <color theme="1"/>
        <rFont val="Segoe UI"/>
        <family val="2"/>
      </rPr>
      <t xml:space="preserve"> =</t>
    </r>
  </si>
  <si>
    <t>(alleen buispaal)</t>
  </si>
  <si>
    <t>+</t>
  </si>
  <si>
    <r>
      <t>L</t>
    </r>
    <r>
      <rPr>
        <vertAlign val="subscript"/>
        <sz val="9"/>
        <color theme="1"/>
        <rFont val="Segoe UI"/>
        <family val="2"/>
      </rPr>
      <t>knik</t>
    </r>
  </si>
  <si>
    <t>Frame</t>
  </si>
  <si>
    <r>
      <t xml:space="preserve">vloeigrens reduceren voor </t>
    </r>
    <r>
      <rPr>
        <i/>
        <sz val="9"/>
        <color theme="1"/>
        <rFont val="Segoe UI"/>
        <family val="2"/>
      </rPr>
      <t>afschuifoppervlak</t>
    </r>
  </si>
  <si>
    <t>h</t>
  </si>
  <si>
    <t>palen</t>
  </si>
  <si>
    <r>
      <t>M</t>
    </r>
    <r>
      <rPr>
        <vertAlign val="subscript"/>
        <sz val="9"/>
        <color theme="1"/>
        <rFont val="Segoe UI"/>
        <family val="2"/>
      </rPr>
      <t>Ed,z</t>
    </r>
    <r>
      <rPr>
        <sz val="9"/>
        <color theme="1"/>
        <rFont val="Segoe UI"/>
        <family val="2"/>
      </rPr>
      <t xml:space="preserve"> =</t>
    </r>
  </si>
  <si>
    <r>
      <t>V</t>
    </r>
    <r>
      <rPr>
        <vertAlign val="subscript"/>
        <sz val="9"/>
        <color theme="1"/>
        <rFont val="Segoe UI"/>
        <family val="2"/>
      </rPr>
      <t>Ed,z</t>
    </r>
  </si>
  <si>
    <r>
      <t>M</t>
    </r>
    <r>
      <rPr>
        <vertAlign val="subscript"/>
        <sz val="9"/>
        <color theme="1"/>
        <rFont val="Segoe UI"/>
        <family val="2"/>
      </rPr>
      <t>Ed,y,max</t>
    </r>
    <r>
      <rPr>
        <sz val="9"/>
        <color theme="1"/>
        <rFont val="Segoe UI"/>
        <family val="2"/>
      </rPr>
      <t xml:space="preserve"> =</t>
    </r>
  </si>
  <si>
    <t>hulp tbv Wpl</t>
  </si>
  <si>
    <t>r(hart)</t>
  </si>
  <si>
    <t>zs (halve cirkel)</t>
  </si>
  <si>
    <t>(verdikte buis bovenzijde)</t>
  </si>
  <si>
    <t>[-]</t>
  </si>
  <si>
    <t>n</t>
  </si>
  <si>
    <r>
      <t>EA</t>
    </r>
    <r>
      <rPr>
        <vertAlign val="subscript"/>
        <sz val="9"/>
        <color theme="1"/>
        <rFont val="Segoe UI"/>
        <family val="2"/>
      </rPr>
      <t>buis</t>
    </r>
  </si>
  <si>
    <r>
      <t>EA</t>
    </r>
    <r>
      <rPr>
        <vertAlign val="subscript"/>
        <sz val="9"/>
        <color theme="1"/>
        <rFont val="Segoe UI"/>
        <family val="2"/>
      </rPr>
      <t>totaal</t>
    </r>
  </si>
  <si>
    <r>
      <t>M</t>
    </r>
    <r>
      <rPr>
        <vertAlign val="subscript"/>
        <sz val="9"/>
        <color theme="1"/>
        <rFont val="Segoe UI"/>
        <family val="2"/>
      </rPr>
      <t>N,y,Rd</t>
    </r>
  </si>
  <si>
    <r>
      <t>M</t>
    </r>
    <r>
      <rPr>
        <vertAlign val="subscript"/>
        <sz val="9"/>
        <color theme="1"/>
        <rFont val="Segoe UI"/>
        <family val="2"/>
      </rPr>
      <t>pl,Rd</t>
    </r>
    <r>
      <rPr>
        <sz val="9"/>
        <color theme="1"/>
        <rFont val="Segoe UI"/>
        <family val="2"/>
      </rPr>
      <t xml:space="preserve"> (1 - n^1,7)</t>
    </r>
  </si>
  <si>
    <r>
      <rPr>
        <sz val="9"/>
        <color theme="1"/>
        <rFont val="Arial"/>
        <family val="2"/>
      </rPr>
      <t>M</t>
    </r>
    <r>
      <rPr>
        <vertAlign val="subscript"/>
        <sz val="9"/>
        <color theme="1"/>
        <rFont val="Arial"/>
        <family val="2"/>
      </rPr>
      <t>N,y,</t>
    </r>
    <r>
      <rPr>
        <vertAlign val="subscript"/>
        <sz val="9"/>
        <color theme="1"/>
        <rFont val="Segoe UI"/>
        <family val="2"/>
      </rPr>
      <t>pl,Rd</t>
    </r>
  </si>
  <si>
    <r>
      <t>(EA)</t>
    </r>
    <r>
      <rPr>
        <vertAlign val="subscript"/>
        <sz val="9"/>
        <color theme="1"/>
        <rFont val="Segoe UI"/>
        <family val="2"/>
      </rPr>
      <t>eff</t>
    </r>
  </si>
  <si>
    <r>
      <t>*10</t>
    </r>
    <r>
      <rPr>
        <vertAlign val="superscript"/>
        <sz val="9"/>
        <color theme="1"/>
        <rFont val="Segoe UI"/>
        <family val="2"/>
      </rPr>
      <t>6</t>
    </r>
  </si>
  <si>
    <r>
      <t>N</t>
    </r>
    <r>
      <rPr>
        <vertAlign val="subscript"/>
        <sz val="9"/>
        <color theme="1"/>
        <rFont val="Segoe UI"/>
        <family val="2"/>
      </rPr>
      <t>Ed</t>
    </r>
    <r>
      <rPr>
        <sz val="9"/>
        <color theme="1"/>
        <rFont val="Segoe UI"/>
        <family val="2"/>
      </rPr>
      <t xml:space="preserve"> *</t>
    </r>
  </si>
  <si>
    <r>
      <t>N</t>
    </r>
    <r>
      <rPr>
        <vertAlign val="subscript"/>
        <sz val="9"/>
        <color theme="1"/>
        <rFont val="Segoe UI"/>
        <family val="2"/>
      </rPr>
      <t>Ed,buis</t>
    </r>
    <r>
      <rPr>
        <sz val="9"/>
        <color theme="1"/>
        <rFont val="Segoe UI"/>
        <family val="2"/>
      </rPr>
      <t xml:space="preserve"> = </t>
    </r>
  </si>
  <si>
    <r>
      <t xml:space="preserve"> γ</t>
    </r>
    <r>
      <rPr>
        <vertAlign val="subscript"/>
        <sz val="9"/>
        <color theme="1"/>
        <rFont val="Segoe UI"/>
        <family val="2"/>
      </rPr>
      <t>M0</t>
    </r>
  </si>
  <si>
    <t xml:space="preserve">A * </t>
  </si>
  <si>
    <r>
      <t>f</t>
    </r>
    <r>
      <rPr>
        <vertAlign val="subscript"/>
        <sz val="9"/>
        <color theme="1"/>
        <rFont val="Segoe UI"/>
        <family val="2"/>
      </rPr>
      <t>y</t>
    </r>
    <r>
      <rPr>
        <sz val="9"/>
        <color theme="1"/>
        <rFont val="Segoe UI"/>
        <family val="2"/>
      </rPr>
      <t/>
    </r>
  </si>
  <si>
    <t>Controle buiging en normaalkracht in de buis volgens art. 6.2.9.1</t>
  </si>
  <si>
    <r>
      <rPr>
        <sz val="9"/>
        <color theme="1"/>
        <rFont val="Arial"/>
        <family val="2"/>
      </rPr>
      <t>N</t>
    </r>
    <r>
      <rPr>
        <vertAlign val="subscript"/>
        <sz val="9"/>
        <color theme="1"/>
        <rFont val="Segoe UI"/>
        <family val="2"/>
      </rPr>
      <t>pl,Rd</t>
    </r>
  </si>
  <si>
    <r>
      <t xml:space="preserve">       M</t>
    </r>
    <r>
      <rPr>
        <vertAlign val="subscript"/>
        <sz val="9"/>
        <color theme="1"/>
        <rFont val="Segoe UI"/>
        <family val="2"/>
      </rPr>
      <t>Ed</t>
    </r>
    <r>
      <rPr>
        <sz val="9"/>
        <color theme="1"/>
        <rFont val="Segoe UI"/>
        <family val="2"/>
      </rPr>
      <t xml:space="preserve">      +</t>
    </r>
  </si>
  <si>
    <t xml:space="preserve">U.C. = </t>
  </si>
  <si>
    <r>
      <t>N</t>
    </r>
    <r>
      <rPr>
        <vertAlign val="subscript"/>
        <sz val="9"/>
        <color theme="1"/>
        <rFont val="Segoe UI"/>
        <family val="2"/>
      </rPr>
      <t>pl,Rd,buis</t>
    </r>
    <r>
      <rPr>
        <sz val="9"/>
        <color theme="1"/>
        <rFont val="Segoe UI"/>
        <family val="2"/>
      </rPr>
      <t xml:space="preserve"> = </t>
    </r>
  </si>
  <si>
    <r>
      <t>N</t>
    </r>
    <r>
      <rPr>
        <vertAlign val="subscript"/>
        <sz val="9"/>
        <color theme="1"/>
        <rFont val="Segoe UI"/>
        <family val="2"/>
      </rPr>
      <t>Ed,buis</t>
    </r>
    <r>
      <rPr>
        <sz val="9"/>
        <color theme="1"/>
        <rFont val="Segoe UI"/>
        <family val="2"/>
      </rPr>
      <t xml:space="preserve"> / N</t>
    </r>
    <r>
      <rPr>
        <vertAlign val="subscript"/>
        <sz val="9"/>
        <color theme="1"/>
        <rFont val="Segoe UI"/>
        <family val="2"/>
      </rPr>
      <t>pl,Rd,buis</t>
    </r>
  </si>
  <si>
    <t>Interactie buiging en normaalkracht</t>
  </si>
  <si>
    <t>Controle volgens vergelijking (6.2) (eenvoudige toetsing)</t>
  </si>
  <si>
    <r>
      <t>M</t>
    </r>
    <r>
      <rPr>
        <vertAlign val="subscript"/>
        <sz val="9"/>
        <color theme="1"/>
        <rFont val="Segoe UI"/>
        <family val="2"/>
      </rPr>
      <t>Ed,y</t>
    </r>
    <r>
      <rPr>
        <sz val="9"/>
        <color theme="1"/>
        <rFont val="Segoe UI"/>
        <family val="2"/>
      </rPr>
      <t xml:space="preserve"> =</t>
    </r>
  </si>
  <si>
    <r>
      <rPr>
        <sz val="9"/>
        <color theme="1"/>
        <rFont val="Arial"/>
        <family val="2"/>
      </rPr>
      <t>N</t>
    </r>
    <r>
      <rPr>
        <vertAlign val="subscript"/>
        <sz val="9"/>
        <color theme="1"/>
        <rFont val="Segoe UI"/>
        <family val="2"/>
      </rPr>
      <t>pl,Rd,buis</t>
    </r>
  </si>
  <si>
    <t>Dikkere buis benodigd</t>
  </si>
  <si>
    <t>Z05</t>
  </si>
  <si>
    <t>&lt; 1,0</t>
  </si>
  <si>
    <t>akkoord</t>
  </si>
  <si>
    <r>
      <t>W</t>
    </r>
    <r>
      <rPr>
        <vertAlign val="subscript"/>
        <sz val="9"/>
        <color theme="1"/>
        <rFont val="Segoe UI"/>
        <family val="2"/>
      </rPr>
      <t>z,pl</t>
    </r>
  </si>
  <si>
    <t>Controle buiging zwakke richting</t>
  </si>
  <si>
    <r>
      <t>Mz,</t>
    </r>
    <r>
      <rPr>
        <vertAlign val="subscript"/>
        <sz val="9"/>
        <color theme="1"/>
        <rFont val="Segoe UI"/>
        <family val="2"/>
      </rPr>
      <t>C,Rd</t>
    </r>
    <r>
      <rPr>
        <sz val="9"/>
        <color theme="1"/>
        <rFont val="Segoe UI"/>
        <family val="2"/>
      </rPr>
      <t xml:space="preserve"> = M</t>
    </r>
    <r>
      <rPr>
        <vertAlign val="subscript"/>
        <sz val="9"/>
        <color theme="1"/>
        <rFont val="Segoe UI"/>
        <family val="2"/>
      </rPr>
      <t>pl,Rd</t>
    </r>
    <r>
      <rPr>
        <sz val="9"/>
        <color theme="1"/>
        <rFont val="Segoe UI"/>
        <family val="2"/>
      </rPr>
      <t xml:space="preserve"> = </t>
    </r>
  </si>
  <si>
    <r>
      <t>W</t>
    </r>
    <r>
      <rPr>
        <vertAlign val="subscript"/>
        <sz val="9"/>
        <color theme="1"/>
        <rFont val="Segoe UI"/>
        <family val="2"/>
      </rPr>
      <t>z,pl</t>
    </r>
    <r>
      <rPr>
        <sz val="9"/>
        <color theme="1"/>
        <rFont val="Segoe UI"/>
        <family val="2"/>
      </rPr>
      <t xml:space="preserve"> * f</t>
    </r>
    <r>
      <rPr>
        <vertAlign val="subscript"/>
        <sz val="9"/>
        <color theme="1"/>
        <rFont val="Segoe UI"/>
        <family val="2"/>
      </rPr>
      <t>y</t>
    </r>
  </si>
  <si>
    <r>
      <t>M</t>
    </r>
    <r>
      <rPr>
        <vertAlign val="subscript"/>
        <sz val="9"/>
        <color theme="1"/>
        <rFont val="Segoe UI"/>
        <family val="2"/>
      </rPr>
      <t>z,Ed</t>
    </r>
  </si>
  <si>
    <r>
      <t>M</t>
    </r>
    <r>
      <rPr>
        <vertAlign val="subscript"/>
        <sz val="9"/>
        <color theme="1"/>
        <rFont val="Segoe UI"/>
        <family val="2"/>
      </rPr>
      <t>Z,C,Rd</t>
    </r>
  </si>
  <si>
    <t>Combinatie dubbele buiging en afschuiving volgens art. 6.2.9.1 (6)</t>
  </si>
  <si>
    <t xml:space="preserve">α = </t>
  </si>
  <si>
    <t xml:space="preserve">n = </t>
  </si>
  <si>
    <t xml:space="preserve">β = </t>
  </si>
  <si>
    <t>HE1000A</t>
  </si>
  <si>
    <t>2xHE1000A</t>
  </si>
  <si>
    <t>Toetsing 2xHE1000A</t>
  </si>
  <si>
    <r>
      <t>M</t>
    </r>
    <r>
      <rPr>
        <vertAlign val="subscript"/>
        <sz val="9"/>
        <color theme="0" tint="-0.499984740745262"/>
        <rFont val="Segoe UI"/>
        <family val="2"/>
      </rPr>
      <t>C,Rd</t>
    </r>
    <r>
      <rPr>
        <sz val="9"/>
        <color theme="0" tint="-0.499984740745262"/>
        <rFont val="Segoe UI"/>
        <family val="2"/>
      </rPr>
      <t xml:space="preserve"> = M</t>
    </r>
    <r>
      <rPr>
        <vertAlign val="subscript"/>
        <sz val="9"/>
        <color theme="0" tint="-0.499984740745262"/>
        <rFont val="Segoe UI"/>
        <family val="2"/>
      </rPr>
      <t>pl,Rd</t>
    </r>
    <r>
      <rPr>
        <sz val="9"/>
        <color theme="0" tint="-0.499984740745262"/>
        <rFont val="Segoe UI"/>
        <family val="2"/>
      </rPr>
      <t xml:space="preserve"> = </t>
    </r>
  </si>
  <si>
    <r>
      <t>W</t>
    </r>
    <r>
      <rPr>
        <vertAlign val="subscript"/>
        <sz val="9"/>
        <color theme="0" tint="-0.499984740745262"/>
        <rFont val="Segoe UI"/>
        <family val="2"/>
      </rPr>
      <t>pl</t>
    </r>
    <r>
      <rPr>
        <sz val="9"/>
        <color theme="0" tint="-0.499984740745262"/>
        <rFont val="Segoe UI"/>
        <family val="2"/>
      </rPr>
      <t xml:space="preserve"> * f</t>
    </r>
    <r>
      <rPr>
        <vertAlign val="subscript"/>
        <sz val="9"/>
        <color theme="0" tint="-0.499984740745262"/>
        <rFont val="Segoe UI"/>
        <family val="2"/>
      </rPr>
      <t>y</t>
    </r>
  </si>
  <si>
    <r>
      <t>γ</t>
    </r>
    <r>
      <rPr>
        <vertAlign val="subscript"/>
        <sz val="9"/>
        <color theme="0" tint="-0.499984740745262"/>
        <rFont val="Arial"/>
        <family val="2"/>
      </rPr>
      <t>m0</t>
    </r>
  </si>
  <si>
    <r>
      <t>M</t>
    </r>
    <r>
      <rPr>
        <vertAlign val="subscript"/>
        <sz val="9"/>
        <color theme="0" tint="-0.499984740745262"/>
        <rFont val="Segoe UI"/>
        <family val="2"/>
      </rPr>
      <t>Ed</t>
    </r>
  </si>
  <si>
    <r>
      <t>M</t>
    </r>
    <r>
      <rPr>
        <vertAlign val="subscript"/>
        <sz val="9"/>
        <color theme="0" tint="-0.499984740745262"/>
        <rFont val="Segoe UI"/>
        <family val="2"/>
      </rPr>
      <t>C,Rd</t>
    </r>
  </si>
  <si>
    <r>
      <t>V</t>
    </r>
    <r>
      <rPr>
        <vertAlign val="subscript"/>
        <sz val="9"/>
        <color theme="0" tint="-0.499984740745262"/>
        <rFont val="Segoe UI"/>
        <family val="2"/>
      </rPr>
      <t>pl,Rd</t>
    </r>
    <r>
      <rPr>
        <sz val="9"/>
        <color theme="0" tint="-0.499984740745262"/>
        <rFont val="Segoe UI"/>
        <family val="2"/>
      </rPr>
      <t xml:space="preserve"> = </t>
    </r>
  </si>
  <si>
    <r>
      <t>A</t>
    </r>
    <r>
      <rPr>
        <vertAlign val="subscript"/>
        <sz val="9"/>
        <color theme="0" tint="-0.499984740745262"/>
        <rFont val="Segoe UI"/>
        <family val="2"/>
      </rPr>
      <t>v</t>
    </r>
    <r>
      <rPr>
        <sz val="9"/>
        <color theme="0" tint="-0.499984740745262"/>
        <rFont val="Segoe UI"/>
        <family val="2"/>
      </rPr>
      <t xml:space="preserve"> * (f</t>
    </r>
    <r>
      <rPr>
        <vertAlign val="subscript"/>
        <sz val="9"/>
        <color theme="0" tint="-0.499984740745262"/>
        <rFont val="Segoe UI"/>
        <family val="2"/>
      </rPr>
      <t>y</t>
    </r>
    <r>
      <rPr>
        <sz val="9"/>
        <color theme="0" tint="-0.499984740745262"/>
        <rFont val="Calibri Light"/>
        <family val="2"/>
      </rPr>
      <t>/√</t>
    </r>
    <r>
      <rPr>
        <sz val="9"/>
        <color theme="0" tint="-0.499984740745262"/>
        <rFont val="Segoe UI"/>
        <family val="2"/>
      </rPr>
      <t>3)</t>
    </r>
  </si>
  <si>
    <r>
      <t>V</t>
    </r>
    <r>
      <rPr>
        <vertAlign val="subscript"/>
        <sz val="9"/>
        <color theme="0" tint="-0.499984740745262"/>
        <rFont val="Segoe UI"/>
        <family val="2"/>
      </rPr>
      <t>Ed</t>
    </r>
  </si>
  <si>
    <r>
      <t>V</t>
    </r>
    <r>
      <rPr>
        <vertAlign val="subscript"/>
        <sz val="9"/>
        <color theme="0" tint="-0.499984740745262"/>
        <rFont val="Segoe UI"/>
        <family val="2"/>
      </rPr>
      <t>pl,Rd</t>
    </r>
  </si>
  <si>
    <t>vloeigrens reduceren</t>
  </si>
  <si>
    <r>
      <t>ρ = ( 2*V</t>
    </r>
    <r>
      <rPr>
        <vertAlign val="subscript"/>
        <sz val="9"/>
        <color theme="0" tint="-0.499984740745262"/>
        <rFont val="Segoe UI"/>
        <family val="2"/>
      </rPr>
      <t>Ed</t>
    </r>
    <r>
      <rPr>
        <sz val="9"/>
        <color theme="0" tint="-0.499984740745262"/>
        <rFont val="Segoe UI"/>
        <family val="2"/>
      </rPr>
      <t xml:space="preserve"> / V</t>
    </r>
    <r>
      <rPr>
        <vertAlign val="subscript"/>
        <sz val="9"/>
        <color theme="0" tint="-0.499984740745262"/>
        <rFont val="Segoe UI"/>
        <family val="2"/>
      </rPr>
      <t>pl,Rd</t>
    </r>
    <r>
      <rPr>
        <sz val="9"/>
        <color theme="0" tint="-0.499984740745262"/>
        <rFont val="Segoe UI"/>
        <family val="2"/>
      </rPr>
      <t xml:space="preserve"> - 1)</t>
    </r>
    <r>
      <rPr>
        <vertAlign val="superscript"/>
        <sz val="9"/>
        <color theme="0" tint="-0.499984740745262"/>
        <rFont val="Segoe UI"/>
        <family val="2"/>
      </rPr>
      <t>2</t>
    </r>
    <r>
      <rPr>
        <sz val="9"/>
        <color theme="0" tint="-0.499984740745262"/>
        <rFont val="Segoe UI"/>
        <family val="2"/>
      </rPr>
      <t xml:space="preserve"> = </t>
    </r>
  </si>
  <si>
    <r>
      <t>-1)</t>
    </r>
    <r>
      <rPr>
        <vertAlign val="superscript"/>
        <sz val="9"/>
        <color theme="0" tint="-0.499984740745262"/>
        <rFont val="Segoe UI"/>
        <family val="2"/>
      </rPr>
      <t xml:space="preserve">2 </t>
    </r>
  </si>
  <si>
    <r>
      <t>f</t>
    </r>
    <r>
      <rPr>
        <vertAlign val="subscript"/>
        <sz val="9"/>
        <color theme="0" tint="-0.499984740745262"/>
        <rFont val="Segoe UI"/>
        <family val="2"/>
      </rPr>
      <t>y,red</t>
    </r>
    <r>
      <rPr>
        <sz val="9"/>
        <color theme="0" tint="-0.499984740745262"/>
        <rFont val="Segoe UI"/>
        <family val="2"/>
      </rPr>
      <t xml:space="preserve"> = </t>
    </r>
  </si>
  <si>
    <r>
      <t>(1-</t>
    </r>
    <r>
      <rPr>
        <sz val="9"/>
        <color theme="0" tint="-0.499984740745262"/>
        <rFont val="Arial"/>
        <family val="2"/>
      </rPr>
      <t>ρ</t>
    </r>
    <r>
      <rPr>
        <sz val="11.7"/>
        <color theme="0" tint="-0.499984740745262"/>
        <rFont val="Segoe UI"/>
        <family val="2"/>
      </rPr>
      <t>)</t>
    </r>
    <r>
      <rPr>
        <sz val="9"/>
        <color theme="0" tint="-0.499984740745262"/>
        <rFont val="Segoe UI"/>
        <family val="2"/>
      </rPr>
      <t>f</t>
    </r>
    <r>
      <rPr>
        <vertAlign val="subscript"/>
        <sz val="9"/>
        <color theme="0" tint="-0.499984740745262"/>
        <rFont val="Segoe UI"/>
        <family val="2"/>
      </rPr>
      <t>y</t>
    </r>
  </si>
  <si>
    <r>
      <t>N/mm</t>
    </r>
    <r>
      <rPr>
        <vertAlign val="superscript"/>
        <sz val="9"/>
        <color theme="0" tint="-0.499984740745262"/>
        <rFont val="Segoe UI"/>
        <family val="2"/>
      </rPr>
      <t>2</t>
    </r>
  </si>
  <si>
    <t>Akkoord</t>
  </si>
  <si>
    <r>
      <t>Mz,</t>
    </r>
    <r>
      <rPr>
        <vertAlign val="subscript"/>
        <sz val="9"/>
        <color theme="0" tint="-0.34998626667073579"/>
        <rFont val="Segoe UI"/>
        <family val="2"/>
      </rPr>
      <t>C,Rd</t>
    </r>
    <r>
      <rPr>
        <sz val="9"/>
        <color theme="0" tint="-0.34998626667073579"/>
        <rFont val="Segoe UI"/>
        <family val="2"/>
      </rPr>
      <t xml:space="preserve"> = M</t>
    </r>
    <r>
      <rPr>
        <vertAlign val="subscript"/>
        <sz val="9"/>
        <color theme="0" tint="-0.34998626667073579"/>
        <rFont val="Segoe UI"/>
        <family val="2"/>
      </rPr>
      <t>pl,Rd</t>
    </r>
    <r>
      <rPr>
        <sz val="9"/>
        <color theme="0" tint="-0.34998626667073579"/>
        <rFont val="Segoe UI"/>
        <family val="2"/>
      </rPr>
      <t xml:space="preserve"> = </t>
    </r>
  </si>
  <si>
    <r>
      <t>W</t>
    </r>
    <r>
      <rPr>
        <vertAlign val="subscript"/>
        <sz val="9"/>
        <color theme="0" tint="-0.34998626667073579"/>
        <rFont val="Segoe UI"/>
        <family val="2"/>
      </rPr>
      <t>z,pl</t>
    </r>
    <r>
      <rPr>
        <sz val="9"/>
        <color theme="0" tint="-0.34998626667073579"/>
        <rFont val="Segoe UI"/>
        <family val="2"/>
      </rPr>
      <t xml:space="preserve"> * f</t>
    </r>
    <r>
      <rPr>
        <vertAlign val="subscript"/>
        <sz val="9"/>
        <color theme="0" tint="-0.34998626667073579"/>
        <rFont val="Segoe UI"/>
        <family val="2"/>
      </rPr>
      <t>y</t>
    </r>
  </si>
  <si>
    <r>
      <t>γ</t>
    </r>
    <r>
      <rPr>
        <vertAlign val="subscript"/>
        <sz val="9"/>
        <color theme="0" tint="-0.34998626667073579"/>
        <rFont val="Arial"/>
        <family val="2"/>
      </rPr>
      <t>m0</t>
    </r>
  </si>
  <si>
    <r>
      <t>M</t>
    </r>
    <r>
      <rPr>
        <vertAlign val="subscript"/>
        <sz val="9"/>
        <color theme="0" tint="-0.34998626667073579"/>
        <rFont val="Segoe UI"/>
        <family val="2"/>
      </rPr>
      <t>z,Ed</t>
    </r>
  </si>
  <si>
    <r>
      <t>M</t>
    </r>
    <r>
      <rPr>
        <vertAlign val="subscript"/>
        <sz val="9"/>
        <color theme="0" tint="-0.34998626667073579"/>
        <rFont val="Segoe UI"/>
        <family val="2"/>
      </rPr>
      <t>Z,C,Rd</t>
    </r>
  </si>
  <si>
    <t>Z-05</t>
  </si>
  <si>
    <t>3xHE1000M</t>
  </si>
  <si>
    <t>Toetsing 3xHE1000M</t>
  </si>
  <si>
    <t>Controle buiging en normaalkracht in de buis volgens NEN-EN 1993-1-1 art. 6.2.9.1, geen knik</t>
  </si>
  <si>
    <t xml:space="preserve">Controle volgens vergelijking (6.2) (eenvoudige toetsing) alleen de buis Ned en Med plastisch, geen knik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</si>
</sst>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8" x14ac:knownFonts="1"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i/>
      <sz val="12"/>
      <color theme="1"/>
      <name val="Segoe UI"/>
      <family val="2"/>
    </font>
    <font>
      <vertAlign val="subscript"/>
      <sz val="9"/>
      <color theme="1"/>
      <name val="Segoe UI"/>
      <family val="2"/>
    </font>
    <font>
      <vertAlign val="superscript"/>
      <sz val="9"/>
      <color theme="1"/>
      <name val="Segoe UI"/>
      <family val="2"/>
    </font>
    <font>
      <u/>
      <sz val="9"/>
      <color theme="1"/>
      <name val="Segoe UI"/>
      <family val="2"/>
    </font>
    <font>
      <sz val="9"/>
      <color theme="1"/>
      <name val="Arial"/>
      <family val="2"/>
    </font>
    <font>
      <vertAlign val="subscript"/>
      <sz val="9"/>
      <color theme="1"/>
      <name val="Arial"/>
      <family val="2"/>
    </font>
    <font>
      <b/>
      <i/>
      <sz val="9"/>
      <color theme="1"/>
      <name val="Segoe UI"/>
      <family val="2"/>
    </font>
    <font>
      <sz val="9"/>
      <color theme="1"/>
      <name val="Calibri Light"/>
      <family val="2"/>
    </font>
    <font>
      <sz val="11.7"/>
      <color theme="1"/>
      <name val="Segoe UI"/>
      <family val="2"/>
    </font>
    <font>
      <b/>
      <sz val="9"/>
      <color rgb="FFFF000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35"/>
      <color theme="1"/>
      <name val="Segoe UI"/>
      <family val="2"/>
    </font>
    <font>
      <vertAlign val="superscript"/>
      <sz val="10.35"/>
      <color theme="1"/>
      <name val="Segoe UI"/>
      <family val="2"/>
    </font>
    <font>
      <vertAlign val="subscript"/>
      <sz val="10.35"/>
      <color theme="1"/>
      <name val="Segoe UI"/>
      <family val="2"/>
    </font>
    <font>
      <sz val="10.35"/>
      <color theme="1"/>
      <name val="Arial"/>
      <family val="2"/>
    </font>
    <font>
      <i/>
      <u/>
      <sz val="9"/>
      <color theme="1"/>
      <name val="Segoe UI"/>
      <family val="2"/>
    </font>
    <font>
      <i/>
      <sz val="9"/>
      <color theme="1"/>
      <name val="Segoe UI"/>
      <family val="2"/>
    </font>
    <font>
      <sz val="9"/>
      <color indexed="8"/>
      <name val="Segoe UI"/>
      <family val="2"/>
    </font>
    <font>
      <b/>
      <sz val="9"/>
      <color indexed="8"/>
      <name val="Segoe UI"/>
      <family val="2"/>
    </font>
    <font>
      <b/>
      <i/>
      <sz val="9"/>
      <color theme="0" tint="-0.499984740745262"/>
      <name val="Segoe UI"/>
      <family val="2"/>
    </font>
    <font>
      <sz val="9"/>
      <color theme="0" tint="-0.499984740745262"/>
      <name val="Segoe UI"/>
      <family val="2"/>
    </font>
    <font>
      <u/>
      <sz val="9"/>
      <color theme="0" tint="-0.499984740745262"/>
      <name val="Segoe UI"/>
      <family val="2"/>
    </font>
    <font>
      <vertAlign val="subscript"/>
      <sz val="9"/>
      <color theme="0" tint="-0.499984740745262"/>
      <name val="Segoe UI"/>
      <family val="2"/>
    </font>
    <font>
      <sz val="9"/>
      <color theme="0" tint="-0.499984740745262"/>
      <name val="Arial"/>
      <family val="2"/>
    </font>
    <font>
      <vertAlign val="subscript"/>
      <sz val="9"/>
      <color theme="0" tint="-0.499984740745262"/>
      <name val="Arial"/>
      <family val="2"/>
    </font>
    <font>
      <b/>
      <sz val="9"/>
      <color theme="0" tint="-0.499984740745262"/>
      <name val="Segoe UI"/>
      <family val="2"/>
    </font>
    <font>
      <sz val="9"/>
      <color theme="0" tint="-0.499984740745262"/>
      <name val="Calibri Light"/>
      <family val="2"/>
    </font>
    <font>
      <vertAlign val="superscript"/>
      <sz val="9"/>
      <color theme="0" tint="-0.499984740745262"/>
      <name val="Segoe UI"/>
      <family val="2"/>
    </font>
    <font>
      <sz val="11.7"/>
      <color theme="0" tint="-0.499984740745262"/>
      <name val="Segoe UI"/>
      <family val="2"/>
    </font>
    <font>
      <u/>
      <sz val="9"/>
      <color theme="0" tint="-0.34998626667073579"/>
      <name val="Segoe UI"/>
      <family val="2"/>
    </font>
    <font>
      <sz val="9"/>
      <color theme="0" tint="-0.34998626667073579"/>
      <name val="Segoe UI"/>
      <family val="2"/>
    </font>
    <font>
      <vertAlign val="subscript"/>
      <sz val="9"/>
      <color theme="0" tint="-0.34998626667073579"/>
      <name val="Segoe UI"/>
      <family val="2"/>
    </font>
    <font>
      <sz val="9"/>
      <color theme="0" tint="-0.34998626667073579"/>
      <name val="Arial"/>
      <family val="2"/>
    </font>
    <font>
      <vertAlign val="subscript"/>
      <sz val="9"/>
      <color theme="0" tint="-0.34998626667073579"/>
      <name val="Arial"/>
      <family val="2"/>
    </font>
    <font>
      <b/>
      <sz val="9"/>
      <color theme="0" tint="-0.3499862666707357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/>
    <xf numFmtId="0" fontId="0" fillId="2" borderId="1" xfId="0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11" fillId="0" borderId="0" xfId="0" applyFont="1" applyAlignment="1">
      <alignment horizontal="left"/>
    </xf>
    <xf numFmtId="1" fontId="0" fillId="0" borderId="0" xfId="0" applyNumberFormat="1"/>
    <xf numFmtId="3" fontId="0" fillId="0" borderId="1" xfId="0" applyNumberFormat="1" applyBorder="1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quotePrefix="1" applyAlignment="1">
      <alignment horizontal="right"/>
    </xf>
    <xf numFmtId="2" fontId="1" fillId="0" borderId="0" xfId="0" applyNumberFormat="1" applyFont="1"/>
    <xf numFmtId="3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left" indent="2"/>
    </xf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0" fillId="3" borderId="0" xfId="0" applyFill="1"/>
    <xf numFmtId="0" fontId="18" fillId="0" borderId="0" xfId="0" applyFont="1"/>
    <xf numFmtId="0" fontId="2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0" fontId="0" fillId="0" borderId="1" xfId="0" quotePrefix="1" applyBorder="1" applyAlignment="1">
      <alignment horizontal="center"/>
    </xf>
    <xf numFmtId="0" fontId="21" fillId="0" borderId="0" xfId="0" applyFont="1"/>
    <xf numFmtId="1" fontId="0" fillId="2" borderId="0" xfId="0" applyNumberFormat="1" applyFill="1" applyAlignment="1">
      <alignment horizontal="center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3" fillId="0" borderId="1" xfId="0" applyFont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11" fontId="23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4" fontId="23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2" fontId="28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1" fontId="23" fillId="0" borderId="1" xfId="0" applyNumberFormat="1" applyFont="1" applyBorder="1" applyAlignment="1">
      <alignment horizontal="center"/>
    </xf>
    <xf numFmtId="0" fontId="23" fillId="0" borderId="0" xfId="0" applyFont="1" applyAlignment="1">
      <alignment horizontal="left"/>
    </xf>
    <xf numFmtId="2" fontId="23" fillId="0" borderId="0" xfId="0" applyNumberFormat="1" applyFont="1" applyAlignment="1">
      <alignment horizontal="center"/>
    </xf>
    <xf numFmtId="0" fontId="23" fillId="0" borderId="0" xfId="0" quotePrefix="1" applyFont="1" applyAlignment="1">
      <alignment horizontal="center"/>
    </xf>
    <xf numFmtId="0" fontId="28" fillId="0" borderId="0" xfId="0" applyFont="1" applyAlignment="1">
      <alignment horizontal="center"/>
    </xf>
    <xf numFmtId="0" fontId="32" fillId="0" borderId="0" xfId="0" applyFont="1"/>
    <xf numFmtId="0" fontId="33" fillId="0" borderId="0" xfId="0" applyFont="1"/>
    <xf numFmtId="0" fontId="33" fillId="0" borderId="0" xfId="0" applyFont="1" applyAlignment="1">
      <alignment horizontal="center"/>
    </xf>
    <xf numFmtId="0" fontId="33" fillId="0" borderId="1" xfId="0" applyFont="1" applyBorder="1" applyAlignment="1">
      <alignment horizontal="center"/>
    </xf>
    <xf numFmtId="0" fontId="33" fillId="2" borderId="1" xfId="0" applyFont="1" applyFill="1" applyBorder="1" applyAlignment="1">
      <alignment horizontal="center"/>
    </xf>
    <xf numFmtId="11" fontId="33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64" fontId="33" fillId="0" borderId="0" xfId="0" applyNumberFormat="1" applyFont="1" applyAlignment="1">
      <alignment horizontal="center"/>
    </xf>
    <xf numFmtId="3" fontId="33" fillId="0" borderId="0" xfId="0" applyNumberFormat="1" applyFont="1" applyAlignment="1">
      <alignment horizontal="center"/>
    </xf>
    <xf numFmtId="2" fontId="37" fillId="0" borderId="0" xfId="0" applyNumberFormat="1" applyFont="1" applyAlignment="1">
      <alignment horizontal="center"/>
    </xf>
    <xf numFmtId="1" fontId="33" fillId="0" borderId="0" xfId="0" applyNumberFormat="1" applyFont="1" applyAlignment="1">
      <alignment horizontal="center"/>
    </xf>
    <xf numFmtId="0" fontId="33" fillId="2" borderId="0" xfId="0" applyFont="1" applyFill="1" applyAlignment="1">
      <alignment horizontal="center"/>
    </xf>
    <xf numFmtId="2" fontId="33" fillId="0" borderId="0" xfId="0" applyNumberFormat="1" applyFont="1" applyAlignment="1">
      <alignment horizontal="center"/>
    </xf>
    <xf numFmtId="3" fontId="0" fillId="4" borderId="0" xfId="0" applyNumberFormat="1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165" fontId="0" fillId="0" borderId="0" xfId="0" applyNumberFormat="1" applyAlignment="1">
      <alignment horizontal="center"/>
    </xf>
    <xf numFmtId="165" fontId="21" fillId="0" borderId="0" xfId="0" applyNumberFormat="1" applyFont="1" applyAlignment="1">
      <alignment horizontal="center"/>
    </xf>
    <xf numFmtId="165" fontId="20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  <fill>
        <patternFill>
          <bgColor theme="5" tint="0.39994506668294322"/>
        </patternFill>
      </fill>
    </dxf>
    <dxf>
      <font>
        <b val="0"/>
        <i val="0"/>
        <color rgb="FFFF00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54</xdr:row>
      <xdr:rowOff>140368</xdr:rowOff>
    </xdr:from>
    <xdr:to>
      <xdr:col>6</xdr:col>
      <xdr:colOff>503221</xdr:colOff>
      <xdr:row>58</xdr:row>
      <xdr:rowOff>17512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FEF81707-D673-4DDD-9703-51EC14C17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7900" y="9027193"/>
          <a:ext cx="1568116" cy="49055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54</xdr:row>
      <xdr:rowOff>140368</xdr:rowOff>
    </xdr:from>
    <xdr:to>
      <xdr:col>6</xdr:col>
      <xdr:colOff>503221</xdr:colOff>
      <xdr:row>58</xdr:row>
      <xdr:rowOff>17512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5D1A3E23-92B8-4EB3-9C69-08A93F7C7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7900" y="8970043"/>
          <a:ext cx="1568116" cy="49055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105</xdr:row>
      <xdr:rowOff>140368</xdr:rowOff>
    </xdr:from>
    <xdr:to>
      <xdr:col>6</xdr:col>
      <xdr:colOff>503221</xdr:colOff>
      <xdr:row>109</xdr:row>
      <xdr:rowOff>17511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160FBA7F-9231-4F39-87A1-6F554FA62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7900" y="17228218"/>
          <a:ext cx="1568116" cy="49055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55</xdr:row>
      <xdr:rowOff>140368</xdr:rowOff>
    </xdr:from>
    <xdr:to>
      <xdr:col>6</xdr:col>
      <xdr:colOff>503221</xdr:colOff>
      <xdr:row>59</xdr:row>
      <xdr:rowOff>17512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5B5713B2-7A54-4376-B55C-A26BC35B2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7900" y="9122443"/>
          <a:ext cx="1568116" cy="4905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356153</xdr:colOff>
      <xdr:row>32</xdr:row>
      <xdr:rowOff>0</xdr:rowOff>
    </xdr:from>
    <xdr:to>
      <xdr:col>4</xdr:col>
      <xdr:colOff>488675</xdr:colOff>
      <xdr:row>34</xdr:row>
      <xdr:rowOff>8282</xdr:rowOff>
    </xdr:to>
    <xdr:sp macro="" textlink="">
      <xdr:nvSpPr>
        <xdr:cNvPr id="2" name="Rechteraccolade 1">
          <a:extLst>
            <a:ext uri="{FF2B5EF4-FFF2-40B4-BE49-F238E27FC236}">
              <a16:creationId xmlns:a16="http://schemas.microsoft.com/office/drawing/2014/main" id="{43FEF2EE-1E5A-4ABE-921B-61F790B14618}"/>
            </a:ext>
          </a:extLst>
        </xdr:cNvPr>
        <xdr:cNvSpPr/>
      </xdr:nvSpPr>
      <xdr:spPr>
        <a:xfrm>
          <a:off x="2816088" y="5201478"/>
          <a:ext cx="132522" cy="356152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 editAs="oneCell">
    <xdr:from>
      <xdr:col>14</xdr:col>
      <xdr:colOff>47625</xdr:colOff>
      <xdr:row>22</xdr:row>
      <xdr:rowOff>9525</xdr:rowOff>
    </xdr:from>
    <xdr:to>
      <xdr:col>30</xdr:col>
      <xdr:colOff>21967</xdr:colOff>
      <xdr:row>54</xdr:row>
      <xdr:rowOff>58466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2CA8BC89-C593-4EC8-B41F-C902BFB59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9575" y="3648075"/>
          <a:ext cx="8516362" cy="5245781"/>
        </a:xfrm>
        <a:prstGeom prst="rect">
          <a:avLst/>
        </a:prstGeom>
      </xdr:spPr>
    </xdr:pic>
    <xdr:clientData/>
  </xdr:twoCellAnchor>
  <xdr:twoCellAnchor>
    <xdr:from>
      <xdr:col>19</xdr:col>
      <xdr:colOff>323022</xdr:colOff>
      <xdr:row>23</xdr:row>
      <xdr:rowOff>1</xdr:rowOff>
    </xdr:from>
    <xdr:to>
      <xdr:col>19</xdr:col>
      <xdr:colOff>352425</xdr:colOff>
      <xdr:row>52</xdr:row>
      <xdr:rowOff>28575</xdr:rowOff>
    </xdr:to>
    <xdr:cxnSp macro="">
      <xdr:nvCxnSpPr>
        <xdr:cNvPr id="6" name="Rechte verbindingslijn 5">
          <a:extLst>
            <a:ext uri="{FF2B5EF4-FFF2-40B4-BE49-F238E27FC236}">
              <a16:creationId xmlns:a16="http://schemas.microsoft.com/office/drawing/2014/main" id="{3D89499E-8C38-487A-BFB5-8D8345C36EFF}"/>
            </a:ext>
          </a:extLst>
        </xdr:cNvPr>
        <xdr:cNvCxnSpPr/>
      </xdr:nvCxnSpPr>
      <xdr:spPr>
        <a:xfrm flipH="1" flipV="1">
          <a:off x="11391072" y="3819526"/>
          <a:ext cx="29403" cy="4391024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190500</xdr:colOff>
      <xdr:row>30</xdr:row>
      <xdr:rowOff>140805</xdr:rowOff>
    </xdr:from>
    <xdr:to>
      <xdr:col>20</xdr:col>
      <xdr:colOff>33131</xdr:colOff>
      <xdr:row>31</xdr:row>
      <xdr:rowOff>16566</xdr:rowOff>
    </xdr:to>
    <xdr:cxnSp macro="">
      <xdr:nvCxnSpPr>
        <xdr:cNvPr id="8" name="Rechte verbindingslijn 7">
          <a:extLst>
            <a:ext uri="{FF2B5EF4-FFF2-40B4-BE49-F238E27FC236}">
              <a16:creationId xmlns:a16="http://schemas.microsoft.com/office/drawing/2014/main" id="{BBA0F719-14DA-4F20-AB1C-1A24767D4279}"/>
            </a:ext>
          </a:extLst>
        </xdr:cNvPr>
        <xdr:cNvCxnSpPr/>
      </xdr:nvCxnSpPr>
      <xdr:spPr>
        <a:xfrm flipH="1">
          <a:off x="9094304" y="5044109"/>
          <a:ext cx="2493066" cy="2484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397565</xdr:colOff>
      <xdr:row>30</xdr:row>
      <xdr:rowOff>16566</xdr:rowOff>
    </xdr:from>
    <xdr:to>
      <xdr:col>15</xdr:col>
      <xdr:colOff>347870</xdr:colOff>
      <xdr:row>31</xdr:row>
      <xdr:rowOff>124240</xdr:rowOff>
    </xdr:to>
    <xdr:sp macro="" textlink="">
      <xdr:nvSpPr>
        <xdr:cNvPr id="9" name="Tekstvak 8">
          <a:extLst>
            <a:ext uri="{FF2B5EF4-FFF2-40B4-BE49-F238E27FC236}">
              <a16:creationId xmlns:a16="http://schemas.microsoft.com/office/drawing/2014/main" id="{E4D4FBA4-BBE5-405F-8872-F9373024B3A2}"/>
            </a:ext>
          </a:extLst>
        </xdr:cNvPr>
        <xdr:cNvSpPr txBox="1"/>
      </xdr:nvSpPr>
      <xdr:spPr>
        <a:xfrm>
          <a:off x="8771282" y="4919870"/>
          <a:ext cx="480392" cy="2567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0,75</a:t>
          </a:r>
        </a:p>
      </xdr:txBody>
    </xdr:sp>
    <xdr:clientData/>
  </xdr:twoCellAnchor>
  <xdr:twoCellAnchor>
    <xdr:from>
      <xdr:col>2</xdr:col>
      <xdr:colOff>375203</xdr:colOff>
      <xdr:row>56</xdr:row>
      <xdr:rowOff>142875</xdr:rowOff>
    </xdr:from>
    <xdr:to>
      <xdr:col>2</xdr:col>
      <xdr:colOff>507725</xdr:colOff>
      <xdr:row>58</xdr:row>
      <xdr:rowOff>170207</xdr:rowOff>
    </xdr:to>
    <xdr:sp macro="" textlink="">
      <xdr:nvSpPr>
        <xdr:cNvPr id="11" name="Rechteraccolade 10">
          <a:extLst>
            <a:ext uri="{FF2B5EF4-FFF2-40B4-BE49-F238E27FC236}">
              <a16:creationId xmlns:a16="http://schemas.microsoft.com/office/drawing/2014/main" id="{CF54BDE0-F95B-4D2E-AB35-5F2E92B65102}"/>
            </a:ext>
          </a:extLst>
        </xdr:cNvPr>
        <xdr:cNvSpPr/>
      </xdr:nvSpPr>
      <xdr:spPr>
        <a:xfrm>
          <a:off x="1784903" y="8934450"/>
          <a:ext cx="132522" cy="351182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14</xdr:col>
      <xdr:colOff>17320</xdr:colOff>
      <xdr:row>2</xdr:row>
      <xdr:rowOff>69273</xdr:rowOff>
    </xdr:from>
    <xdr:to>
      <xdr:col>15</xdr:col>
      <xdr:colOff>251115</xdr:colOff>
      <xdr:row>14</xdr:row>
      <xdr:rowOff>0</xdr:rowOff>
    </xdr:to>
    <xdr:cxnSp macro="">
      <xdr:nvCxnSpPr>
        <xdr:cNvPr id="13" name="Verbindingslijn: gekromd 12">
          <a:extLst>
            <a:ext uri="{FF2B5EF4-FFF2-40B4-BE49-F238E27FC236}">
              <a16:creationId xmlns:a16="http://schemas.microsoft.com/office/drawing/2014/main" id="{063A0227-68C3-4D6A-8923-57EA88C6408A}"/>
            </a:ext>
          </a:extLst>
        </xdr:cNvPr>
        <xdr:cNvCxnSpPr/>
      </xdr:nvCxnSpPr>
      <xdr:spPr>
        <a:xfrm rot="5400000">
          <a:off x="7892763" y="991466"/>
          <a:ext cx="1870363" cy="770659"/>
        </a:xfrm>
        <a:prstGeom prst="curved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17319</xdr:colOff>
      <xdr:row>14</xdr:row>
      <xdr:rowOff>0</xdr:rowOff>
    </xdr:from>
    <xdr:to>
      <xdr:col>14</xdr:col>
      <xdr:colOff>25978</xdr:colOff>
      <xdr:row>21</xdr:row>
      <xdr:rowOff>0</xdr:rowOff>
    </xdr:to>
    <xdr:cxnSp macro="">
      <xdr:nvCxnSpPr>
        <xdr:cNvPr id="15" name="Rechte verbindingslijn 14">
          <a:extLst>
            <a:ext uri="{FF2B5EF4-FFF2-40B4-BE49-F238E27FC236}">
              <a16:creationId xmlns:a16="http://schemas.microsoft.com/office/drawing/2014/main" id="{F57C9467-A853-4680-80B9-A72A753B5537}"/>
            </a:ext>
          </a:extLst>
        </xdr:cNvPr>
        <xdr:cNvCxnSpPr/>
      </xdr:nvCxnSpPr>
      <xdr:spPr>
        <a:xfrm>
          <a:off x="8442614" y="2311977"/>
          <a:ext cx="8659" cy="12036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363682</xdr:colOff>
      <xdr:row>2</xdr:row>
      <xdr:rowOff>77932</xdr:rowOff>
    </xdr:from>
    <xdr:to>
      <xdr:col>15</xdr:col>
      <xdr:colOff>389659</xdr:colOff>
      <xdr:row>14</xdr:row>
      <xdr:rowOff>25978</xdr:rowOff>
    </xdr:to>
    <xdr:cxnSp macro="">
      <xdr:nvCxnSpPr>
        <xdr:cNvPr id="17" name="Rechte verbindingslijn met pijl 16">
          <a:extLst>
            <a:ext uri="{FF2B5EF4-FFF2-40B4-BE49-F238E27FC236}">
              <a16:creationId xmlns:a16="http://schemas.microsoft.com/office/drawing/2014/main" id="{C7E39A12-54F1-4BA5-AC0C-E3110685CAD3}"/>
            </a:ext>
          </a:extLst>
        </xdr:cNvPr>
        <xdr:cNvCxnSpPr/>
      </xdr:nvCxnSpPr>
      <xdr:spPr>
        <a:xfrm flipH="1">
          <a:off x="9325841" y="450273"/>
          <a:ext cx="25977" cy="18876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31023</xdr:colOff>
      <xdr:row>55</xdr:row>
      <xdr:rowOff>27273</xdr:rowOff>
    </xdr:from>
    <xdr:to>
      <xdr:col>26</xdr:col>
      <xdr:colOff>50920</xdr:colOff>
      <xdr:row>81</xdr:row>
      <xdr:rowOff>168143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2E44FF-3C00-05DC-3CD8-DED21E12B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1880" y="9878844"/>
          <a:ext cx="6714611" cy="47536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356153</xdr:colOff>
      <xdr:row>32</xdr:row>
      <xdr:rowOff>0</xdr:rowOff>
    </xdr:from>
    <xdr:to>
      <xdr:col>4</xdr:col>
      <xdr:colOff>488675</xdr:colOff>
      <xdr:row>34</xdr:row>
      <xdr:rowOff>8282</xdr:rowOff>
    </xdr:to>
    <xdr:sp macro="" textlink="">
      <xdr:nvSpPr>
        <xdr:cNvPr id="2" name="Rechteraccolade 1">
          <a:extLst>
            <a:ext uri="{FF2B5EF4-FFF2-40B4-BE49-F238E27FC236}">
              <a16:creationId xmlns:a16="http://schemas.microsoft.com/office/drawing/2014/main" id="{22C82E24-6D92-470C-BEE3-110C7E0FABD2}"/>
            </a:ext>
          </a:extLst>
        </xdr:cNvPr>
        <xdr:cNvSpPr/>
      </xdr:nvSpPr>
      <xdr:spPr>
        <a:xfrm>
          <a:off x="2956478" y="5286375"/>
          <a:ext cx="132522" cy="351182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29</xdr:col>
      <xdr:colOff>511552</xdr:colOff>
      <xdr:row>54</xdr:row>
      <xdr:rowOff>35606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E106E58E-470C-4FE7-B7A0-7F2C25DBB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1950" y="3638550"/>
          <a:ext cx="8516362" cy="5240585"/>
        </a:xfrm>
        <a:prstGeom prst="rect">
          <a:avLst/>
        </a:prstGeom>
      </xdr:spPr>
    </xdr:pic>
    <xdr:clientData/>
  </xdr:twoCellAnchor>
  <xdr:twoCellAnchor>
    <xdr:from>
      <xdr:col>19</xdr:col>
      <xdr:colOff>323022</xdr:colOff>
      <xdr:row>23</xdr:row>
      <xdr:rowOff>1</xdr:rowOff>
    </xdr:from>
    <xdr:to>
      <xdr:col>19</xdr:col>
      <xdr:colOff>352425</xdr:colOff>
      <xdr:row>52</xdr:row>
      <xdr:rowOff>28575</xdr:rowOff>
    </xdr:to>
    <xdr:cxnSp macro="">
      <xdr:nvCxnSpPr>
        <xdr:cNvPr id="4" name="Rechte verbindingslijn 3">
          <a:extLst>
            <a:ext uri="{FF2B5EF4-FFF2-40B4-BE49-F238E27FC236}">
              <a16:creationId xmlns:a16="http://schemas.microsoft.com/office/drawing/2014/main" id="{66BD90BC-2BEF-47A8-A3E8-F8C01CC5F0DA}"/>
            </a:ext>
          </a:extLst>
        </xdr:cNvPr>
        <xdr:cNvCxnSpPr/>
      </xdr:nvCxnSpPr>
      <xdr:spPr>
        <a:xfrm flipH="1" flipV="1">
          <a:off x="10971972" y="3838576"/>
          <a:ext cx="29403" cy="4352924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190500</xdr:colOff>
      <xdr:row>30</xdr:row>
      <xdr:rowOff>140805</xdr:rowOff>
    </xdr:from>
    <xdr:to>
      <xdr:col>20</xdr:col>
      <xdr:colOff>33131</xdr:colOff>
      <xdr:row>31</xdr:row>
      <xdr:rowOff>16566</xdr:rowOff>
    </xdr:to>
    <xdr:cxnSp macro="">
      <xdr:nvCxnSpPr>
        <xdr:cNvPr id="5" name="Rechte verbindingslijn 4">
          <a:extLst>
            <a:ext uri="{FF2B5EF4-FFF2-40B4-BE49-F238E27FC236}">
              <a16:creationId xmlns:a16="http://schemas.microsoft.com/office/drawing/2014/main" id="{6333E55F-0F50-46C6-853C-7CAD6A2883F7}"/>
            </a:ext>
          </a:extLst>
        </xdr:cNvPr>
        <xdr:cNvCxnSpPr/>
      </xdr:nvCxnSpPr>
      <xdr:spPr>
        <a:xfrm flipH="1">
          <a:off x="8705850" y="5122380"/>
          <a:ext cx="2509631" cy="28161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397565</xdr:colOff>
      <xdr:row>30</xdr:row>
      <xdr:rowOff>16566</xdr:rowOff>
    </xdr:from>
    <xdr:to>
      <xdr:col>15</xdr:col>
      <xdr:colOff>347870</xdr:colOff>
      <xdr:row>31</xdr:row>
      <xdr:rowOff>124240</xdr:rowOff>
    </xdr:to>
    <xdr:sp macro="" textlink="">
      <xdr:nvSpPr>
        <xdr:cNvPr id="6" name="Tekstvak 5">
          <a:extLst>
            <a:ext uri="{FF2B5EF4-FFF2-40B4-BE49-F238E27FC236}">
              <a16:creationId xmlns:a16="http://schemas.microsoft.com/office/drawing/2014/main" id="{B7066188-E654-4B0A-951E-2E7DE3B4CE05}"/>
            </a:ext>
          </a:extLst>
        </xdr:cNvPr>
        <xdr:cNvSpPr txBox="1"/>
      </xdr:nvSpPr>
      <xdr:spPr>
        <a:xfrm>
          <a:off x="8379515" y="4998141"/>
          <a:ext cx="483705" cy="260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0,75</a:t>
          </a:r>
        </a:p>
      </xdr:txBody>
    </xdr:sp>
    <xdr:clientData/>
  </xdr:twoCellAnchor>
  <xdr:twoCellAnchor>
    <xdr:from>
      <xdr:col>2</xdr:col>
      <xdr:colOff>375203</xdr:colOff>
      <xdr:row>56</xdr:row>
      <xdr:rowOff>142875</xdr:rowOff>
    </xdr:from>
    <xdr:to>
      <xdr:col>2</xdr:col>
      <xdr:colOff>507725</xdr:colOff>
      <xdr:row>58</xdr:row>
      <xdr:rowOff>170207</xdr:rowOff>
    </xdr:to>
    <xdr:sp macro="" textlink="">
      <xdr:nvSpPr>
        <xdr:cNvPr id="7" name="Rechteraccolade 6">
          <a:extLst>
            <a:ext uri="{FF2B5EF4-FFF2-40B4-BE49-F238E27FC236}">
              <a16:creationId xmlns:a16="http://schemas.microsoft.com/office/drawing/2014/main" id="{A2AF3D9E-799D-400A-AA13-50C919B3FA1A}"/>
            </a:ext>
          </a:extLst>
        </xdr:cNvPr>
        <xdr:cNvSpPr/>
      </xdr:nvSpPr>
      <xdr:spPr>
        <a:xfrm>
          <a:off x="1784903" y="8934450"/>
          <a:ext cx="132522" cy="351182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14</xdr:col>
      <xdr:colOff>17320</xdr:colOff>
      <xdr:row>2</xdr:row>
      <xdr:rowOff>69273</xdr:rowOff>
    </xdr:from>
    <xdr:to>
      <xdr:col>15</xdr:col>
      <xdr:colOff>251115</xdr:colOff>
      <xdr:row>14</xdr:row>
      <xdr:rowOff>0</xdr:rowOff>
    </xdr:to>
    <xdr:cxnSp macro="">
      <xdr:nvCxnSpPr>
        <xdr:cNvPr id="8" name="Verbindingslijn: gekromd 7">
          <a:extLst>
            <a:ext uri="{FF2B5EF4-FFF2-40B4-BE49-F238E27FC236}">
              <a16:creationId xmlns:a16="http://schemas.microsoft.com/office/drawing/2014/main" id="{2EC5802D-1E5D-463D-A341-CBCC97A25297}"/>
            </a:ext>
          </a:extLst>
        </xdr:cNvPr>
        <xdr:cNvCxnSpPr/>
      </xdr:nvCxnSpPr>
      <xdr:spPr>
        <a:xfrm rot="5400000">
          <a:off x="7455479" y="984539"/>
          <a:ext cx="1854777" cy="767195"/>
        </a:xfrm>
        <a:prstGeom prst="curved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17319</xdr:colOff>
      <xdr:row>14</xdr:row>
      <xdr:rowOff>0</xdr:rowOff>
    </xdr:from>
    <xdr:to>
      <xdr:col>14</xdr:col>
      <xdr:colOff>25978</xdr:colOff>
      <xdr:row>21</xdr:row>
      <xdr:rowOff>0</xdr:rowOff>
    </xdr:to>
    <xdr:cxnSp macro="">
      <xdr:nvCxnSpPr>
        <xdr:cNvPr id="9" name="Rechte verbindingslijn 8">
          <a:extLst>
            <a:ext uri="{FF2B5EF4-FFF2-40B4-BE49-F238E27FC236}">
              <a16:creationId xmlns:a16="http://schemas.microsoft.com/office/drawing/2014/main" id="{AFA96C56-F40A-46B3-801F-6C55B27484BC}"/>
            </a:ext>
          </a:extLst>
        </xdr:cNvPr>
        <xdr:cNvCxnSpPr/>
      </xdr:nvCxnSpPr>
      <xdr:spPr>
        <a:xfrm>
          <a:off x="7999269" y="2295525"/>
          <a:ext cx="8659" cy="1190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363682</xdr:colOff>
      <xdr:row>2</xdr:row>
      <xdr:rowOff>77932</xdr:rowOff>
    </xdr:from>
    <xdr:to>
      <xdr:col>15</xdr:col>
      <xdr:colOff>389659</xdr:colOff>
      <xdr:row>14</xdr:row>
      <xdr:rowOff>25978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1DE94C0B-2703-4972-A416-97DE5CCBC1EA}"/>
            </a:ext>
          </a:extLst>
        </xdr:cNvPr>
        <xdr:cNvCxnSpPr/>
      </xdr:nvCxnSpPr>
      <xdr:spPr>
        <a:xfrm flipH="1">
          <a:off x="8879032" y="449407"/>
          <a:ext cx="25977" cy="187209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3B72-3AD1-4C47-82CA-33E0207C527A}">
  <dimension ref="A1:L110"/>
  <sheetViews>
    <sheetView view="pageBreakPreview" topLeftCell="A29" zoomScale="115" zoomScaleNormal="115" zoomScaleSheetLayoutView="115" workbookViewId="0">
      <selection activeCell="K104" sqref="K104"/>
    </sheetView>
  </sheetViews>
  <sheetFormatPr defaultRowHeight="13.2" x14ac:dyDescent="0.3"/>
  <cols>
    <col min="2" max="2" width="11.375" bestFit="1" customWidth="1"/>
    <col min="3" max="8" width="9.375" style="2"/>
    <col min="9" max="9" width="11.125" style="2" bestFit="1" customWidth="1"/>
    <col min="10" max="10" width="9.375" style="2"/>
  </cols>
  <sheetData>
    <row r="1" spans="1:12" s="1" customFormat="1" ht="19.2" x14ac:dyDescent="0.45">
      <c r="A1" s="1" t="s">
        <v>0</v>
      </c>
      <c r="C1" s="1" t="s">
        <v>180</v>
      </c>
      <c r="D1" s="14"/>
      <c r="E1" s="14" t="s">
        <v>107</v>
      </c>
      <c r="F1" s="14"/>
      <c r="G1" s="14"/>
      <c r="H1" s="14"/>
      <c r="I1" s="14"/>
      <c r="J1" s="14"/>
    </row>
    <row r="3" spans="1:12" x14ac:dyDescent="0.3">
      <c r="A3" s="5" t="s">
        <v>3</v>
      </c>
    </row>
    <row r="4" spans="1:12" x14ac:dyDescent="0.3">
      <c r="C4" s="2" t="s">
        <v>5</v>
      </c>
      <c r="D4" s="2" t="s">
        <v>109</v>
      </c>
      <c r="E4" s="2" t="s">
        <v>7</v>
      </c>
      <c r="F4" s="2" t="s">
        <v>14</v>
      </c>
      <c r="G4" s="2" t="s">
        <v>13</v>
      </c>
      <c r="H4" s="2" t="s">
        <v>8</v>
      </c>
      <c r="I4" s="2" t="s">
        <v>15</v>
      </c>
      <c r="J4" s="2" t="s">
        <v>16</v>
      </c>
      <c r="K4" s="2" t="s">
        <v>4</v>
      </c>
      <c r="L4" s="2" t="s">
        <v>146</v>
      </c>
    </row>
    <row r="5" spans="1:12" ht="13.8" x14ac:dyDescent="0.3">
      <c r="C5" s="2" t="s">
        <v>10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10</v>
      </c>
      <c r="K5" s="2" t="s">
        <v>11</v>
      </c>
      <c r="L5" s="2" t="s">
        <v>11</v>
      </c>
    </row>
    <row r="6" spans="1:12" x14ac:dyDescent="0.3">
      <c r="B6" s="3"/>
      <c r="C6" s="4" t="s">
        <v>6</v>
      </c>
      <c r="D6" s="4"/>
      <c r="E6" s="4"/>
      <c r="F6" s="4"/>
      <c r="G6" s="4"/>
      <c r="H6" s="4"/>
      <c r="I6" s="4"/>
      <c r="J6" s="4" t="s">
        <v>6</v>
      </c>
      <c r="K6" s="4" t="s">
        <v>12</v>
      </c>
      <c r="L6" s="4" t="s">
        <v>12</v>
      </c>
    </row>
    <row r="7" spans="1:12" x14ac:dyDescent="0.3">
      <c r="B7" s="12" t="s">
        <v>156</v>
      </c>
      <c r="C7" s="13">
        <v>346.8</v>
      </c>
      <c r="D7" s="13">
        <v>990</v>
      </c>
      <c r="E7" s="13">
        <v>300</v>
      </c>
      <c r="F7" s="13">
        <v>16.5</v>
      </c>
      <c r="G7" s="13">
        <v>31</v>
      </c>
      <c r="H7" s="13">
        <v>30</v>
      </c>
      <c r="I7" s="13">
        <v>868</v>
      </c>
      <c r="J7" s="46">
        <f>MAX((C7*100-(2*E7*G7)+(F7+2*H7)*G7),(I7*F7))/100</f>
        <v>184.51499999999999</v>
      </c>
      <c r="K7" s="13">
        <v>12824</v>
      </c>
      <c r="L7" s="13">
        <v>1470</v>
      </c>
    </row>
    <row r="8" spans="1:12" x14ac:dyDescent="0.3">
      <c r="B8" t="s">
        <v>157</v>
      </c>
      <c r="C8" s="2">
        <f>2*C7</f>
        <v>693.6</v>
      </c>
      <c r="J8" s="11">
        <f t="shared" ref="J8:K8" si="0">2*J7</f>
        <v>369.03</v>
      </c>
      <c r="K8" s="2">
        <f t="shared" si="0"/>
        <v>25648</v>
      </c>
      <c r="L8" s="13">
        <v>10410</v>
      </c>
    </row>
    <row r="9" spans="1:12" x14ac:dyDescent="0.3">
      <c r="B9" s="12" t="s">
        <v>17</v>
      </c>
      <c r="C9" s="13">
        <v>444.2</v>
      </c>
      <c r="D9" s="13">
        <v>1008</v>
      </c>
      <c r="E9" s="13">
        <v>302</v>
      </c>
      <c r="F9" s="13">
        <v>21</v>
      </c>
      <c r="G9" s="13">
        <v>40</v>
      </c>
      <c r="H9" s="13">
        <v>30</v>
      </c>
      <c r="I9" s="13">
        <v>868</v>
      </c>
      <c r="J9" s="13">
        <f>MAX((C9*100-(2*E9*G9)+(F9+2*H9)*G9),(I9*F9))/100</f>
        <v>235</v>
      </c>
      <c r="K9" s="13">
        <v>16568</v>
      </c>
      <c r="L9" s="13">
        <v>1940</v>
      </c>
    </row>
    <row r="10" spans="1:12" x14ac:dyDescent="0.3">
      <c r="B10" t="s">
        <v>181</v>
      </c>
      <c r="C10" s="2">
        <f>3*C9</f>
        <v>1332.6</v>
      </c>
      <c r="J10" s="2">
        <f>3*J9</f>
        <v>705</v>
      </c>
      <c r="K10" s="2">
        <f>3*K9</f>
        <v>49704</v>
      </c>
      <c r="L10" s="13">
        <v>17121</v>
      </c>
    </row>
    <row r="13" spans="1:12" x14ac:dyDescent="0.3">
      <c r="A13" s="47" t="s">
        <v>158</v>
      </c>
      <c r="B13" s="48"/>
      <c r="C13" s="49"/>
      <c r="D13" s="49"/>
      <c r="E13" s="49"/>
      <c r="F13" s="49"/>
      <c r="G13" s="49"/>
      <c r="H13" s="49"/>
      <c r="I13" s="49"/>
      <c r="J13" s="49"/>
      <c r="K13" s="48"/>
      <c r="L13" s="48"/>
    </row>
    <row r="14" spans="1:12" x14ac:dyDescent="0.3">
      <c r="A14" s="48"/>
      <c r="B14" s="48"/>
      <c r="C14" s="49"/>
      <c r="D14" s="49"/>
      <c r="E14" s="49"/>
      <c r="F14" s="49"/>
      <c r="G14" s="49"/>
      <c r="H14" s="49"/>
      <c r="I14" s="49"/>
      <c r="J14" s="49"/>
      <c r="K14" s="48"/>
      <c r="L14" s="48"/>
    </row>
    <row r="15" spans="1:12" x14ac:dyDescent="0.3">
      <c r="A15" s="50" t="s">
        <v>18</v>
      </c>
      <c r="B15" s="48"/>
      <c r="C15" s="49"/>
      <c r="D15" s="49"/>
      <c r="E15" s="49"/>
      <c r="F15" s="49"/>
      <c r="G15" s="49"/>
      <c r="H15" s="49"/>
      <c r="I15" s="49"/>
      <c r="J15" s="49"/>
      <c r="K15" s="48"/>
      <c r="L15" s="48"/>
    </row>
    <row r="16" spans="1:12" x14ac:dyDescent="0.3">
      <c r="A16" s="48" t="s">
        <v>159</v>
      </c>
      <c r="B16" s="48"/>
      <c r="C16" s="51" t="s">
        <v>160</v>
      </c>
      <c r="D16" s="49" t="s">
        <v>22</v>
      </c>
      <c r="E16" s="51">
        <f>K8</f>
        <v>25648</v>
      </c>
      <c r="F16" s="51" t="s">
        <v>24</v>
      </c>
      <c r="G16" s="52">
        <v>355</v>
      </c>
      <c r="H16" s="49" t="s">
        <v>22</v>
      </c>
      <c r="I16" s="53">
        <f>E16*1000*G16</f>
        <v>9105040000</v>
      </c>
      <c r="J16" s="49" t="s">
        <v>25</v>
      </c>
      <c r="K16" s="48"/>
      <c r="L16" s="48"/>
    </row>
    <row r="17" spans="1:12" ht="15" x14ac:dyDescent="0.35">
      <c r="A17" s="48"/>
      <c r="B17" s="48"/>
      <c r="C17" s="54" t="s">
        <v>161</v>
      </c>
      <c r="D17" s="49"/>
      <c r="E17" s="49"/>
      <c r="F17" s="55">
        <v>1</v>
      </c>
      <c r="G17" s="49"/>
      <c r="H17" s="49"/>
      <c r="I17" s="49"/>
      <c r="J17" s="49"/>
      <c r="K17" s="48"/>
      <c r="L17" s="48"/>
    </row>
    <row r="18" spans="1:12" x14ac:dyDescent="0.3">
      <c r="A18" s="48"/>
      <c r="B18" s="48"/>
      <c r="C18" s="49"/>
      <c r="D18" s="49"/>
      <c r="E18" s="49"/>
      <c r="F18" s="49"/>
      <c r="G18" s="49"/>
      <c r="H18" s="49" t="s">
        <v>22</v>
      </c>
      <c r="I18" s="56">
        <f>I16/1000000</f>
        <v>9105.0400000000009</v>
      </c>
      <c r="J18" s="49" t="s">
        <v>26</v>
      </c>
      <c r="K18" s="48"/>
      <c r="L18" s="48"/>
    </row>
    <row r="19" spans="1:12" x14ac:dyDescent="0.3">
      <c r="A19" s="48"/>
      <c r="B19" s="48"/>
      <c r="C19" s="49"/>
      <c r="D19" s="49"/>
      <c r="E19" s="49"/>
      <c r="F19" s="49"/>
      <c r="G19" s="49"/>
      <c r="H19" s="49"/>
      <c r="I19" s="49"/>
      <c r="J19" s="49"/>
      <c r="K19" s="48"/>
      <c r="L19" s="48"/>
    </row>
    <row r="20" spans="1:12" x14ac:dyDescent="0.3">
      <c r="A20" s="48" t="s">
        <v>27</v>
      </c>
      <c r="B20" s="48"/>
      <c r="C20" s="51" t="s">
        <v>162</v>
      </c>
      <c r="D20" s="49" t="s">
        <v>22</v>
      </c>
      <c r="E20" s="52">
        <v>4443</v>
      </c>
      <c r="F20" s="49"/>
      <c r="G20" s="49"/>
      <c r="H20" s="49" t="s">
        <v>22</v>
      </c>
      <c r="I20" s="57">
        <f>E20/E21</f>
        <v>0.48797149710490012</v>
      </c>
      <c r="J20" s="49"/>
      <c r="K20" s="48"/>
      <c r="L20" s="48"/>
    </row>
    <row r="21" spans="1:12" x14ac:dyDescent="0.3">
      <c r="A21" s="48"/>
      <c r="B21" s="48"/>
      <c r="C21" s="49" t="s">
        <v>163</v>
      </c>
      <c r="D21" s="49"/>
      <c r="E21" s="58">
        <f>I18</f>
        <v>9105.0400000000009</v>
      </c>
      <c r="F21" s="49"/>
      <c r="G21" s="49"/>
      <c r="H21" s="49"/>
      <c r="I21" s="49"/>
      <c r="J21" s="49"/>
      <c r="K21" s="48"/>
      <c r="L21" s="48"/>
    </row>
    <row r="22" spans="1:12" x14ac:dyDescent="0.3">
      <c r="A22" s="48"/>
      <c r="B22" s="48"/>
      <c r="C22" s="49"/>
      <c r="D22" s="49"/>
      <c r="E22" s="49"/>
      <c r="F22" s="49"/>
      <c r="G22" s="49"/>
      <c r="H22" s="49"/>
      <c r="I22" s="49"/>
      <c r="J22" s="49"/>
      <c r="K22" s="48"/>
      <c r="L22" s="48"/>
    </row>
    <row r="23" spans="1:12" x14ac:dyDescent="0.3">
      <c r="A23" s="50" t="s">
        <v>29</v>
      </c>
      <c r="B23" s="48"/>
      <c r="C23" s="49"/>
      <c r="D23" s="49"/>
      <c r="E23" s="49"/>
      <c r="F23" s="49"/>
      <c r="G23" s="49"/>
      <c r="H23" s="49"/>
      <c r="I23" s="49"/>
      <c r="J23" s="49"/>
      <c r="K23" s="48"/>
      <c r="L23" s="48"/>
    </row>
    <row r="24" spans="1:12" x14ac:dyDescent="0.3">
      <c r="A24" s="48" t="s">
        <v>164</v>
      </c>
      <c r="B24" s="48"/>
      <c r="C24" s="51" t="s">
        <v>165</v>
      </c>
      <c r="D24" s="49" t="s">
        <v>22</v>
      </c>
      <c r="E24" s="59">
        <f>J8</f>
        <v>369.03</v>
      </c>
      <c r="F24" s="51" t="s">
        <v>32</v>
      </c>
      <c r="G24" s="59">
        <f>355/SQRT(3)</f>
        <v>204.95934556231717</v>
      </c>
      <c r="H24" s="49" t="s">
        <v>22</v>
      </c>
      <c r="I24" s="53">
        <f>E24*100*G24</f>
        <v>7563614.7292861901</v>
      </c>
      <c r="J24" s="49" t="s">
        <v>1</v>
      </c>
      <c r="K24" s="48"/>
      <c r="L24" s="48"/>
    </row>
    <row r="25" spans="1:12" ht="15" x14ac:dyDescent="0.35">
      <c r="A25" s="48"/>
      <c r="B25" s="48"/>
      <c r="C25" s="54" t="s">
        <v>161</v>
      </c>
      <c r="D25" s="49"/>
      <c r="E25" s="49"/>
      <c r="F25" s="55">
        <v>1</v>
      </c>
      <c r="G25" s="49"/>
      <c r="H25" s="49"/>
      <c r="I25" s="49"/>
      <c r="J25" s="49"/>
      <c r="K25" s="48"/>
      <c r="L25" s="48"/>
    </row>
    <row r="26" spans="1:12" x14ac:dyDescent="0.3">
      <c r="A26" s="48"/>
      <c r="B26" s="48"/>
      <c r="C26" s="49"/>
      <c r="D26" s="49"/>
      <c r="E26" s="49"/>
      <c r="F26" s="49"/>
      <c r="G26" s="49"/>
      <c r="H26" s="49" t="s">
        <v>22</v>
      </c>
      <c r="I26" s="56">
        <f>I24/1000</f>
        <v>7563.6147292861897</v>
      </c>
      <c r="J26" s="49" t="s">
        <v>33</v>
      </c>
      <c r="K26" s="48"/>
      <c r="L26" s="48"/>
    </row>
    <row r="27" spans="1:12" x14ac:dyDescent="0.3">
      <c r="A27" s="48"/>
      <c r="B27" s="48"/>
      <c r="C27" s="49"/>
      <c r="D27" s="49"/>
      <c r="E27" s="49"/>
      <c r="F27" s="49"/>
      <c r="G27" s="49"/>
      <c r="H27" s="49"/>
      <c r="I27" s="49"/>
      <c r="J27" s="49"/>
      <c r="K27" s="48"/>
      <c r="L27" s="48"/>
    </row>
    <row r="28" spans="1:12" x14ac:dyDescent="0.3">
      <c r="A28" s="48" t="s">
        <v>27</v>
      </c>
      <c r="B28" s="48"/>
      <c r="C28" s="51" t="s">
        <v>166</v>
      </c>
      <c r="D28" s="49" t="s">
        <v>22</v>
      </c>
      <c r="E28" s="52">
        <v>4020</v>
      </c>
      <c r="F28" s="49"/>
      <c r="G28" s="49"/>
      <c r="H28" s="49" t="s">
        <v>22</v>
      </c>
      <c r="I28" s="57">
        <f>E28/E29</f>
        <v>0.53149190484737774</v>
      </c>
      <c r="J28" s="49"/>
      <c r="K28" s="48"/>
      <c r="L28" s="48"/>
    </row>
    <row r="29" spans="1:12" x14ac:dyDescent="0.3">
      <c r="A29" s="48"/>
      <c r="B29" s="48"/>
      <c r="C29" s="49" t="s">
        <v>167</v>
      </c>
      <c r="D29" s="49"/>
      <c r="E29" s="58">
        <f>I26</f>
        <v>7563.6147292861897</v>
      </c>
      <c r="F29" s="49"/>
      <c r="G29" s="49"/>
      <c r="H29" s="49"/>
      <c r="I29" s="49"/>
      <c r="J29" s="49"/>
      <c r="K29" s="48"/>
      <c r="L29" s="48"/>
    </row>
    <row r="30" spans="1:12" x14ac:dyDescent="0.3">
      <c r="A30" s="48"/>
      <c r="B30" s="48"/>
      <c r="C30" s="49"/>
      <c r="D30" s="49"/>
      <c r="E30" s="49"/>
      <c r="F30" s="49"/>
      <c r="G30" s="49"/>
      <c r="H30" s="49"/>
      <c r="I30" s="49"/>
      <c r="J30" s="49"/>
      <c r="K30" s="48"/>
      <c r="L30" s="48"/>
    </row>
    <row r="31" spans="1:12" x14ac:dyDescent="0.3">
      <c r="A31" s="50" t="s">
        <v>36</v>
      </c>
      <c r="B31" s="48"/>
      <c r="C31" s="49"/>
      <c r="D31" s="49"/>
      <c r="E31" s="49"/>
      <c r="F31" s="49"/>
      <c r="G31" s="49"/>
      <c r="H31" s="49"/>
      <c r="I31" s="49"/>
      <c r="J31" s="49"/>
      <c r="K31" s="48"/>
      <c r="L31" s="48"/>
    </row>
    <row r="32" spans="1:12" x14ac:dyDescent="0.3">
      <c r="A32" s="48" t="s">
        <v>37</v>
      </c>
      <c r="B32" s="51" t="s">
        <v>166</v>
      </c>
      <c r="C32" s="49" t="s">
        <v>38</v>
      </c>
      <c r="D32" s="60" t="s">
        <v>39</v>
      </c>
      <c r="E32" s="49"/>
      <c r="F32" s="49"/>
      <c r="G32" s="49"/>
      <c r="H32" s="49"/>
      <c r="I32" s="49"/>
      <c r="J32" s="49"/>
      <c r="K32" s="48"/>
      <c r="L32" s="48"/>
    </row>
    <row r="33" spans="1:12" x14ac:dyDescent="0.3">
      <c r="A33" s="48"/>
      <c r="B33" s="49" t="s">
        <v>167</v>
      </c>
      <c r="C33" s="49"/>
      <c r="D33" s="49"/>
      <c r="E33" s="49"/>
      <c r="F33" s="49"/>
      <c r="G33" s="49"/>
      <c r="H33" s="49"/>
      <c r="I33" s="49"/>
      <c r="J33" s="49"/>
      <c r="K33" s="48"/>
      <c r="L33" s="48"/>
    </row>
    <row r="34" spans="1:12" x14ac:dyDescent="0.3">
      <c r="A34" s="48"/>
      <c r="B34" s="48"/>
      <c r="C34" s="49"/>
      <c r="D34" s="49"/>
      <c r="E34" s="49"/>
      <c r="F34" s="49"/>
      <c r="G34" s="49"/>
      <c r="H34" s="49"/>
      <c r="I34" s="49"/>
      <c r="J34" s="49"/>
      <c r="K34" s="48"/>
      <c r="L34" s="48"/>
    </row>
    <row r="35" spans="1:12" x14ac:dyDescent="0.3">
      <c r="A35" s="48" t="s">
        <v>37</v>
      </c>
      <c r="B35" s="51" t="s">
        <v>166</v>
      </c>
      <c r="C35" s="49" t="s">
        <v>40</v>
      </c>
      <c r="D35" s="60" t="s">
        <v>168</v>
      </c>
      <c r="E35" s="49"/>
      <c r="F35" s="49"/>
      <c r="G35" s="49"/>
      <c r="H35" s="49"/>
      <c r="I35" s="49"/>
      <c r="J35" s="49"/>
      <c r="K35" s="48"/>
      <c r="L35" s="48"/>
    </row>
    <row r="36" spans="1:12" x14ac:dyDescent="0.3">
      <c r="A36" s="48"/>
      <c r="B36" s="49" t="s">
        <v>167</v>
      </c>
      <c r="C36" s="49"/>
      <c r="D36" s="49"/>
      <c r="E36" s="49"/>
      <c r="F36" s="49"/>
      <c r="G36" s="49"/>
      <c r="H36" s="49"/>
      <c r="I36" s="49"/>
      <c r="J36" s="49"/>
      <c r="K36" s="48"/>
      <c r="L36" s="48"/>
    </row>
    <row r="37" spans="1:12" x14ac:dyDescent="0.3">
      <c r="A37" s="48"/>
      <c r="B37" s="48"/>
      <c r="C37" s="49"/>
      <c r="D37" s="49"/>
      <c r="E37" s="49"/>
      <c r="F37" s="49"/>
      <c r="G37" s="49"/>
      <c r="H37" s="49"/>
      <c r="I37" s="49"/>
      <c r="J37" s="49"/>
      <c r="K37" s="48"/>
      <c r="L37" s="48"/>
    </row>
    <row r="38" spans="1:12" ht="13.8" x14ac:dyDescent="0.3">
      <c r="A38" s="48"/>
      <c r="B38" s="60" t="s">
        <v>169</v>
      </c>
      <c r="C38" s="49"/>
      <c r="D38" s="49"/>
      <c r="E38" s="49" t="s">
        <v>41</v>
      </c>
      <c r="F38" s="61">
        <f>I28</f>
        <v>0.53149190484737774</v>
      </c>
      <c r="G38" s="62" t="s">
        <v>170</v>
      </c>
      <c r="H38" s="49" t="s">
        <v>22</v>
      </c>
      <c r="I38" s="61">
        <f>(2*F38-1)^2</f>
        <v>3.9669602836651741E-3</v>
      </c>
      <c r="J38" s="49"/>
      <c r="K38" s="48"/>
      <c r="L38" s="48"/>
    </row>
    <row r="39" spans="1:12" x14ac:dyDescent="0.3">
      <c r="A39" s="48"/>
      <c r="B39" s="48"/>
      <c r="C39" s="49"/>
      <c r="D39" s="49"/>
      <c r="E39" s="49"/>
      <c r="F39" s="49"/>
      <c r="G39" s="49"/>
      <c r="H39" s="49"/>
      <c r="I39" s="49"/>
      <c r="J39" s="49"/>
      <c r="K39" s="48"/>
      <c r="L39" s="48"/>
    </row>
    <row r="40" spans="1:12" ht="19.2" x14ac:dyDescent="0.45">
      <c r="A40" s="48"/>
      <c r="B40" s="48" t="s">
        <v>171</v>
      </c>
      <c r="C40" s="48" t="s">
        <v>172</v>
      </c>
      <c r="D40" s="49" t="s">
        <v>22</v>
      </c>
      <c r="E40" s="49" t="s">
        <v>45</v>
      </c>
      <c r="F40" s="61">
        <f>I38</f>
        <v>3.9669602836651741E-3</v>
      </c>
      <c r="G40" s="49" t="s">
        <v>46</v>
      </c>
      <c r="H40" s="49" t="s">
        <v>22</v>
      </c>
      <c r="I40" s="58">
        <f>(1-I38)*355</f>
        <v>353.59172909929885</v>
      </c>
      <c r="J40" s="49" t="s">
        <v>173</v>
      </c>
      <c r="K40" s="48"/>
      <c r="L40" s="48"/>
    </row>
    <row r="41" spans="1:12" x14ac:dyDescent="0.3">
      <c r="A41" s="48"/>
      <c r="B41" s="48"/>
      <c r="C41" s="49"/>
      <c r="D41" s="49"/>
      <c r="E41" s="49"/>
      <c r="F41" s="49"/>
      <c r="G41" s="49"/>
      <c r="H41" s="49"/>
      <c r="I41" s="49"/>
      <c r="J41" s="49"/>
      <c r="K41" s="48"/>
      <c r="L41" s="48"/>
    </row>
    <row r="42" spans="1:12" x14ac:dyDescent="0.3">
      <c r="A42" s="48" t="s">
        <v>159</v>
      </c>
      <c r="B42" s="48"/>
      <c r="C42" s="51" t="s">
        <v>160</v>
      </c>
      <c r="D42" s="49" t="s">
        <v>22</v>
      </c>
      <c r="E42" s="51">
        <f>K8</f>
        <v>25648</v>
      </c>
      <c r="F42" s="51" t="s">
        <v>24</v>
      </c>
      <c r="G42" s="59">
        <f>I40</f>
        <v>353.59172909929885</v>
      </c>
      <c r="H42" s="49" t="s">
        <v>22</v>
      </c>
      <c r="I42" s="53">
        <f>E42*1000*G42</f>
        <v>9068920667.9388161</v>
      </c>
      <c r="J42" s="49" t="s">
        <v>25</v>
      </c>
      <c r="K42" s="48"/>
      <c r="L42" s="48"/>
    </row>
    <row r="43" spans="1:12" ht="15" x14ac:dyDescent="0.35">
      <c r="A43" s="48"/>
      <c r="B43" s="48"/>
      <c r="C43" s="54" t="s">
        <v>161</v>
      </c>
      <c r="D43" s="49"/>
      <c r="E43" s="49"/>
      <c r="F43" s="55">
        <v>1</v>
      </c>
      <c r="G43" s="49"/>
      <c r="H43" s="49"/>
      <c r="I43" s="49"/>
      <c r="J43" s="49"/>
      <c r="K43" s="48"/>
      <c r="L43" s="48"/>
    </row>
    <row r="44" spans="1:12" x14ac:dyDescent="0.3">
      <c r="A44" s="48"/>
      <c r="B44" s="48"/>
      <c r="C44" s="49"/>
      <c r="D44" s="49"/>
      <c r="E44" s="49"/>
      <c r="F44" s="49"/>
      <c r="G44" s="49"/>
      <c r="H44" s="49" t="s">
        <v>22</v>
      </c>
      <c r="I44" s="56">
        <f>I42/1000000</f>
        <v>9068.9206679388153</v>
      </c>
      <c r="J44" s="49" t="s">
        <v>26</v>
      </c>
      <c r="K44" s="48"/>
      <c r="L44" s="48"/>
    </row>
    <row r="45" spans="1:12" x14ac:dyDescent="0.3">
      <c r="A45" s="48"/>
      <c r="B45" s="48"/>
      <c r="C45" s="49"/>
      <c r="D45" s="49"/>
      <c r="E45" s="49"/>
      <c r="F45" s="49"/>
      <c r="G45" s="49"/>
      <c r="H45" s="49"/>
      <c r="I45" s="49"/>
      <c r="J45" s="49"/>
      <c r="K45" s="48"/>
      <c r="L45" s="48"/>
    </row>
    <row r="46" spans="1:12" x14ac:dyDescent="0.3">
      <c r="A46" s="48" t="s">
        <v>27</v>
      </c>
      <c r="B46" s="48"/>
      <c r="C46" s="51" t="s">
        <v>162</v>
      </c>
      <c r="D46" s="49" t="s">
        <v>22</v>
      </c>
      <c r="E46" s="51">
        <f>E20</f>
        <v>4443</v>
      </c>
      <c r="F46" s="49"/>
      <c r="G46" s="49"/>
      <c r="H46" s="49" t="s">
        <v>22</v>
      </c>
      <c r="I46" s="57">
        <f>E46/E47</f>
        <v>0.48991497033459058</v>
      </c>
      <c r="J46" s="63" t="s">
        <v>174</v>
      </c>
      <c r="K46" s="48"/>
      <c r="L46" s="48"/>
    </row>
    <row r="47" spans="1:12" x14ac:dyDescent="0.3">
      <c r="A47" s="48"/>
      <c r="B47" s="48"/>
      <c r="C47" s="49" t="s">
        <v>163</v>
      </c>
      <c r="D47" s="49"/>
      <c r="E47" s="58">
        <f>I44</f>
        <v>9068.9206679388153</v>
      </c>
      <c r="F47" s="49"/>
      <c r="G47" s="49"/>
      <c r="H47" s="49"/>
      <c r="I47" s="49"/>
      <c r="J47" s="49"/>
      <c r="K47" s="48"/>
      <c r="L47" s="48"/>
    </row>
    <row r="48" spans="1:12" x14ac:dyDescent="0.3">
      <c r="A48" s="64" t="s">
        <v>147</v>
      </c>
      <c r="B48" s="65"/>
      <c r="C48" s="66"/>
      <c r="D48" s="66"/>
      <c r="E48" s="66"/>
      <c r="F48" s="66"/>
      <c r="G48" s="66"/>
      <c r="H48" s="66"/>
      <c r="I48" s="66"/>
      <c r="J48" s="66"/>
      <c r="K48" s="65"/>
    </row>
    <row r="49" spans="1:12" x14ac:dyDescent="0.3">
      <c r="A49" s="65" t="s">
        <v>175</v>
      </c>
      <c r="B49" s="65"/>
      <c r="C49" s="67" t="s">
        <v>176</v>
      </c>
      <c r="D49" s="66" t="s">
        <v>22</v>
      </c>
      <c r="E49" s="67">
        <f>L8</f>
        <v>10410</v>
      </c>
      <c r="F49" s="67" t="s">
        <v>24</v>
      </c>
      <c r="G49" s="68">
        <v>355</v>
      </c>
      <c r="H49" s="66" t="s">
        <v>22</v>
      </c>
      <c r="I49" s="69">
        <f>E49*1000*G49</f>
        <v>3695550000</v>
      </c>
      <c r="J49" s="66" t="s">
        <v>25</v>
      </c>
      <c r="K49" s="65"/>
    </row>
    <row r="50" spans="1:12" ht="15" x14ac:dyDescent="0.35">
      <c r="A50" s="65"/>
      <c r="B50" s="65"/>
      <c r="C50" s="70" t="s">
        <v>177</v>
      </c>
      <c r="D50" s="66"/>
      <c r="E50" s="66"/>
      <c r="F50" s="71">
        <v>1</v>
      </c>
      <c r="G50" s="66"/>
      <c r="H50" s="66"/>
      <c r="I50" s="66"/>
      <c r="J50" s="66"/>
      <c r="K50" s="65"/>
    </row>
    <row r="51" spans="1:12" x14ac:dyDescent="0.3">
      <c r="A51" s="65"/>
      <c r="B51" s="65"/>
      <c r="C51" s="66"/>
      <c r="D51" s="66"/>
      <c r="E51" s="66"/>
      <c r="F51" s="66"/>
      <c r="G51" s="66"/>
      <c r="H51" s="66" t="s">
        <v>22</v>
      </c>
      <c r="I51" s="72">
        <f>I49/1000000</f>
        <v>3695.55</v>
      </c>
      <c r="J51" s="66" t="s">
        <v>26</v>
      </c>
      <c r="K51" s="65"/>
    </row>
    <row r="52" spans="1:12" x14ac:dyDescent="0.3">
      <c r="A52" s="65"/>
      <c r="B52" s="65"/>
      <c r="C52" s="66"/>
      <c r="D52" s="66"/>
      <c r="E52" s="66"/>
      <c r="F52" s="66"/>
      <c r="G52" s="66"/>
      <c r="H52" s="66"/>
      <c r="I52" s="66"/>
      <c r="J52" s="66"/>
      <c r="K52" s="65"/>
    </row>
    <row r="53" spans="1:12" x14ac:dyDescent="0.3">
      <c r="A53" s="65" t="s">
        <v>27</v>
      </c>
      <c r="B53" s="65"/>
      <c r="C53" s="67" t="s">
        <v>178</v>
      </c>
      <c r="D53" s="66" t="s">
        <v>22</v>
      </c>
      <c r="E53" s="68">
        <v>510</v>
      </c>
      <c r="F53" s="66"/>
      <c r="G53" s="66"/>
      <c r="H53" s="66" t="s">
        <v>22</v>
      </c>
      <c r="I53" s="73">
        <f>E53/E54</f>
        <v>0.13800381539960221</v>
      </c>
      <c r="J53" s="66"/>
      <c r="K53" s="65"/>
    </row>
    <row r="54" spans="1:12" x14ac:dyDescent="0.3">
      <c r="A54" s="65"/>
      <c r="B54" s="65"/>
      <c r="C54" s="66" t="s">
        <v>179</v>
      </c>
      <c r="D54" s="66"/>
      <c r="E54" s="74">
        <f>I51</f>
        <v>3695.55</v>
      </c>
      <c r="F54" s="66"/>
      <c r="G54" s="66"/>
      <c r="H54" s="66"/>
      <c r="I54" s="66"/>
      <c r="J54" s="66"/>
      <c r="K54" s="65"/>
    </row>
    <row r="55" spans="1:12" x14ac:dyDescent="0.3">
      <c r="A55" s="65"/>
      <c r="B55" s="65"/>
      <c r="C55" s="66"/>
      <c r="D55" s="66"/>
      <c r="E55" s="74"/>
      <c r="F55" s="66"/>
      <c r="G55" s="66"/>
      <c r="H55" s="66"/>
      <c r="I55" s="66"/>
      <c r="J55" s="66"/>
      <c r="K55" s="65"/>
    </row>
    <row r="56" spans="1:12" x14ac:dyDescent="0.3">
      <c r="A56" s="64" t="s">
        <v>152</v>
      </c>
      <c r="B56" s="65"/>
      <c r="C56" s="66"/>
      <c r="D56" s="66"/>
      <c r="E56" s="66"/>
      <c r="F56" s="66"/>
      <c r="G56" s="66"/>
      <c r="H56" s="66"/>
      <c r="I56" s="66"/>
      <c r="J56" s="66"/>
      <c r="K56" s="65"/>
    </row>
    <row r="57" spans="1:12" x14ac:dyDescent="0.3">
      <c r="A57" s="65" t="s">
        <v>153</v>
      </c>
      <c r="B57" s="65"/>
      <c r="C57" s="75">
        <v>2</v>
      </c>
      <c r="D57" s="66"/>
      <c r="E57" s="66"/>
      <c r="F57" s="66"/>
      <c r="G57" s="66"/>
      <c r="H57" s="66"/>
      <c r="I57" s="66"/>
      <c r="J57" s="66"/>
      <c r="K57" s="65"/>
    </row>
    <row r="58" spans="1:12" x14ac:dyDescent="0.3">
      <c r="A58" s="65" t="s">
        <v>154</v>
      </c>
      <c r="B58" s="65"/>
      <c r="C58" s="75">
        <v>0</v>
      </c>
      <c r="D58" s="66"/>
      <c r="E58" s="66"/>
      <c r="F58" s="66"/>
      <c r="G58" s="66"/>
      <c r="H58" s="66"/>
      <c r="I58" s="66"/>
      <c r="J58" s="66"/>
      <c r="K58" s="65"/>
    </row>
    <row r="59" spans="1:12" x14ac:dyDescent="0.3">
      <c r="A59" s="65" t="s">
        <v>155</v>
      </c>
      <c r="B59" s="65"/>
      <c r="C59" s="66">
        <f>MAX(1,5*C58)</f>
        <v>1</v>
      </c>
      <c r="D59" s="66"/>
      <c r="E59" s="66"/>
      <c r="F59" s="66"/>
      <c r="G59" s="66"/>
      <c r="H59" s="66"/>
      <c r="I59" s="66"/>
      <c r="J59" s="66"/>
      <c r="K59" s="65"/>
    </row>
    <row r="60" spans="1:12" x14ac:dyDescent="0.3">
      <c r="A60" s="65" t="s">
        <v>27</v>
      </c>
      <c r="B60" s="65"/>
      <c r="C60" s="76">
        <f>I46^C57</f>
        <v>0.24001667815794278</v>
      </c>
      <c r="D60" s="66" t="s">
        <v>105</v>
      </c>
      <c r="E60" s="76">
        <f>I53^C59</f>
        <v>0.13800381539960221</v>
      </c>
      <c r="F60" s="66"/>
      <c r="G60" s="66"/>
      <c r="H60" s="66" t="s">
        <v>22</v>
      </c>
      <c r="I60" s="73">
        <f>C60+E60</f>
        <v>0.37802049355754497</v>
      </c>
      <c r="J60" s="66"/>
      <c r="K60" s="65"/>
    </row>
    <row r="61" spans="1:12" x14ac:dyDescent="0.3">
      <c r="A61" s="48"/>
      <c r="B61" s="48"/>
      <c r="C61" s="49"/>
      <c r="D61" s="49"/>
      <c r="E61" s="58"/>
      <c r="F61" s="49"/>
      <c r="G61" s="49"/>
      <c r="H61" s="49"/>
      <c r="I61" s="49"/>
      <c r="J61" s="49"/>
      <c r="K61" s="48"/>
      <c r="L61" s="48"/>
    </row>
    <row r="62" spans="1:12" x14ac:dyDescent="0.3">
      <c r="A62" s="15" t="s">
        <v>182</v>
      </c>
    </row>
    <row r="64" spans="1:12" x14ac:dyDescent="0.3">
      <c r="A64" s="6" t="s">
        <v>18</v>
      </c>
    </row>
    <row r="65" spans="1:10" x14ac:dyDescent="0.3">
      <c r="A65" t="s">
        <v>19</v>
      </c>
      <c r="C65" s="4" t="s">
        <v>20</v>
      </c>
      <c r="D65" s="2" t="s">
        <v>22</v>
      </c>
      <c r="E65" s="4">
        <f>K10</f>
        <v>49704</v>
      </c>
      <c r="F65" s="4" t="s">
        <v>24</v>
      </c>
      <c r="G65" s="16">
        <v>355</v>
      </c>
      <c r="H65" s="2" t="s">
        <v>22</v>
      </c>
      <c r="I65" s="9">
        <f>E65*1000*G65</f>
        <v>17644920000</v>
      </c>
      <c r="J65" s="2" t="s">
        <v>25</v>
      </c>
    </row>
    <row r="66" spans="1:10" ht="15" x14ac:dyDescent="0.35">
      <c r="C66" s="7" t="s">
        <v>21</v>
      </c>
      <c r="F66" s="8">
        <v>1</v>
      </c>
    </row>
    <row r="67" spans="1:10" x14ac:dyDescent="0.3">
      <c r="H67" s="2" t="s">
        <v>22</v>
      </c>
      <c r="I67" s="19">
        <f>I65/1000000</f>
        <v>17644.919999999998</v>
      </c>
      <c r="J67" s="2" t="s">
        <v>26</v>
      </c>
    </row>
    <row r="69" spans="1:10" x14ac:dyDescent="0.3">
      <c r="A69" t="s">
        <v>27</v>
      </c>
      <c r="C69" s="4" t="s">
        <v>2</v>
      </c>
      <c r="D69" s="2" t="s">
        <v>22</v>
      </c>
      <c r="E69" s="16">
        <v>10790</v>
      </c>
      <c r="H69" s="2" t="s">
        <v>22</v>
      </c>
      <c r="I69" s="17">
        <f>E69/E70</f>
        <v>0.61150744803603541</v>
      </c>
    </row>
    <row r="70" spans="1:10" x14ac:dyDescent="0.3">
      <c r="C70" s="2" t="s">
        <v>28</v>
      </c>
      <c r="E70" s="11">
        <f>I67</f>
        <v>17644.919999999998</v>
      </c>
    </row>
    <row r="72" spans="1:10" x14ac:dyDescent="0.3">
      <c r="A72" s="6" t="s">
        <v>29</v>
      </c>
    </row>
    <row r="73" spans="1:10" x14ac:dyDescent="0.3">
      <c r="A73" t="s">
        <v>30</v>
      </c>
      <c r="C73" s="4" t="s">
        <v>31</v>
      </c>
      <c r="D73" s="2" t="s">
        <v>22</v>
      </c>
      <c r="E73" s="4">
        <f>J10</f>
        <v>705</v>
      </c>
      <c r="F73" s="4" t="s">
        <v>32</v>
      </c>
      <c r="G73" s="18">
        <f>355/SQRT(3)</f>
        <v>204.95934556231717</v>
      </c>
      <c r="H73" s="2" t="s">
        <v>22</v>
      </c>
      <c r="I73" s="9">
        <f>E73*100*G73</f>
        <v>14449633.86214336</v>
      </c>
      <c r="J73" s="2" t="s">
        <v>1</v>
      </c>
    </row>
    <row r="74" spans="1:10" ht="15" x14ac:dyDescent="0.35">
      <c r="C74" s="7" t="s">
        <v>21</v>
      </c>
      <c r="F74" s="8">
        <v>1</v>
      </c>
    </row>
    <row r="75" spans="1:10" x14ac:dyDescent="0.3">
      <c r="H75" s="2" t="s">
        <v>22</v>
      </c>
      <c r="I75" s="19">
        <f>I73/1000</f>
        <v>14449.633862143361</v>
      </c>
      <c r="J75" s="2" t="s">
        <v>33</v>
      </c>
    </row>
    <row r="77" spans="1:10" x14ac:dyDescent="0.3">
      <c r="A77" t="s">
        <v>27</v>
      </c>
      <c r="C77" s="4" t="s">
        <v>34</v>
      </c>
      <c r="D77" s="2" t="s">
        <v>22</v>
      </c>
      <c r="E77" s="16">
        <v>9691</v>
      </c>
      <c r="H77" s="2" t="s">
        <v>22</v>
      </c>
      <c r="I77" s="17">
        <f>E77/E78</f>
        <v>0.67067443316951303</v>
      </c>
    </row>
    <row r="78" spans="1:10" x14ac:dyDescent="0.3">
      <c r="C78" s="2" t="s">
        <v>35</v>
      </c>
      <c r="E78" s="11">
        <f>I75</f>
        <v>14449.633862143361</v>
      </c>
    </row>
    <row r="80" spans="1:10" x14ac:dyDescent="0.3">
      <c r="A80" s="6" t="s">
        <v>36</v>
      </c>
    </row>
    <row r="81" spans="1:10" x14ac:dyDescent="0.3">
      <c r="A81" t="s">
        <v>37</v>
      </c>
      <c r="B81" s="4" t="s">
        <v>34</v>
      </c>
      <c r="C81" s="2" t="s">
        <v>38</v>
      </c>
      <c r="D81" s="20" t="s">
        <v>39</v>
      </c>
    </row>
    <row r="82" spans="1:10" x14ac:dyDescent="0.3">
      <c r="B82" s="2" t="s">
        <v>35</v>
      </c>
    </row>
    <row r="84" spans="1:10" x14ac:dyDescent="0.3">
      <c r="A84" t="s">
        <v>37</v>
      </c>
      <c r="B84" s="4" t="s">
        <v>34</v>
      </c>
      <c r="C84" s="2" t="s">
        <v>40</v>
      </c>
      <c r="D84" s="20" t="s">
        <v>108</v>
      </c>
    </row>
    <row r="85" spans="1:10" x14ac:dyDescent="0.3">
      <c r="B85" s="2" t="s">
        <v>35</v>
      </c>
    </row>
    <row r="87" spans="1:10" ht="13.8" x14ac:dyDescent="0.3">
      <c r="B87" s="20" t="s">
        <v>48</v>
      </c>
      <c r="E87" s="2" t="s">
        <v>41</v>
      </c>
      <c r="F87" s="10">
        <f>I77</f>
        <v>0.67067443316951303</v>
      </c>
      <c r="G87" s="21" t="s">
        <v>42</v>
      </c>
      <c r="H87" s="2" t="s">
        <v>22</v>
      </c>
      <c r="I87" s="10">
        <f>(2*F87-1)^2</f>
        <v>0.11651904855093828</v>
      </c>
    </row>
    <row r="89" spans="1:10" ht="19.2" x14ac:dyDescent="0.45">
      <c r="B89" t="s">
        <v>44</v>
      </c>
      <c r="C89" t="s">
        <v>43</v>
      </c>
      <c r="D89" s="2" t="s">
        <v>22</v>
      </c>
      <c r="E89" s="2" t="s">
        <v>45</v>
      </c>
      <c r="F89" s="10">
        <f>I87</f>
        <v>0.11651904855093828</v>
      </c>
      <c r="G89" s="2" t="s">
        <v>46</v>
      </c>
      <c r="H89" s="2" t="s">
        <v>22</v>
      </c>
      <c r="I89" s="11">
        <f>(1-I87)*355</f>
        <v>313.63573776441689</v>
      </c>
      <c r="J89" s="2" t="s">
        <v>47</v>
      </c>
    </row>
    <row r="91" spans="1:10" x14ac:dyDescent="0.3">
      <c r="A91" t="s">
        <v>19</v>
      </c>
      <c r="C91" s="4" t="s">
        <v>20</v>
      </c>
      <c r="D91" s="2" t="s">
        <v>22</v>
      </c>
      <c r="E91" s="4">
        <f>K10</f>
        <v>49704</v>
      </c>
      <c r="F91" s="4" t="s">
        <v>24</v>
      </c>
      <c r="G91" s="18">
        <f>I89</f>
        <v>313.63573776441689</v>
      </c>
      <c r="H91" s="2" t="s">
        <v>22</v>
      </c>
      <c r="I91" s="9">
        <f>E91*1000*G91</f>
        <v>15588950709.842577</v>
      </c>
      <c r="J91" s="2" t="s">
        <v>25</v>
      </c>
    </row>
    <row r="92" spans="1:10" ht="15" x14ac:dyDescent="0.35">
      <c r="C92" s="7" t="s">
        <v>21</v>
      </c>
      <c r="F92" s="8">
        <v>1</v>
      </c>
    </row>
    <row r="93" spans="1:10" x14ac:dyDescent="0.3">
      <c r="H93" s="2" t="s">
        <v>22</v>
      </c>
      <c r="I93" s="19">
        <f>I91/1000000</f>
        <v>15588.950709842577</v>
      </c>
      <c r="J93" s="2" t="s">
        <v>26</v>
      </c>
    </row>
    <row r="95" spans="1:10" x14ac:dyDescent="0.3">
      <c r="A95" t="s">
        <v>27</v>
      </c>
      <c r="C95" s="4" t="s">
        <v>2</v>
      </c>
      <c r="D95" s="2" t="s">
        <v>22</v>
      </c>
      <c r="E95" s="4">
        <f>E69</f>
        <v>10790</v>
      </c>
      <c r="H95" s="2" t="s">
        <v>22</v>
      </c>
      <c r="I95" s="17">
        <f>E95/E96</f>
        <v>0.69215691298500237</v>
      </c>
      <c r="J95" s="22"/>
    </row>
    <row r="96" spans="1:10" x14ac:dyDescent="0.3">
      <c r="C96" s="2" t="s">
        <v>28</v>
      </c>
      <c r="E96" s="11">
        <f>I93</f>
        <v>15588.950709842577</v>
      </c>
      <c r="J96" s="22"/>
    </row>
    <row r="98" spans="1:12" x14ac:dyDescent="0.3">
      <c r="A98" s="6" t="s">
        <v>147</v>
      </c>
      <c r="K98" s="48"/>
      <c r="L98" s="48"/>
    </row>
    <row r="99" spans="1:12" x14ac:dyDescent="0.3">
      <c r="A99" t="s">
        <v>148</v>
      </c>
      <c r="C99" s="4" t="s">
        <v>149</v>
      </c>
      <c r="D99" s="2" t="s">
        <v>22</v>
      </c>
      <c r="E99" s="4">
        <f>L10</f>
        <v>17121</v>
      </c>
      <c r="F99" s="4" t="s">
        <v>24</v>
      </c>
      <c r="G99" s="16">
        <v>355</v>
      </c>
      <c r="H99" s="2" t="s">
        <v>22</v>
      </c>
      <c r="I99" s="9">
        <f>E99*1000*G99</f>
        <v>6077955000</v>
      </c>
      <c r="J99" s="2" t="s">
        <v>25</v>
      </c>
      <c r="K99" s="48"/>
      <c r="L99" s="48"/>
    </row>
    <row r="100" spans="1:12" ht="15" x14ac:dyDescent="0.35">
      <c r="C100" s="7" t="s">
        <v>21</v>
      </c>
      <c r="F100" s="8">
        <v>1</v>
      </c>
    </row>
    <row r="101" spans="1:12" x14ac:dyDescent="0.3">
      <c r="H101" s="2" t="s">
        <v>22</v>
      </c>
      <c r="I101" s="19">
        <f>I99/1000000</f>
        <v>6077.9549999999999</v>
      </c>
      <c r="J101" s="2" t="s">
        <v>26</v>
      </c>
    </row>
    <row r="103" spans="1:12" x14ac:dyDescent="0.3">
      <c r="A103" t="s">
        <v>27</v>
      </c>
      <c r="C103" s="4" t="s">
        <v>150</v>
      </c>
      <c r="D103" s="2" t="s">
        <v>22</v>
      </c>
      <c r="E103" s="16">
        <v>553</v>
      </c>
      <c r="H103" s="2" t="s">
        <v>22</v>
      </c>
      <c r="I103" s="17">
        <f>E103/E104</f>
        <v>9.0984549902064102E-2</v>
      </c>
    </row>
    <row r="104" spans="1:12" x14ac:dyDescent="0.3">
      <c r="C104" s="2" t="s">
        <v>151</v>
      </c>
      <c r="E104" s="11">
        <f>I101</f>
        <v>6077.9549999999999</v>
      </c>
    </row>
    <row r="105" spans="1:12" x14ac:dyDescent="0.3">
      <c r="E105" s="11"/>
    </row>
    <row r="106" spans="1:12" x14ac:dyDescent="0.3">
      <c r="A106" s="6" t="s">
        <v>152</v>
      </c>
    </row>
    <row r="107" spans="1:12" x14ac:dyDescent="0.3">
      <c r="A107" t="s">
        <v>153</v>
      </c>
      <c r="C107" s="13">
        <v>2</v>
      </c>
    </row>
    <row r="108" spans="1:12" x14ac:dyDescent="0.3">
      <c r="A108" t="s">
        <v>154</v>
      </c>
      <c r="C108" s="13">
        <v>0</v>
      </c>
    </row>
    <row r="109" spans="1:12" x14ac:dyDescent="0.3">
      <c r="A109" t="s">
        <v>155</v>
      </c>
      <c r="C109" s="2">
        <f>MAX(1,5*C108)</f>
        <v>1</v>
      </c>
    </row>
    <row r="110" spans="1:12" x14ac:dyDescent="0.3">
      <c r="A110" t="s">
        <v>27</v>
      </c>
      <c r="C110" s="10">
        <f>I95^C107</f>
        <v>0.47908119219292816</v>
      </c>
      <c r="D110" s="2" t="s">
        <v>105</v>
      </c>
      <c r="E110" s="10">
        <f>I103^C109</f>
        <v>9.0984549902064102E-2</v>
      </c>
      <c r="H110" s="2" t="s">
        <v>22</v>
      </c>
      <c r="I110" s="17">
        <f>C110+E110</f>
        <v>0.57006574209499228</v>
      </c>
    </row>
  </sheetData>
  <conditionalFormatting sqref="I20">
    <cfRule type="cellIs" dxfId="35" priority="19" operator="lessThan">
      <formula>1</formula>
    </cfRule>
    <cfRule type="cellIs" dxfId="34" priority="20" operator="greaterThan">
      <formula>1</formula>
    </cfRule>
  </conditionalFormatting>
  <conditionalFormatting sqref="I28">
    <cfRule type="cellIs" dxfId="33" priority="17" operator="lessThan">
      <formula>1</formula>
    </cfRule>
    <cfRule type="cellIs" dxfId="32" priority="18" operator="greaterThan">
      <formula>1</formula>
    </cfRule>
  </conditionalFormatting>
  <conditionalFormatting sqref="I46">
    <cfRule type="cellIs" dxfId="31" priority="15" operator="lessThan">
      <formula>1</formula>
    </cfRule>
    <cfRule type="cellIs" dxfId="30" priority="16" operator="greaterThan">
      <formula>1</formula>
    </cfRule>
  </conditionalFormatting>
  <conditionalFormatting sqref="I53">
    <cfRule type="cellIs" dxfId="29" priority="3" operator="lessThan">
      <formula>1</formula>
    </cfRule>
    <cfRule type="cellIs" dxfId="28" priority="4" operator="greaterThan">
      <formula>1</formula>
    </cfRule>
  </conditionalFormatting>
  <conditionalFormatting sqref="I60">
    <cfRule type="cellIs" dxfId="27" priority="1" operator="lessThan">
      <formula>1</formula>
    </cfRule>
    <cfRule type="cellIs" dxfId="26" priority="2" operator="greaterThan">
      <formula>1</formula>
    </cfRule>
  </conditionalFormatting>
  <conditionalFormatting sqref="I69">
    <cfRule type="cellIs" dxfId="25" priority="13" operator="lessThan">
      <formula>1</formula>
    </cfRule>
    <cfRule type="cellIs" dxfId="24" priority="14" operator="greaterThan">
      <formula>1</formula>
    </cfRule>
  </conditionalFormatting>
  <conditionalFormatting sqref="I77">
    <cfRule type="cellIs" dxfId="23" priority="11" operator="lessThan">
      <formula>1</formula>
    </cfRule>
    <cfRule type="cellIs" dxfId="22" priority="12" operator="greaterThan">
      <formula>1</formula>
    </cfRule>
  </conditionalFormatting>
  <conditionalFormatting sqref="I95">
    <cfRule type="cellIs" dxfId="21" priority="9" operator="lessThan">
      <formula>1</formula>
    </cfRule>
    <cfRule type="cellIs" dxfId="20" priority="10" operator="greaterThan">
      <formula>1</formula>
    </cfRule>
  </conditionalFormatting>
  <conditionalFormatting sqref="I103">
    <cfRule type="cellIs" dxfId="19" priority="7" operator="lessThan">
      <formula>1</formula>
    </cfRule>
    <cfRule type="cellIs" dxfId="18" priority="8" operator="greaterThan">
      <formula>1</formula>
    </cfRule>
  </conditionalFormatting>
  <conditionalFormatting sqref="I110">
    <cfRule type="cellIs" dxfId="17" priority="5" operator="lessThan">
      <formula>1</formula>
    </cfRule>
    <cfRule type="cellIs" dxfId="16" priority="6" operator="greaterThan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83" orientation="portrait" r:id="rId1"/>
  <headerFooter>
    <oddHeader>&amp;R&amp;D
Pagina &amp;P</oddHeader>
  </headerFooter>
  <rowBreaks count="2" manualBreakCount="2">
    <brk id="47" max="11" man="1"/>
    <brk id="61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B56F-6256-44FB-85B4-F80546609B06}">
  <sheetPr>
    <pageSetUpPr fitToPage="1"/>
  </sheetPr>
  <dimension ref="A1:U79"/>
  <sheetViews>
    <sheetView tabSelected="1" view="pageBreakPreview" topLeftCell="A21" zoomScaleNormal="110" zoomScaleSheetLayoutView="100" workbookViewId="0">
      <selection activeCell="A66" sqref="A66"/>
    </sheetView>
  </sheetViews>
  <sheetFormatPr defaultRowHeight="13.2" x14ac:dyDescent="0.3"/>
  <cols>
    <col min="2" max="2" width="15.375" bestFit="1" customWidth="1"/>
    <col min="3" max="3" width="11.5" style="2" bestFit="1" customWidth="1"/>
    <col min="7" max="7" width="13.875" bestFit="1" customWidth="1"/>
    <col min="8" max="8" width="10.5" customWidth="1"/>
    <col min="9" max="9" width="9.875" bestFit="1" customWidth="1"/>
    <col min="10" max="10" width="11.625" customWidth="1"/>
    <col min="11" max="13" width="6.875" customWidth="1"/>
  </cols>
  <sheetData>
    <row r="1" spans="1:21" ht="19.2" x14ac:dyDescent="0.45">
      <c r="A1" s="1" t="s">
        <v>0</v>
      </c>
      <c r="B1" s="1"/>
      <c r="C1" s="1" t="s">
        <v>143</v>
      </c>
      <c r="E1" s="14" t="s">
        <v>110</v>
      </c>
      <c r="F1" s="14"/>
      <c r="G1" s="14"/>
      <c r="H1" s="14"/>
      <c r="I1" s="14"/>
      <c r="J1" s="14"/>
      <c r="K1" s="14"/>
      <c r="L1" s="14"/>
    </row>
    <row r="2" spans="1:21" x14ac:dyDescent="0.3">
      <c r="D2" s="2"/>
      <c r="E2" s="2"/>
      <c r="F2" s="2"/>
      <c r="G2" s="2"/>
      <c r="H2" s="2"/>
      <c r="I2" s="2"/>
      <c r="J2" s="2"/>
      <c r="K2" s="2"/>
      <c r="L2" s="2"/>
    </row>
    <row r="3" spans="1:21" x14ac:dyDescent="0.3">
      <c r="A3" s="5" t="s">
        <v>3</v>
      </c>
      <c r="D3" s="2"/>
      <c r="E3" s="2"/>
      <c r="F3" s="2"/>
      <c r="G3" s="2"/>
      <c r="H3" s="2"/>
      <c r="I3" s="2"/>
      <c r="J3" s="2"/>
      <c r="K3" s="2"/>
      <c r="L3" s="2"/>
    </row>
    <row r="4" spans="1:21" x14ac:dyDescent="0.3">
      <c r="C4" s="2" t="s">
        <v>54</v>
      </c>
      <c r="D4" s="2" t="s">
        <v>51</v>
      </c>
      <c r="E4" s="2" t="s">
        <v>52</v>
      </c>
      <c r="F4" s="2" t="s">
        <v>5</v>
      </c>
      <c r="G4" s="2" t="s">
        <v>57</v>
      </c>
      <c r="H4" s="2" t="s">
        <v>53</v>
      </c>
      <c r="I4" s="2" t="s">
        <v>56</v>
      </c>
      <c r="J4" s="2" t="s">
        <v>63</v>
      </c>
      <c r="K4" s="2" t="s">
        <v>125</v>
      </c>
      <c r="L4" s="2" t="s">
        <v>71</v>
      </c>
      <c r="M4" s="2" t="s">
        <v>4</v>
      </c>
    </row>
    <row r="5" spans="1:21" ht="13.8" x14ac:dyDescent="0.3">
      <c r="C5" s="2" t="s">
        <v>55</v>
      </c>
      <c r="D5" s="2" t="s">
        <v>9</v>
      </c>
      <c r="E5" s="2" t="s">
        <v>9</v>
      </c>
      <c r="F5" s="2" t="s">
        <v>10</v>
      </c>
      <c r="G5" s="2" t="s">
        <v>58</v>
      </c>
      <c r="H5" s="2" t="s">
        <v>47</v>
      </c>
      <c r="I5" s="2" t="s">
        <v>47</v>
      </c>
      <c r="J5" s="2" t="s">
        <v>61</v>
      </c>
      <c r="K5" s="2" t="s">
        <v>1</v>
      </c>
      <c r="L5" s="2" t="s">
        <v>1</v>
      </c>
      <c r="M5" s="2" t="s">
        <v>11</v>
      </c>
      <c r="T5" t="s">
        <v>114</v>
      </c>
    </row>
    <row r="6" spans="1:21" ht="13.8" x14ac:dyDescent="0.3">
      <c r="B6" s="3"/>
      <c r="C6" s="4"/>
      <c r="D6" s="4"/>
      <c r="E6" s="4"/>
      <c r="F6" s="4" t="s">
        <v>6</v>
      </c>
      <c r="G6" s="4" t="s">
        <v>59</v>
      </c>
      <c r="H6" s="4"/>
      <c r="I6" s="4"/>
      <c r="J6" s="4" t="s">
        <v>62</v>
      </c>
      <c r="K6" s="4" t="s">
        <v>126</v>
      </c>
      <c r="L6" s="4" t="s">
        <v>72</v>
      </c>
      <c r="M6" s="4" t="s">
        <v>12</v>
      </c>
      <c r="T6" t="s">
        <v>115</v>
      </c>
      <c r="U6" t="s">
        <v>116</v>
      </c>
    </row>
    <row r="7" spans="1:21" x14ac:dyDescent="0.3">
      <c r="B7" t="s">
        <v>49</v>
      </c>
      <c r="C7" s="2">
        <v>1</v>
      </c>
      <c r="D7" s="13">
        <v>559</v>
      </c>
      <c r="E7" s="13">
        <v>8</v>
      </c>
      <c r="F7" s="19">
        <f>PI()*(D7^2-(D7-2*E7)^2)/4/100</f>
        <v>138.48140417023808</v>
      </c>
      <c r="G7" s="19">
        <f>PI()*(D7^4-(D7-2*E7)^4)/64/10000</f>
        <v>52564.944496694181</v>
      </c>
      <c r="H7" s="28">
        <v>300</v>
      </c>
      <c r="I7" s="19">
        <v>210000</v>
      </c>
      <c r="J7" s="19">
        <f>I7*G7*10000/1000000000</f>
        <v>110386.38344305778</v>
      </c>
      <c r="K7" s="19">
        <f>F7*100*I7/10^6</f>
        <v>2908.1094875749995</v>
      </c>
      <c r="L7" s="11">
        <f>F7*H7/10</f>
        <v>4154.4421251071417</v>
      </c>
      <c r="M7" s="2">
        <f>G7*10000/(2*U7)/1000</f>
        <v>2247.7900653426</v>
      </c>
      <c r="T7">
        <f>(D7-E7)/2</f>
        <v>275.5</v>
      </c>
      <c r="U7">
        <f>4*T7/(3*PI())</f>
        <v>116.92583152484578</v>
      </c>
    </row>
    <row r="8" spans="1:21" x14ac:dyDescent="0.3">
      <c r="B8" t="s">
        <v>50</v>
      </c>
      <c r="C8" s="2">
        <v>1</v>
      </c>
      <c r="D8" s="13">
        <f>D7-2*E7</f>
        <v>543</v>
      </c>
      <c r="E8" s="2"/>
      <c r="F8" s="11">
        <f>PI()*D8^2/4/100</f>
        <v>2315.7386307957422</v>
      </c>
      <c r="G8" s="19">
        <f>PI()*D8^4/64/10000</f>
        <v>426745.76221968367</v>
      </c>
      <c r="H8" s="2">
        <v>14</v>
      </c>
      <c r="I8" s="19">
        <v>10500</v>
      </c>
      <c r="J8" s="19">
        <f>I8*G8*10000/1000000000*0.6</f>
        <v>26884.983019840074</v>
      </c>
      <c r="K8" s="19">
        <f>F8*100*I8/10^6</f>
        <v>2431.5255623355292</v>
      </c>
      <c r="L8" s="11">
        <f>F8*H8/10</f>
        <v>3242.0340831140393</v>
      </c>
      <c r="M8" s="2"/>
      <c r="Q8" t="s">
        <v>106</v>
      </c>
    </row>
    <row r="9" spans="1:21" x14ac:dyDescent="0.3">
      <c r="B9" t="s">
        <v>86</v>
      </c>
      <c r="C9" s="13">
        <v>8</v>
      </c>
      <c r="D9" s="13">
        <v>20</v>
      </c>
      <c r="E9" s="2"/>
      <c r="F9" s="11">
        <f>C9*PI()*D9^2/4/100</f>
        <v>25.132741228718345</v>
      </c>
      <c r="G9" s="32">
        <f>(C9*PI()*D9^4/64+2*F9*100/C9*200^2+4*F9*100/C9*(200/SQRT(2))^2)/10000</f>
        <v>5032.8314310508486</v>
      </c>
      <c r="H9" s="2">
        <v>348</v>
      </c>
      <c r="I9" s="19">
        <v>200000</v>
      </c>
      <c r="J9" s="24">
        <f>I9*G9*10000/1000000000</f>
        <v>10065.662862101697</v>
      </c>
      <c r="K9" s="24">
        <f>F9*100*I9/10^6</f>
        <v>502.65482457436696</v>
      </c>
      <c r="L9" s="18">
        <f>F9*H9/10</f>
        <v>874.61939475939835</v>
      </c>
      <c r="M9" s="2"/>
    </row>
    <row r="10" spans="1:21" x14ac:dyDescent="0.3">
      <c r="B10" s="33" t="s">
        <v>60</v>
      </c>
      <c r="F10" s="19">
        <f>SUM(F7:F9)</f>
        <v>2479.3527761946984</v>
      </c>
      <c r="J10" s="19">
        <f>SUM(J7:J9)</f>
        <v>147337.02932499954</v>
      </c>
      <c r="K10" s="19">
        <f>SUM(K7:K9)</f>
        <v>5842.2898744848953</v>
      </c>
      <c r="L10" s="19">
        <f>SUM(L7:L9)</f>
        <v>8271.0956029805784</v>
      </c>
    </row>
    <row r="12" spans="1:21" x14ac:dyDescent="0.3">
      <c r="G12">
        <f>F7*100</f>
        <v>13848.140417023807</v>
      </c>
      <c r="H12">
        <v>355</v>
      </c>
      <c r="I12">
        <f>G12*H12</f>
        <v>4916089.848043452</v>
      </c>
    </row>
    <row r="13" spans="1:21" x14ac:dyDescent="0.3">
      <c r="A13" s="6" t="s">
        <v>80</v>
      </c>
      <c r="G13" s="23"/>
      <c r="I13" s="25">
        <f>H19</f>
        <v>8271095.6029805783</v>
      </c>
      <c r="J13">
        <f>I12/I13</f>
        <v>0.59436984941534055</v>
      </c>
    </row>
    <row r="15" spans="1:21" ht="15.6" x14ac:dyDescent="0.35">
      <c r="A15" s="2" t="s">
        <v>67</v>
      </c>
      <c r="B15" s="4" t="s">
        <v>64</v>
      </c>
      <c r="C15" s="2" t="s">
        <v>22</v>
      </c>
      <c r="D15" s="4" t="s">
        <v>66</v>
      </c>
      <c r="E15" s="26">
        <f>J10</f>
        <v>147337.02932499954</v>
      </c>
      <c r="F15" s="4" t="s">
        <v>62</v>
      </c>
      <c r="G15" s="2" t="s">
        <v>22</v>
      </c>
      <c r="H15" s="86">
        <f>PI()^2*E15*1000000000/E16^2</f>
        <v>7307054.0845405599</v>
      </c>
      <c r="I15" s="86"/>
      <c r="J15" s="20" t="s">
        <v>1</v>
      </c>
    </row>
    <row r="16" spans="1:21" ht="13.8" x14ac:dyDescent="0.3">
      <c r="B16" s="2" t="s">
        <v>65</v>
      </c>
      <c r="E16" s="77">
        <v>14107</v>
      </c>
      <c r="F16" s="27">
        <v>2</v>
      </c>
      <c r="G16" s="2"/>
    </row>
    <row r="17" spans="1:11" x14ac:dyDescent="0.3">
      <c r="G17" s="2" t="s">
        <v>22</v>
      </c>
      <c r="H17" s="86">
        <f>H15/1000</f>
        <v>7307.0540845405603</v>
      </c>
      <c r="I17" s="86"/>
      <c r="J17" s="20" t="s">
        <v>33</v>
      </c>
    </row>
    <row r="18" spans="1:11" x14ac:dyDescent="0.3">
      <c r="G18" s="2"/>
    </row>
    <row r="19" spans="1:11" x14ac:dyDescent="0.3">
      <c r="A19" s="2" t="s">
        <v>70</v>
      </c>
      <c r="B19" t="s">
        <v>73</v>
      </c>
      <c r="G19" s="2" t="s">
        <v>22</v>
      </c>
      <c r="H19" s="86">
        <f>L10*1000</f>
        <v>8271095.6029805783</v>
      </c>
      <c r="I19" s="86"/>
      <c r="J19" t="s">
        <v>1</v>
      </c>
      <c r="K19" t="s">
        <v>79</v>
      </c>
    </row>
    <row r="20" spans="1:11" x14ac:dyDescent="0.3">
      <c r="G20" s="2"/>
    </row>
    <row r="21" spans="1:11" x14ac:dyDescent="0.3">
      <c r="G21" s="2" t="s">
        <v>22</v>
      </c>
      <c r="H21" s="86">
        <f>H19/1000</f>
        <v>8271.0956029805784</v>
      </c>
      <c r="I21" s="86"/>
      <c r="J21" s="20" t="s">
        <v>33</v>
      </c>
    </row>
    <row r="23" spans="1:11" ht="15" x14ac:dyDescent="0.35">
      <c r="A23" s="2" t="s">
        <v>68</v>
      </c>
      <c r="B23" t="s">
        <v>69</v>
      </c>
      <c r="C23" s="29" t="s">
        <v>74</v>
      </c>
      <c r="D23" s="25">
        <f>H21</f>
        <v>8271.0956029805784</v>
      </c>
      <c r="E23" s="21" t="s">
        <v>75</v>
      </c>
      <c r="F23" s="25">
        <f>H17</f>
        <v>7307.0540845405603</v>
      </c>
      <c r="G23" s="2" t="s">
        <v>76</v>
      </c>
      <c r="H23" s="30">
        <f>SQRT(D23/F23)</f>
        <v>1.0639233964049819</v>
      </c>
      <c r="I23" t="s">
        <v>77</v>
      </c>
      <c r="K23" t="s">
        <v>78</v>
      </c>
    </row>
    <row r="26" spans="1:11" x14ac:dyDescent="0.3">
      <c r="A26" s="6" t="s">
        <v>81</v>
      </c>
      <c r="D26" s="2"/>
      <c r="E26" s="2"/>
      <c r="F26" s="2"/>
      <c r="G26" s="2"/>
      <c r="H26" s="2"/>
      <c r="I26" s="2"/>
      <c r="J26" s="2"/>
    </row>
    <row r="27" spans="1:11" ht="13.8" x14ac:dyDescent="0.3">
      <c r="A27" s="2" t="s">
        <v>82</v>
      </c>
      <c r="B27" t="s">
        <v>83</v>
      </c>
      <c r="D27" s="2" t="s">
        <v>22</v>
      </c>
      <c r="E27" s="2">
        <f>2*F7*100/PI()</f>
        <v>8816</v>
      </c>
      <c r="F27" s="2" t="s">
        <v>10</v>
      </c>
      <c r="G27" s="2"/>
      <c r="H27" s="2"/>
      <c r="I27" s="2"/>
      <c r="J27" s="2"/>
    </row>
    <row r="28" spans="1:11" x14ac:dyDescent="0.3">
      <c r="A28" s="6"/>
      <c r="D28" s="2"/>
      <c r="E28" s="2"/>
      <c r="F28" s="2"/>
      <c r="G28" s="2"/>
      <c r="H28" s="2"/>
      <c r="I28" s="2"/>
      <c r="J28" s="2"/>
    </row>
    <row r="29" spans="1:11" x14ac:dyDescent="0.3">
      <c r="A29" s="2" t="s">
        <v>30</v>
      </c>
      <c r="C29" s="4" t="s">
        <v>31</v>
      </c>
      <c r="D29" s="2" t="s">
        <v>22</v>
      </c>
      <c r="E29" s="18">
        <f>E27</f>
        <v>8816</v>
      </c>
      <c r="F29" s="4" t="s">
        <v>23</v>
      </c>
      <c r="G29" s="18">
        <f>H7/SQRT(3)</f>
        <v>173.20508075688775</v>
      </c>
      <c r="H29" s="2" t="s">
        <v>22</v>
      </c>
      <c r="I29" s="19">
        <f>E29*G29</f>
        <v>1526975.9919527224</v>
      </c>
      <c r="J29" s="2" t="s">
        <v>1</v>
      </c>
    </row>
    <row r="30" spans="1:11" ht="15" x14ac:dyDescent="0.35">
      <c r="C30" s="7" t="s">
        <v>21</v>
      </c>
      <c r="D30" s="2"/>
      <c r="E30" s="2"/>
      <c r="F30" s="8">
        <v>1</v>
      </c>
      <c r="G30" s="2"/>
      <c r="H30" s="2"/>
      <c r="I30" s="2"/>
      <c r="J30" s="2"/>
    </row>
    <row r="31" spans="1:11" x14ac:dyDescent="0.3">
      <c r="D31" s="2"/>
      <c r="E31" s="2"/>
      <c r="F31" s="2"/>
      <c r="G31" s="2"/>
      <c r="H31" s="2" t="s">
        <v>22</v>
      </c>
      <c r="I31" s="19">
        <f>I29/1000</f>
        <v>1526.9759919527223</v>
      </c>
      <c r="J31" s="2" t="s">
        <v>33</v>
      </c>
    </row>
    <row r="32" spans="1:11" x14ac:dyDescent="0.3">
      <c r="D32" s="2"/>
      <c r="E32" s="2"/>
      <c r="F32" s="2"/>
      <c r="G32" s="2"/>
      <c r="H32" s="2"/>
      <c r="I32" s="19"/>
      <c r="J32" s="2"/>
    </row>
    <row r="33" spans="1:11" x14ac:dyDescent="0.3">
      <c r="A33" s="2" t="s">
        <v>84</v>
      </c>
      <c r="B33" t="s">
        <v>22</v>
      </c>
      <c r="C33" s="34">
        <v>293</v>
      </c>
      <c r="D33" s="2" t="s">
        <v>33</v>
      </c>
      <c r="E33" s="2"/>
      <c r="G33" s="2" t="s">
        <v>34</v>
      </c>
      <c r="H33" s="2" t="s">
        <v>22</v>
      </c>
      <c r="I33" s="79">
        <v>14.67</v>
      </c>
      <c r="J33" s="2" t="s">
        <v>33</v>
      </c>
    </row>
    <row r="34" spans="1:11" x14ac:dyDescent="0.3">
      <c r="A34" s="2" t="s">
        <v>112</v>
      </c>
      <c r="B34" t="s">
        <v>22</v>
      </c>
      <c r="C34" s="34">
        <v>95</v>
      </c>
      <c r="D34" s="2" t="s">
        <v>33</v>
      </c>
      <c r="E34" s="2"/>
      <c r="F34" s="2"/>
      <c r="G34" s="2"/>
      <c r="H34" s="2"/>
      <c r="I34" s="2"/>
      <c r="J34" s="2"/>
    </row>
    <row r="35" spans="1:11" x14ac:dyDescent="0.3">
      <c r="D35" s="2"/>
      <c r="E35" s="2"/>
      <c r="F35" s="2"/>
      <c r="G35" s="2"/>
      <c r="H35" s="2"/>
      <c r="I35" s="2"/>
      <c r="J35" s="2"/>
    </row>
    <row r="36" spans="1:11" x14ac:dyDescent="0.3">
      <c r="D36" s="2"/>
      <c r="E36" s="2"/>
      <c r="F36" s="2"/>
      <c r="G36" s="2"/>
      <c r="H36" s="2"/>
      <c r="I36" s="2"/>
      <c r="J36" s="2"/>
    </row>
    <row r="37" spans="1:11" x14ac:dyDescent="0.3">
      <c r="A37" s="5" t="s">
        <v>27</v>
      </c>
      <c r="C37" s="4" t="s">
        <v>34</v>
      </c>
      <c r="D37" s="2" t="s">
        <v>22</v>
      </c>
      <c r="E37" s="24">
        <f>I33</f>
        <v>14.67</v>
      </c>
      <c r="F37" s="2"/>
      <c r="G37" s="2"/>
      <c r="H37" s="2" t="s">
        <v>22</v>
      </c>
      <c r="I37" s="84">
        <f>E37/E38</f>
        <v>9.6072237398046843E-3</v>
      </c>
      <c r="J37" s="2" t="s">
        <v>38</v>
      </c>
    </row>
    <row r="38" spans="1:11" x14ac:dyDescent="0.3">
      <c r="C38" s="2" t="s">
        <v>35</v>
      </c>
      <c r="D38" s="2"/>
      <c r="E38" s="11">
        <f>I31</f>
        <v>1526.9759919527223</v>
      </c>
      <c r="F38" s="2"/>
      <c r="G38" s="2"/>
      <c r="H38" s="2"/>
      <c r="I38" s="2"/>
      <c r="J38" s="2" t="s">
        <v>85</v>
      </c>
    </row>
    <row r="40" spans="1:11" x14ac:dyDescent="0.3">
      <c r="A40" s="6" t="s">
        <v>87</v>
      </c>
      <c r="C40" s="79">
        <v>-4684.0600000000004</v>
      </c>
    </row>
    <row r="41" spans="1:11" x14ac:dyDescent="0.3">
      <c r="A41" s="2" t="s">
        <v>88</v>
      </c>
      <c r="B41" t="s">
        <v>22</v>
      </c>
      <c r="C41" s="80">
        <f>ABS(C40)</f>
        <v>4684.0600000000004</v>
      </c>
      <c r="D41" t="s">
        <v>33</v>
      </c>
    </row>
    <row r="42" spans="1:11" x14ac:dyDescent="0.3">
      <c r="A42" s="7" t="s">
        <v>89</v>
      </c>
      <c r="B42" t="s">
        <v>22</v>
      </c>
      <c r="C42" s="78">
        <v>0.55700000000000005</v>
      </c>
      <c r="E42" t="s">
        <v>90</v>
      </c>
    </row>
    <row r="44" spans="1:11" x14ac:dyDescent="0.3">
      <c r="A44" s="5" t="s">
        <v>27</v>
      </c>
      <c r="C44" s="4" t="s">
        <v>88</v>
      </c>
      <c r="D44" s="2" t="s">
        <v>22</v>
      </c>
      <c r="E44" s="3"/>
      <c r="F44" s="24">
        <f>C41</f>
        <v>4684.0600000000004</v>
      </c>
      <c r="G44" s="3"/>
      <c r="H44" s="2" t="s">
        <v>22</v>
      </c>
      <c r="I44" s="81">
        <f>F44/(E45*G45)</f>
        <v>1.0167266648456184</v>
      </c>
      <c r="J44" s="2"/>
    </row>
    <row r="45" spans="1:11" x14ac:dyDescent="0.3">
      <c r="C45" s="2" t="s">
        <v>91</v>
      </c>
      <c r="D45" s="2"/>
      <c r="E45" s="10">
        <f>C42</f>
        <v>0.55700000000000005</v>
      </c>
      <c r="F45" s="2" t="s">
        <v>23</v>
      </c>
      <c r="G45" s="19">
        <f>H21</f>
        <v>8271.0956029805784</v>
      </c>
    </row>
    <row r="46" spans="1:11" x14ac:dyDescent="0.3">
      <c r="D46" s="2"/>
      <c r="E46" s="10"/>
      <c r="F46" s="2"/>
      <c r="G46" s="19"/>
    </row>
    <row r="47" spans="1:11" x14ac:dyDescent="0.3">
      <c r="A47" s="41" t="s">
        <v>128</v>
      </c>
      <c r="B47" s="11" t="s">
        <v>127</v>
      </c>
      <c r="C47" s="18" t="s">
        <v>120</v>
      </c>
      <c r="D47" s="2" t="s">
        <v>22</v>
      </c>
      <c r="E47" s="25">
        <f>C41</f>
        <v>4684.0600000000004</v>
      </c>
      <c r="F47" s="2" t="s">
        <v>23</v>
      </c>
      <c r="G47" s="24">
        <f>K7</f>
        <v>2908.1094875749995</v>
      </c>
      <c r="H47" s="2" t="s">
        <v>22</v>
      </c>
      <c r="I47" s="19">
        <f>E47*(G47/G48)</f>
        <v>2331.5788190964354</v>
      </c>
      <c r="J47" t="s">
        <v>33</v>
      </c>
      <c r="K47">
        <f>G47/G48</f>
        <v>0.49776877732062252</v>
      </c>
    </row>
    <row r="48" spans="1:11" x14ac:dyDescent="0.3">
      <c r="A48" s="41"/>
      <c r="B48" s="11"/>
      <c r="C48" s="11" t="s">
        <v>121</v>
      </c>
      <c r="D48" s="2"/>
      <c r="G48" s="19">
        <f>K10</f>
        <v>5842.2898744848953</v>
      </c>
      <c r="H48" s="2"/>
      <c r="I48" s="2"/>
    </row>
    <row r="49" spans="1:10" x14ac:dyDescent="0.3">
      <c r="A49" s="41" t="s">
        <v>136</v>
      </c>
      <c r="B49" s="2" t="s">
        <v>130</v>
      </c>
      <c r="C49" s="18" t="s">
        <v>131</v>
      </c>
      <c r="D49" s="2" t="s">
        <v>22</v>
      </c>
      <c r="E49" s="25">
        <f>F7*100</f>
        <v>13848.140417023807</v>
      </c>
      <c r="F49" s="2" t="s">
        <v>23</v>
      </c>
      <c r="G49" s="24">
        <f>H7</f>
        <v>300</v>
      </c>
      <c r="H49" s="2" t="s">
        <v>22</v>
      </c>
      <c r="I49" s="19">
        <f>E49*G49/G50/10^3</f>
        <v>4154.4421251071417</v>
      </c>
      <c r="J49" t="s">
        <v>33</v>
      </c>
    </row>
    <row r="50" spans="1:10" x14ac:dyDescent="0.3">
      <c r="A50" s="41"/>
      <c r="B50" s="2"/>
      <c r="C50" s="11" t="s">
        <v>129</v>
      </c>
      <c r="D50" s="2"/>
      <c r="G50" s="19">
        <v>1</v>
      </c>
      <c r="H50" s="2"/>
      <c r="I50" s="2"/>
    </row>
    <row r="51" spans="1:10" x14ac:dyDescent="0.3">
      <c r="A51" s="41"/>
      <c r="B51" s="2"/>
      <c r="C51" s="11"/>
      <c r="D51" s="2"/>
      <c r="G51" s="19"/>
      <c r="H51" s="2"/>
      <c r="I51" s="2"/>
    </row>
    <row r="52" spans="1:10" x14ac:dyDescent="0.3">
      <c r="A52" s="6" t="s">
        <v>92</v>
      </c>
      <c r="B52" t="s">
        <v>93</v>
      </c>
      <c r="D52" s="2"/>
      <c r="E52" s="10"/>
      <c r="F52" s="2"/>
      <c r="G52" s="19"/>
    </row>
    <row r="53" spans="1:10" x14ac:dyDescent="0.3">
      <c r="A53" s="7" t="s">
        <v>95</v>
      </c>
      <c r="B53" s="2" t="s">
        <v>22</v>
      </c>
      <c r="C53" s="37">
        <v>0.66</v>
      </c>
      <c r="D53" t="s">
        <v>99</v>
      </c>
    </row>
    <row r="54" spans="1:10" x14ac:dyDescent="0.3">
      <c r="A54" s="7"/>
      <c r="B54" s="2"/>
      <c r="C54"/>
    </row>
    <row r="55" spans="1:10" x14ac:dyDescent="0.3">
      <c r="A55" s="2" t="s">
        <v>94</v>
      </c>
      <c r="B55" s="36" t="s">
        <v>95</v>
      </c>
      <c r="C55" s="2" t="s">
        <v>22</v>
      </c>
      <c r="D55" s="3"/>
      <c r="E55" s="3">
        <f>C53</f>
        <v>0.66</v>
      </c>
      <c r="F55" s="3"/>
      <c r="G55" s="3"/>
      <c r="H55" s="2" t="s">
        <v>22</v>
      </c>
      <c r="I55" s="81">
        <f>E55/(1-(E56/G56))</f>
        <v>1.8386071566918918</v>
      </c>
      <c r="J55" t="s">
        <v>100</v>
      </c>
    </row>
    <row r="56" spans="1:10" x14ac:dyDescent="0.3">
      <c r="B56" t="s">
        <v>97</v>
      </c>
      <c r="D56" s="2" t="s">
        <v>96</v>
      </c>
      <c r="E56" s="11">
        <f>C41</f>
        <v>4684.0600000000004</v>
      </c>
      <c r="F56" s="21" t="s">
        <v>75</v>
      </c>
      <c r="G56" s="19">
        <f>H17</f>
        <v>7307.0540845405603</v>
      </c>
      <c r="H56" t="s">
        <v>98</v>
      </c>
    </row>
    <row r="57" spans="1:10" x14ac:dyDescent="0.3">
      <c r="D57" s="2"/>
      <c r="E57" s="10"/>
      <c r="F57" s="2"/>
      <c r="G57" s="19"/>
    </row>
    <row r="58" spans="1:10" x14ac:dyDescent="0.3">
      <c r="A58" s="2" t="s">
        <v>140</v>
      </c>
      <c r="B58" s="34">
        <v>480</v>
      </c>
      <c r="C58" s="2" t="s">
        <v>33</v>
      </c>
      <c r="D58" s="2" t="s">
        <v>101</v>
      </c>
      <c r="E58" s="79">
        <v>150.75</v>
      </c>
      <c r="F58" s="2" t="s">
        <v>23</v>
      </c>
      <c r="G58" s="2">
        <f>IF(I55&lt;1,1,I55)</f>
        <v>1.8386071566918918</v>
      </c>
      <c r="H58" s="2" t="s">
        <v>22</v>
      </c>
      <c r="I58" s="11">
        <f>E58*G58</f>
        <v>277.17002887130269</v>
      </c>
      <c r="J58" s="20" t="s">
        <v>33</v>
      </c>
    </row>
    <row r="59" spans="1:10" x14ac:dyDescent="0.3">
      <c r="A59" s="2" t="s">
        <v>111</v>
      </c>
      <c r="B59" s="34">
        <v>40</v>
      </c>
      <c r="C59" s="2" t="s">
        <v>33</v>
      </c>
      <c r="E59" s="2"/>
      <c r="F59" s="2"/>
      <c r="G59" s="2"/>
      <c r="H59" s="2"/>
      <c r="I59" s="2"/>
      <c r="J59" s="2"/>
    </row>
    <row r="61" spans="1:10" x14ac:dyDescent="0.3">
      <c r="A61" t="s">
        <v>103</v>
      </c>
      <c r="B61" s="2" t="s">
        <v>20</v>
      </c>
      <c r="C61" s="2" t="s">
        <v>22</v>
      </c>
      <c r="D61">
        <f>M7*1000</f>
        <v>2247790.0653426</v>
      </c>
      <c r="E61" s="2" t="s">
        <v>23</v>
      </c>
      <c r="F61" s="2">
        <f>H7</f>
        <v>300</v>
      </c>
      <c r="G61" s="2" t="s">
        <v>22</v>
      </c>
      <c r="H61" s="86">
        <f>D61*F61</f>
        <v>674337019.60277998</v>
      </c>
      <c r="I61" s="86"/>
      <c r="J61" t="s">
        <v>25</v>
      </c>
    </row>
    <row r="62" spans="1:10" x14ac:dyDescent="0.3">
      <c r="A62" t="s">
        <v>104</v>
      </c>
      <c r="G62" s="19" t="s">
        <v>22</v>
      </c>
      <c r="H62" s="85">
        <f>H61/1000000</f>
        <v>674.33701960277995</v>
      </c>
      <c r="I62" s="85"/>
      <c r="J62" t="s">
        <v>26</v>
      </c>
    </row>
    <row r="63" spans="1:10" x14ac:dyDescent="0.3">
      <c r="G63" s="19"/>
      <c r="H63" s="2"/>
      <c r="I63" s="2"/>
    </row>
    <row r="64" spans="1:10" x14ac:dyDescent="0.3">
      <c r="A64" s="38" t="s">
        <v>138</v>
      </c>
      <c r="G64" s="19"/>
      <c r="H64" s="2"/>
      <c r="I64" s="2"/>
    </row>
    <row r="65" spans="1:12" x14ac:dyDescent="0.3">
      <c r="A65" s="20" t="s">
        <v>184</v>
      </c>
      <c r="B65" s="2"/>
      <c r="C65" s="11"/>
      <c r="D65" s="2"/>
      <c r="G65" s="19"/>
      <c r="H65" s="2"/>
      <c r="I65" s="2"/>
    </row>
    <row r="66" spans="1:12" x14ac:dyDescent="0.3">
      <c r="A66" t="s">
        <v>135</v>
      </c>
      <c r="B66" s="44" t="s">
        <v>134</v>
      </c>
      <c r="C66" s="4" t="s">
        <v>88</v>
      </c>
      <c r="D66" s="2" t="s">
        <v>22</v>
      </c>
      <c r="E66" s="18">
        <f>I58</f>
        <v>277.17002887130269</v>
      </c>
      <c r="F66" s="2" t="s">
        <v>105</v>
      </c>
      <c r="G66" s="24">
        <f>I47</f>
        <v>2331.5788190964354</v>
      </c>
      <c r="H66" s="2" t="s">
        <v>22</v>
      </c>
      <c r="I66" s="82">
        <f>E66/E67+G66/G67</f>
        <v>0.97225146232417503</v>
      </c>
      <c r="J66" t="s">
        <v>118</v>
      </c>
      <c r="K66" s="45"/>
      <c r="L66" s="45"/>
    </row>
    <row r="67" spans="1:12" x14ac:dyDescent="0.3">
      <c r="B67" s="2" t="s">
        <v>102</v>
      </c>
      <c r="C67" s="2" t="s">
        <v>141</v>
      </c>
      <c r="E67" s="11">
        <f>H62</f>
        <v>674.33701960277995</v>
      </c>
      <c r="F67" s="2"/>
      <c r="G67" s="19">
        <f>I49</f>
        <v>4154.4421251071417</v>
      </c>
    </row>
    <row r="68" spans="1:12" x14ac:dyDescent="0.3">
      <c r="A68" s="41"/>
      <c r="B68" s="2"/>
      <c r="C68" s="11"/>
      <c r="D68" s="20"/>
      <c r="G68" s="19"/>
      <c r="H68" s="2"/>
      <c r="I68" s="2"/>
    </row>
    <row r="69" spans="1:12" x14ac:dyDescent="0.3">
      <c r="A69" t="s">
        <v>183</v>
      </c>
      <c r="B69" s="2"/>
      <c r="C69" s="11"/>
      <c r="D69" s="20"/>
      <c r="G69" s="19"/>
      <c r="H69" s="2"/>
      <c r="I69" s="2"/>
    </row>
    <row r="70" spans="1:12" x14ac:dyDescent="0.3">
      <c r="A70" s="41" t="s">
        <v>119</v>
      </c>
      <c r="B70" s="2" t="s">
        <v>22</v>
      </c>
      <c r="C70" s="20" t="s">
        <v>137</v>
      </c>
      <c r="G70" s="19"/>
      <c r="H70" s="2" t="s">
        <v>22</v>
      </c>
      <c r="I70" s="10">
        <f>I47/I49</f>
        <v>0.56122549042280967</v>
      </c>
      <c r="J70" t="s">
        <v>118</v>
      </c>
    </row>
    <row r="71" spans="1:12" x14ac:dyDescent="0.3">
      <c r="A71" s="41" t="s">
        <v>122</v>
      </c>
      <c r="B71" s="2" t="s">
        <v>22</v>
      </c>
      <c r="C71" s="40" t="s">
        <v>123</v>
      </c>
      <c r="D71" s="20"/>
      <c r="E71" s="11">
        <f>H62</f>
        <v>674.33701960277995</v>
      </c>
      <c r="F71" s="2" t="s">
        <v>23</v>
      </c>
      <c r="G71" s="43">
        <f>(1-I70^1.7)</f>
        <v>0.62542950940813569</v>
      </c>
      <c r="H71" s="2" t="s">
        <v>22</v>
      </c>
      <c r="I71" s="11">
        <f>E71*G71</f>
        <v>421.75027134591102</v>
      </c>
      <c r="J71" t="s">
        <v>26</v>
      </c>
    </row>
    <row r="72" spans="1:12" x14ac:dyDescent="0.3">
      <c r="A72" s="41"/>
      <c r="B72" s="2"/>
      <c r="C72" s="42"/>
      <c r="G72" s="19"/>
      <c r="H72" s="2"/>
      <c r="I72" s="2"/>
    </row>
    <row r="73" spans="1:12" x14ac:dyDescent="0.3">
      <c r="A73" t="s">
        <v>27</v>
      </c>
      <c r="C73" s="4" t="s">
        <v>2</v>
      </c>
      <c r="D73" s="2" t="s">
        <v>22</v>
      </c>
      <c r="E73" s="24">
        <f>I58</f>
        <v>277.17002887130269</v>
      </c>
      <c r="F73" s="2"/>
      <c r="G73" s="19"/>
      <c r="H73" s="2" t="s">
        <v>22</v>
      </c>
      <c r="I73" s="83">
        <f>E73/E74</f>
        <v>0.65718992423356015</v>
      </c>
      <c r="J73" t="s">
        <v>118</v>
      </c>
      <c r="K73" s="5"/>
    </row>
    <row r="74" spans="1:12" ht="15" x14ac:dyDescent="0.35">
      <c r="C74" s="2" t="s">
        <v>124</v>
      </c>
      <c r="D74" s="2"/>
      <c r="E74" s="11">
        <f>I71</f>
        <v>421.75027134591102</v>
      </c>
      <c r="F74" s="2"/>
      <c r="G74" s="19"/>
      <c r="I74" s="5" t="s">
        <v>142</v>
      </c>
    </row>
    <row r="75" spans="1:12" x14ac:dyDescent="0.3">
      <c r="A75" s="41"/>
      <c r="B75" s="2"/>
      <c r="C75" s="11"/>
      <c r="D75" s="20"/>
      <c r="G75" s="19"/>
      <c r="H75" s="2"/>
      <c r="I75" s="2"/>
    </row>
    <row r="76" spans="1:12" x14ac:dyDescent="0.3">
      <c r="D76" s="2"/>
      <c r="E76" s="10"/>
      <c r="F76" s="2"/>
      <c r="G76" s="19"/>
    </row>
    <row r="79" spans="1:12" x14ac:dyDescent="0.3">
      <c r="A79" s="6"/>
    </row>
  </sheetData>
  <mergeCells count="6">
    <mergeCell ref="H62:I62"/>
    <mergeCell ref="H15:I15"/>
    <mergeCell ref="H19:I19"/>
    <mergeCell ref="H17:I17"/>
    <mergeCell ref="H21:I21"/>
    <mergeCell ref="H61:I61"/>
  </mergeCells>
  <conditionalFormatting sqref="I37">
    <cfRule type="cellIs" dxfId="15" priority="17" operator="lessThan">
      <formula>0.5</formula>
    </cfRule>
  </conditionalFormatting>
  <conditionalFormatting sqref="I44">
    <cfRule type="cellIs" dxfId="14" priority="2" operator="greaterThan">
      <formula>1</formula>
    </cfRule>
    <cfRule type="cellIs" dxfId="13" priority="13" operator="lessThan">
      <formula>1</formula>
    </cfRule>
    <cfRule type="cellIs" dxfId="12" priority="16" operator="lessThan">
      <formula>0.5</formula>
    </cfRule>
  </conditionalFormatting>
  <conditionalFormatting sqref="I55">
    <cfRule type="cellIs" dxfId="11" priority="1" operator="greaterThan">
      <formula>1</formula>
    </cfRule>
  </conditionalFormatting>
  <conditionalFormatting sqref="I66">
    <cfRule type="cellIs" dxfId="10" priority="5" operator="greaterThan">
      <formula>1</formula>
    </cfRule>
    <cfRule type="cellIs" dxfId="9" priority="6" operator="lessThan">
      <formula>1</formula>
    </cfRule>
  </conditionalFormatting>
  <conditionalFormatting sqref="I73">
    <cfRule type="cellIs" dxfId="8" priority="3" operator="greaterThan">
      <formula>1</formula>
    </cfRule>
    <cfRule type="cellIs" dxfId="7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  <headerFooter>
    <oddHeader xml:space="preserve">&amp;R&amp;D
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C972-50BC-464A-B33F-75092B4D317A}">
  <sheetPr>
    <pageSetUpPr fitToPage="1"/>
  </sheetPr>
  <dimension ref="A1:U78"/>
  <sheetViews>
    <sheetView view="pageBreakPreview" topLeftCell="A47" zoomScale="110" zoomScaleNormal="110" zoomScaleSheetLayoutView="110" workbookViewId="0">
      <selection activeCell="G47" sqref="G47"/>
    </sheetView>
  </sheetViews>
  <sheetFormatPr defaultRowHeight="13.2" x14ac:dyDescent="0.3"/>
  <cols>
    <col min="2" max="2" width="15.375" bestFit="1" customWidth="1"/>
    <col min="3" max="3" width="11.5" style="2" bestFit="1" customWidth="1"/>
    <col min="7" max="7" width="13.875" bestFit="1" customWidth="1"/>
    <col min="8" max="8" width="10.5" customWidth="1"/>
    <col min="9" max="9" width="9.625" bestFit="1" customWidth="1"/>
    <col min="10" max="10" width="11.625" customWidth="1"/>
    <col min="11" max="11" width="6.875" customWidth="1"/>
    <col min="12" max="12" width="7.125" customWidth="1"/>
    <col min="13" max="13" width="8.625" customWidth="1"/>
  </cols>
  <sheetData>
    <row r="1" spans="1:21" ht="19.2" x14ac:dyDescent="0.45">
      <c r="A1" s="1" t="s">
        <v>0</v>
      </c>
      <c r="B1" s="1"/>
      <c r="C1" s="1" t="s">
        <v>143</v>
      </c>
      <c r="E1" s="14" t="s">
        <v>110</v>
      </c>
      <c r="F1" s="39" t="s">
        <v>117</v>
      </c>
      <c r="G1" s="14"/>
      <c r="H1" s="14"/>
      <c r="I1" s="14"/>
      <c r="J1" s="14"/>
      <c r="K1" s="14"/>
      <c r="L1" s="14"/>
    </row>
    <row r="2" spans="1:21" x14ac:dyDescent="0.3">
      <c r="D2" s="2"/>
      <c r="E2" s="2"/>
      <c r="F2" s="2"/>
      <c r="G2" s="2"/>
      <c r="H2" s="2"/>
      <c r="I2" s="2"/>
      <c r="J2" s="2"/>
      <c r="K2" s="2"/>
      <c r="L2" s="2"/>
    </row>
    <row r="3" spans="1:21" x14ac:dyDescent="0.3">
      <c r="A3" s="5" t="s">
        <v>3</v>
      </c>
      <c r="D3" s="2"/>
      <c r="E3" s="2"/>
      <c r="F3" s="2"/>
      <c r="G3" s="2"/>
      <c r="H3" s="2"/>
      <c r="I3" s="2"/>
      <c r="J3" s="2"/>
      <c r="K3" s="2"/>
      <c r="L3" s="2"/>
    </row>
    <row r="4" spans="1:21" x14ac:dyDescent="0.3">
      <c r="C4" s="2" t="s">
        <v>54</v>
      </c>
      <c r="D4" s="2" t="s">
        <v>51</v>
      </c>
      <c r="E4" s="2" t="s">
        <v>52</v>
      </c>
      <c r="F4" s="2" t="s">
        <v>5</v>
      </c>
      <c r="G4" s="2" t="s">
        <v>57</v>
      </c>
      <c r="H4" s="2" t="s">
        <v>53</v>
      </c>
      <c r="I4" s="2" t="s">
        <v>56</v>
      </c>
      <c r="J4" s="2" t="s">
        <v>63</v>
      </c>
      <c r="K4" s="2" t="s">
        <v>125</v>
      </c>
      <c r="L4" s="2" t="s">
        <v>71</v>
      </c>
      <c r="M4" s="2" t="s">
        <v>4</v>
      </c>
    </row>
    <row r="5" spans="1:21" ht="13.8" x14ac:dyDescent="0.3">
      <c r="C5" s="2" t="s">
        <v>55</v>
      </c>
      <c r="D5" s="2" t="s">
        <v>9</v>
      </c>
      <c r="E5" s="2" t="s">
        <v>9</v>
      </c>
      <c r="F5" s="2" t="s">
        <v>10</v>
      </c>
      <c r="G5" s="2" t="s">
        <v>58</v>
      </c>
      <c r="H5" s="2" t="s">
        <v>47</v>
      </c>
      <c r="I5" s="2" t="s">
        <v>47</v>
      </c>
      <c r="J5" s="2" t="s">
        <v>61</v>
      </c>
      <c r="K5" s="2" t="s">
        <v>1</v>
      </c>
      <c r="L5" s="2" t="s">
        <v>1</v>
      </c>
      <c r="M5" s="2" t="s">
        <v>11</v>
      </c>
      <c r="T5" t="s">
        <v>114</v>
      </c>
    </row>
    <row r="6" spans="1:21" ht="13.8" x14ac:dyDescent="0.3">
      <c r="B6" s="3"/>
      <c r="C6" s="4"/>
      <c r="D6" s="4"/>
      <c r="E6" s="4"/>
      <c r="F6" s="4" t="s">
        <v>6</v>
      </c>
      <c r="G6" s="4" t="s">
        <v>59</v>
      </c>
      <c r="H6" s="4"/>
      <c r="I6" s="4"/>
      <c r="J6" s="4" t="s">
        <v>62</v>
      </c>
      <c r="K6" s="4" t="s">
        <v>126</v>
      </c>
      <c r="L6" s="4" t="s">
        <v>72</v>
      </c>
      <c r="M6" s="4" t="s">
        <v>12</v>
      </c>
      <c r="T6" t="s">
        <v>115</v>
      </c>
      <c r="U6" t="s">
        <v>116</v>
      </c>
    </row>
    <row r="7" spans="1:21" x14ac:dyDescent="0.3">
      <c r="B7" t="s">
        <v>49</v>
      </c>
      <c r="C7" s="2">
        <v>1</v>
      </c>
      <c r="D7" s="13">
        <v>559</v>
      </c>
      <c r="E7" s="13">
        <v>12.5</v>
      </c>
      <c r="F7" s="19">
        <f>PI()*(D7^2-(D7-2*E7)^2)/4/100</f>
        <v>214.61004814835272</v>
      </c>
      <c r="G7" s="19">
        <f>PI()*(D7^4-(D7-2*E7)^4)/64/10000</f>
        <v>80161.815840773183</v>
      </c>
      <c r="H7" s="28">
        <v>355</v>
      </c>
      <c r="I7" s="19">
        <v>210000</v>
      </c>
      <c r="J7" s="19">
        <f>I7*G7*10000/1000000000</f>
        <v>168339.8132656237</v>
      </c>
      <c r="K7" s="19">
        <f>F7*100*I7/10^6</f>
        <v>4506.8110111154074</v>
      </c>
      <c r="L7" s="11">
        <f>F7*H7/10</f>
        <v>7618.6567092665209</v>
      </c>
      <c r="M7" s="11">
        <f>G7*10000/(2*U7)/1000</f>
        <v>3456.1176360081095</v>
      </c>
      <c r="T7">
        <f>(D7-E7)/2</f>
        <v>273.25</v>
      </c>
      <c r="U7">
        <f>4*T7/(3*PI())</f>
        <v>115.97090186629441</v>
      </c>
    </row>
    <row r="8" spans="1:21" x14ac:dyDescent="0.3">
      <c r="B8" t="s">
        <v>50</v>
      </c>
      <c r="C8" s="2">
        <v>1</v>
      </c>
      <c r="D8" s="13">
        <f>D7-2*E7</f>
        <v>534</v>
      </c>
      <c r="E8" s="2"/>
      <c r="F8" s="11">
        <f>PI()*D8^2/4/100</f>
        <v>2239.6099868176275</v>
      </c>
      <c r="G8" s="19">
        <f>PI()*D8^4/64/10000</f>
        <v>399148.89087560464</v>
      </c>
      <c r="H8" s="2">
        <v>14</v>
      </c>
      <c r="I8" s="19">
        <v>10500</v>
      </c>
      <c r="J8" s="19">
        <f>I8*G8*10000/1000000000*0.6</f>
        <v>25146.38012516309</v>
      </c>
      <c r="K8" s="19">
        <f>F8*100*I8/10^6</f>
        <v>2351.5904861585086</v>
      </c>
      <c r="L8" s="11">
        <f>F8*H8/10</f>
        <v>3135.4539815446783</v>
      </c>
      <c r="M8" s="2"/>
      <c r="Q8" t="s">
        <v>106</v>
      </c>
    </row>
    <row r="9" spans="1:21" x14ac:dyDescent="0.3">
      <c r="B9" t="s">
        <v>86</v>
      </c>
      <c r="C9" s="13">
        <v>8</v>
      </c>
      <c r="D9" s="13">
        <v>20</v>
      </c>
      <c r="E9" s="2"/>
      <c r="F9" s="11">
        <f>C9*PI()*D9^2/4/100</f>
        <v>25.132741228718345</v>
      </c>
      <c r="G9" s="32">
        <f>(C9*PI()*D9^4/64+2*F9*100/C9*200^2+4*F9*100/C9*(200/SQRT(2))^2)/10000</f>
        <v>5032.8314310508486</v>
      </c>
      <c r="H9" s="2">
        <v>348</v>
      </c>
      <c r="I9" s="19">
        <v>200000</v>
      </c>
      <c r="J9" s="24">
        <f>I9*G9*10000/1000000000</f>
        <v>10065.662862101697</v>
      </c>
      <c r="K9" s="24">
        <f>F9*100*I9/10^6</f>
        <v>502.65482457436696</v>
      </c>
      <c r="L9" s="18">
        <f>F9*H9/10</f>
        <v>874.61939475939835</v>
      </c>
      <c r="M9" s="2"/>
    </row>
    <row r="10" spans="1:21" x14ac:dyDescent="0.3">
      <c r="B10" s="33" t="s">
        <v>60</v>
      </c>
      <c r="J10" s="19">
        <f>SUM(J7:J9)</f>
        <v>203551.85625288848</v>
      </c>
      <c r="K10" s="19">
        <f>SUM(K7:K9)</f>
        <v>7361.056321848283</v>
      </c>
      <c r="L10" s="19">
        <f>SUM(L7:L9)</f>
        <v>11628.730085570598</v>
      </c>
    </row>
    <row r="13" spans="1:21" x14ac:dyDescent="0.3">
      <c r="A13" s="6" t="s">
        <v>80</v>
      </c>
      <c r="G13" s="23"/>
    </row>
    <row r="15" spans="1:21" ht="15.6" x14ac:dyDescent="0.35">
      <c r="A15" s="2" t="s">
        <v>67</v>
      </c>
      <c r="B15" s="4" t="s">
        <v>64</v>
      </c>
      <c r="C15" s="2" t="s">
        <v>22</v>
      </c>
      <c r="D15" s="4" t="s">
        <v>66</v>
      </c>
      <c r="E15" s="26">
        <f>J10</f>
        <v>203551.85625288848</v>
      </c>
      <c r="F15" s="4" t="s">
        <v>62</v>
      </c>
      <c r="G15" s="2" t="s">
        <v>22</v>
      </c>
      <c r="H15" s="86">
        <f>PI()^2*E15*1000000000/E16^2</f>
        <v>20089762.963234164</v>
      </c>
      <c r="I15" s="86"/>
      <c r="J15" s="20" t="s">
        <v>1</v>
      </c>
    </row>
    <row r="16" spans="1:21" ht="13.8" x14ac:dyDescent="0.3">
      <c r="B16" s="2" t="s">
        <v>65</v>
      </c>
      <c r="E16" s="31">
        <v>10000</v>
      </c>
      <c r="F16" s="27">
        <v>2</v>
      </c>
      <c r="G16" s="2"/>
    </row>
    <row r="17" spans="1:11" x14ac:dyDescent="0.3">
      <c r="G17" s="2" t="s">
        <v>22</v>
      </c>
      <c r="H17" s="86">
        <f>H15/1000</f>
        <v>20089.762963234163</v>
      </c>
      <c r="I17" s="86"/>
      <c r="J17" s="20" t="s">
        <v>33</v>
      </c>
    </row>
    <row r="18" spans="1:11" x14ac:dyDescent="0.3">
      <c r="G18" s="2"/>
    </row>
    <row r="19" spans="1:11" x14ac:dyDescent="0.3">
      <c r="A19" s="2" t="s">
        <v>70</v>
      </c>
      <c r="B19" t="s">
        <v>73</v>
      </c>
      <c r="G19" s="2" t="s">
        <v>22</v>
      </c>
      <c r="H19" s="86">
        <f>L10*1000</f>
        <v>11628730.085570598</v>
      </c>
      <c r="I19" s="86"/>
      <c r="J19" t="s">
        <v>1</v>
      </c>
      <c r="K19" t="s">
        <v>79</v>
      </c>
    </row>
    <row r="20" spans="1:11" x14ac:dyDescent="0.3">
      <c r="G20" s="2"/>
    </row>
    <row r="21" spans="1:11" x14ac:dyDescent="0.3">
      <c r="G21" s="2" t="s">
        <v>22</v>
      </c>
      <c r="H21" s="86">
        <f>H19/1000</f>
        <v>11628.730085570598</v>
      </c>
      <c r="I21" s="86"/>
      <c r="J21" s="20" t="s">
        <v>33</v>
      </c>
    </row>
    <row r="23" spans="1:11" ht="15" x14ac:dyDescent="0.35">
      <c r="A23" s="2" t="s">
        <v>68</v>
      </c>
      <c r="B23" t="s">
        <v>69</v>
      </c>
      <c r="C23" s="29" t="s">
        <v>74</v>
      </c>
      <c r="D23" s="25">
        <f>H21</f>
        <v>11628.730085570598</v>
      </c>
      <c r="E23" s="21" t="s">
        <v>75</v>
      </c>
      <c r="F23" s="25">
        <f>H17</f>
        <v>20089.762963234163</v>
      </c>
      <c r="G23" s="2" t="s">
        <v>76</v>
      </c>
      <c r="H23" s="30">
        <f>SQRT(D23/F23)</f>
        <v>0.76081442607298344</v>
      </c>
      <c r="I23" t="s">
        <v>77</v>
      </c>
      <c r="K23" t="s">
        <v>78</v>
      </c>
    </row>
    <row r="26" spans="1:11" x14ac:dyDescent="0.3">
      <c r="A26" s="6" t="s">
        <v>81</v>
      </c>
      <c r="D26" s="2"/>
      <c r="E26" s="2"/>
      <c r="F26" s="2"/>
      <c r="G26" s="2"/>
      <c r="H26" s="2"/>
      <c r="I26" s="2"/>
      <c r="J26" s="2"/>
    </row>
    <row r="27" spans="1:11" ht="13.8" x14ac:dyDescent="0.3">
      <c r="A27" s="2" t="s">
        <v>82</v>
      </c>
      <c r="B27" t="s">
        <v>83</v>
      </c>
      <c r="D27" s="2" t="s">
        <v>22</v>
      </c>
      <c r="E27" s="2">
        <f>2*F7*100/PI()</f>
        <v>13662.499999999998</v>
      </c>
      <c r="F27" s="2" t="s">
        <v>10</v>
      </c>
      <c r="G27" s="2"/>
      <c r="H27" s="2"/>
      <c r="I27" s="2"/>
      <c r="J27" s="2"/>
    </row>
    <row r="28" spans="1:11" x14ac:dyDescent="0.3">
      <c r="A28" s="6"/>
      <c r="D28" s="2"/>
      <c r="E28" s="2"/>
      <c r="F28" s="2"/>
      <c r="G28" s="2"/>
      <c r="H28" s="2"/>
      <c r="I28" s="2"/>
      <c r="J28" s="2"/>
    </row>
    <row r="29" spans="1:11" x14ac:dyDescent="0.3">
      <c r="A29" s="2" t="s">
        <v>30</v>
      </c>
      <c r="C29" s="4" t="s">
        <v>31</v>
      </c>
      <c r="D29" s="2" t="s">
        <v>22</v>
      </c>
      <c r="E29" s="18">
        <f>E27</f>
        <v>13662.499999999998</v>
      </c>
      <c r="F29" s="4" t="s">
        <v>23</v>
      </c>
      <c r="G29" s="18">
        <f>H7/SQRT(3)</f>
        <v>204.95934556231717</v>
      </c>
      <c r="H29" s="2" t="s">
        <v>22</v>
      </c>
      <c r="I29" s="19">
        <f>E29*G29</f>
        <v>2800257.0587451579</v>
      </c>
      <c r="J29" s="2" t="s">
        <v>1</v>
      </c>
    </row>
    <row r="30" spans="1:11" ht="15" x14ac:dyDescent="0.35">
      <c r="C30" s="7" t="s">
        <v>21</v>
      </c>
      <c r="D30" s="2"/>
      <c r="E30" s="2"/>
      <c r="F30" s="8">
        <v>1</v>
      </c>
      <c r="G30" s="2"/>
      <c r="H30" s="2"/>
      <c r="I30" s="2"/>
      <c r="J30" s="2"/>
    </row>
    <row r="31" spans="1:11" x14ac:dyDescent="0.3">
      <c r="D31" s="2"/>
      <c r="E31" s="2"/>
      <c r="F31" s="2"/>
      <c r="G31" s="2"/>
      <c r="H31" s="2" t="s">
        <v>22</v>
      </c>
      <c r="I31" s="19">
        <f>I29/1000</f>
        <v>2800.2570587451578</v>
      </c>
      <c r="J31" s="2" t="s">
        <v>33</v>
      </c>
    </row>
    <row r="32" spans="1:11" x14ac:dyDescent="0.3">
      <c r="D32" s="2"/>
      <c r="E32" s="2"/>
      <c r="F32" s="2"/>
      <c r="G32" s="2"/>
      <c r="H32" s="2"/>
      <c r="I32" s="19"/>
      <c r="J32" s="2"/>
    </row>
    <row r="33" spans="1:10" x14ac:dyDescent="0.3">
      <c r="A33" s="2" t="s">
        <v>84</v>
      </c>
      <c r="B33" t="s">
        <v>22</v>
      </c>
      <c r="C33" s="34">
        <v>62</v>
      </c>
      <c r="D33" s="2" t="s">
        <v>33</v>
      </c>
      <c r="E33" s="2"/>
      <c r="G33" s="2" t="s">
        <v>34</v>
      </c>
      <c r="H33" s="2" t="s">
        <v>22</v>
      </c>
      <c r="I33" s="19">
        <f>SQRT(C33^2+C34^2)</f>
        <v>103.60019305001319</v>
      </c>
      <c r="J33" s="2" t="s">
        <v>33</v>
      </c>
    </row>
    <row r="34" spans="1:10" x14ac:dyDescent="0.3">
      <c r="A34" s="2" t="s">
        <v>112</v>
      </c>
      <c r="B34" t="s">
        <v>22</v>
      </c>
      <c r="C34" s="34">
        <v>83</v>
      </c>
      <c r="D34" s="2" t="s">
        <v>33</v>
      </c>
      <c r="E34" s="2"/>
      <c r="F34" s="2"/>
      <c r="G34" s="2"/>
      <c r="H34" s="2"/>
      <c r="I34" s="2"/>
      <c r="J34" s="2"/>
    </row>
    <row r="35" spans="1:10" x14ac:dyDescent="0.3">
      <c r="D35" s="2"/>
      <c r="E35" s="2"/>
      <c r="F35" s="2"/>
      <c r="G35" s="2"/>
      <c r="H35" s="2"/>
      <c r="I35" s="2"/>
      <c r="J35" s="2"/>
    </row>
    <row r="36" spans="1:10" x14ac:dyDescent="0.3">
      <c r="D36" s="2"/>
      <c r="E36" s="2"/>
      <c r="F36" s="2"/>
      <c r="G36" s="2"/>
      <c r="H36" s="2"/>
      <c r="I36" s="2"/>
      <c r="J36" s="2"/>
    </row>
    <row r="37" spans="1:10" x14ac:dyDescent="0.3">
      <c r="A37" t="s">
        <v>27</v>
      </c>
      <c r="C37" s="4" t="s">
        <v>34</v>
      </c>
      <c r="D37" s="2" t="s">
        <v>22</v>
      </c>
      <c r="E37" s="24">
        <f>I33</f>
        <v>103.60019305001319</v>
      </c>
      <c r="F37" s="2"/>
      <c r="G37" s="2"/>
      <c r="H37" s="2" t="s">
        <v>22</v>
      </c>
      <c r="I37" s="17">
        <f>E37/E38</f>
        <v>3.6996672404224981E-2</v>
      </c>
      <c r="J37" s="2" t="s">
        <v>38</v>
      </c>
    </row>
    <row r="38" spans="1:10" x14ac:dyDescent="0.3">
      <c r="C38" s="2" t="s">
        <v>35</v>
      </c>
      <c r="D38" s="2"/>
      <c r="E38" s="11">
        <f>I31</f>
        <v>2800.2570587451578</v>
      </c>
      <c r="F38" s="2"/>
      <c r="G38" s="2"/>
      <c r="H38" s="2"/>
      <c r="I38" s="2"/>
      <c r="J38" s="2" t="s">
        <v>85</v>
      </c>
    </row>
    <row r="40" spans="1:10" x14ac:dyDescent="0.3">
      <c r="A40" s="38" t="s">
        <v>87</v>
      </c>
    </row>
    <row r="41" spans="1:10" x14ac:dyDescent="0.3">
      <c r="A41" s="2" t="s">
        <v>88</v>
      </c>
      <c r="B41" t="s">
        <v>22</v>
      </c>
      <c r="C41" s="35">
        <v>4295</v>
      </c>
      <c r="D41" t="s">
        <v>33</v>
      </c>
    </row>
    <row r="42" spans="1:10" x14ac:dyDescent="0.3">
      <c r="A42" s="7" t="s">
        <v>89</v>
      </c>
      <c r="B42" t="s">
        <v>22</v>
      </c>
      <c r="C42" s="34">
        <v>0.75</v>
      </c>
      <c r="E42" t="s">
        <v>90</v>
      </c>
    </row>
    <row r="44" spans="1:10" x14ac:dyDescent="0.3">
      <c r="A44" t="s">
        <v>27</v>
      </c>
      <c r="C44" s="4" t="s">
        <v>88</v>
      </c>
      <c r="D44" s="2" t="s">
        <v>22</v>
      </c>
      <c r="E44" s="3"/>
      <c r="F44" s="24">
        <f>C41</f>
        <v>4295</v>
      </c>
      <c r="G44" s="3"/>
      <c r="H44" s="2" t="s">
        <v>22</v>
      </c>
      <c r="I44" s="10">
        <f>F44/(E45*G45)</f>
        <v>0.49245847349854205</v>
      </c>
      <c r="J44" s="2"/>
    </row>
    <row r="45" spans="1:10" x14ac:dyDescent="0.3">
      <c r="C45" s="2" t="s">
        <v>91</v>
      </c>
      <c r="D45" s="2"/>
      <c r="E45" s="10">
        <f>C42</f>
        <v>0.75</v>
      </c>
      <c r="F45" s="2" t="s">
        <v>23</v>
      </c>
      <c r="G45" s="19">
        <f>H21</f>
        <v>11628.730085570598</v>
      </c>
    </row>
    <row r="46" spans="1:10" x14ac:dyDescent="0.3">
      <c r="D46" s="2"/>
      <c r="E46" s="10"/>
      <c r="F46" s="2"/>
      <c r="G46" s="19"/>
    </row>
    <row r="47" spans="1:10" x14ac:dyDescent="0.3">
      <c r="A47" s="41" t="s">
        <v>128</v>
      </c>
      <c r="B47" s="11" t="s">
        <v>127</v>
      </c>
      <c r="C47" s="18" t="s">
        <v>120</v>
      </c>
      <c r="D47" s="2" t="s">
        <v>22</v>
      </c>
      <c r="E47" s="25">
        <f>C41</f>
        <v>4295</v>
      </c>
      <c r="F47" s="2" t="s">
        <v>23</v>
      </c>
      <c r="G47" s="24">
        <f>K7</f>
        <v>4506.8110111154074</v>
      </c>
      <c r="H47" s="2" t="s">
        <v>22</v>
      </c>
      <c r="I47" s="19">
        <f>E47*(G47/G48)</f>
        <v>2629.616246147727</v>
      </c>
      <c r="J47" t="s">
        <v>33</v>
      </c>
    </row>
    <row r="48" spans="1:10" x14ac:dyDescent="0.3">
      <c r="A48" s="41"/>
      <c r="B48" s="11"/>
      <c r="C48" s="11" t="s">
        <v>121</v>
      </c>
      <c r="D48" s="2"/>
      <c r="G48" s="19">
        <f>K10</f>
        <v>7361.056321848283</v>
      </c>
      <c r="H48" s="2"/>
      <c r="I48" s="2"/>
    </row>
    <row r="49" spans="1:10" x14ac:dyDescent="0.3">
      <c r="A49" s="41" t="s">
        <v>136</v>
      </c>
      <c r="B49" s="2" t="s">
        <v>130</v>
      </c>
      <c r="C49" s="18" t="s">
        <v>131</v>
      </c>
      <c r="D49" s="2" t="s">
        <v>22</v>
      </c>
      <c r="E49" s="25">
        <f>F7*100</f>
        <v>21461.004814835273</v>
      </c>
      <c r="F49" s="2" t="s">
        <v>23</v>
      </c>
      <c r="G49" s="24">
        <f>H7</f>
        <v>355</v>
      </c>
      <c r="H49" s="2" t="s">
        <v>22</v>
      </c>
      <c r="I49" s="19">
        <f>E49*G49/G50/10^3</f>
        <v>7618.6567092665218</v>
      </c>
      <c r="J49" t="s">
        <v>33</v>
      </c>
    </row>
    <row r="50" spans="1:10" x14ac:dyDescent="0.3">
      <c r="A50" s="41"/>
      <c r="B50" s="2"/>
      <c r="C50" s="11" t="s">
        <v>129</v>
      </c>
      <c r="D50" s="2"/>
      <c r="G50" s="19">
        <v>1</v>
      </c>
      <c r="H50" s="2"/>
      <c r="I50" s="2"/>
    </row>
    <row r="51" spans="1:10" x14ac:dyDescent="0.3">
      <c r="A51" s="41"/>
      <c r="B51" s="2"/>
      <c r="C51" s="11"/>
      <c r="D51" s="2"/>
      <c r="G51" s="19"/>
      <c r="H51" s="2"/>
      <c r="I51" s="2"/>
    </row>
    <row r="52" spans="1:10" x14ac:dyDescent="0.3">
      <c r="A52" s="38" t="s">
        <v>92</v>
      </c>
      <c r="B52" t="s">
        <v>93</v>
      </c>
      <c r="D52" s="2"/>
      <c r="E52" s="10"/>
      <c r="F52" s="2"/>
      <c r="G52" s="19"/>
    </row>
    <row r="53" spans="1:10" x14ac:dyDescent="0.3">
      <c r="A53" s="7" t="s">
        <v>95</v>
      </c>
      <c r="B53" s="2" t="s">
        <v>22</v>
      </c>
      <c r="C53" s="37">
        <v>0.66</v>
      </c>
      <c r="D53" t="s">
        <v>99</v>
      </c>
    </row>
    <row r="54" spans="1:10" x14ac:dyDescent="0.3">
      <c r="A54" s="7"/>
      <c r="B54" s="2"/>
      <c r="C54"/>
    </row>
    <row r="55" spans="1:10" x14ac:dyDescent="0.3">
      <c r="A55" s="2" t="s">
        <v>94</v>
      </c>
      <c r="B55" s="36" t="s">
        <v>95</v>
      </c>
      <c r="C55" s="2" t="s">
        <v>22</v>
      </c>
      <c r="D55" s="3"/>
      <c r="E55" s="3">
        <f>C53</f>
        <v>0.66</v>
      </c>
      <c r="F55" s="3"/>
      <c r="G55" s="3"/>
      <c r="H55" s="2" t="s">
        <v>22</v>
      </c>
      <c r="I55" s="10">
        <f>E55/(1-(E56/G56))</f>
        <v>0.8394708794679856</v>
      </c>
      <c r="J55" t="s">
        <v>100</v>
      </c>
    </row>
    <row r="56" spans="1:10" x14ac:dyDescent="0.3">
      <c r="B56" t="s">
        <v>97</v>
      </c>
      <c r="D56" s="2" t="s">
        <v>96</v>
      </c>
      <c r="E56" s="11">
        <f>C41</f>
        <v>4295</v>
      </c>
      <c r="F56" s="21" t="s">
        <v>75</v>
      </c>
      <c r="G56" s="19">
        <f>H17</f>
        <v>20089.762963234163</v>
      </c>
      <c r="H56" t="s">
        <v>98</v>
      </c>
    </row>
    <row r="57" spans="1:10" x14ac:dyDescent="0.3">
      <c r="D57" s="2"/>
      <c r="E57" s="10"/>
      <c r="F57" s="2"/>
      <c r="G57" s="19"/>
    </row>
    <row r="58" spans="1:10" x14ac:dyDescent="0.3">
      <c r="A58" s="2" t="s">
        <v>113</v>
      </c>
      <c r="B58" s="34">
        <v>461</v>
      </c>
      <c r="C58" s="2" t="s">
        <v>33</v>
      </c>
      <c r="D58" s="2" t="s">
        <v>101</v>
      </c>
      <c r="E58" s="19">
        <f>SQRT(B58^2+B59^2)</f>
        <v>589.24527999806674</v>
      </c>
      <c r="F58" s="2" t="s">
        <v>23</v>
      </c>
      <c r="G58" s="2">
        <f>IF(I55&lt;1,1,I55)</f>
        <v>1</v>
      </c>
      <c r="H58" s="2" t="s">
        <v>22</v>
      </c>
      <c r="I58" s="11">
        <f>E58*G58</f>
        <v>589.24527999806674</v>
      </c>
      <c r="J58" s="20" t="s">
        <v>33</v>
      </c>
    </row>
    <row r="59" spans="1:10" x14ac:dyDescent="0.3">
      <c r="A59" s="2" t="s">
        <v>111</v>
      </c>
      <c r="B59" s="34">
        <v>367</v>
      </c>
      <c r="C59" s="2" t="s">
        <v>33</v>
      </c>
      <c r="E59" s="2"/>
      <c r="F59" s="2"/>
      <c r="G59" s="2"/>
      <c r="H59" s="2"/>
      <c r="I59" s="2"/>
      <c r="J59" s="2"/>
    </row>
    <row r="61" spans="1:10" x14ac:dyDescent="0.3">
      <c r="A61" t="s">
        <v>103</v>
      </c>
      <c r="B61" s="2" t="s">
        <v>20</v>
      </c>
      <c r="C61" s="2" t="s">
        <v>22</v>
      </c>
      <c r="D61">
        <f>M7*1000</f>
        <v>3456117.6360081094</v>
      </c>
      <c r="E61" s="2" t="s">
        <v>23</v>
      </c>
      <c r="F61" s="2">
        <f>H7</f>
        <v>355</v>
      </c>
      <c r="G61" s="2" t="s">
        <v>22</v>
      </c>
      <c r="H61" s="86">
        <f>D61*F61</f>
        <v>1226921760.7828789</v>
      </c>
      <c r="I61" s="86"/>
      <c r="J61" t="s">
        <v>25</v>
      </c>
    </row>
    <row r="62" spans="1:10" x14ac:dyDescent="0.3">
      <c r="A62" t="s">
        <v>104</v>
      </c>
      <c r="G62" s="19" t="s">
        <v>22</v>
      </c>
      <c r="H62" s="85">
        <f>H61/1000000</f>
        <v>1226.9217607828789</v>
      </c>
      <c r="I62" s="85"/>
      <c r="J62" t="s">
        <v>26</v>
      </c>
    </row>
    <row r="63" spans="1:10" x14ac:dyDescent="0.3">
      <c r="G63" s="19"/>
      <c r="H63" s="2"/>
      <c r="I63" s="2"/>
    </row>
    <row r="64" spans="1:10" x14ac:dyDescent="0.3">
      <c r="A64" s="38" t="s">
        <v>138</v>
      </c>
      <c r="G64" s="19"/>
      <c r="H64" s="2"/>
      <c r="I64" s="2"/>
    </row>
    <row r="65" spans="1:12" x14ac:dyDescent="0.3">
      <c r="A65" s="20" t="s">
        <v>139</v>
      </c>
      <c r="B65" s="2"/>
      <c r="C65" s="11"/>
      <c r="D65" s="2"/>
      <c r="G65" s="19"/>
      <c r="H65" s="2"/>
      <c r="I65" s="2"/>
    </row>
    <row r="66" spans="1:12" x14ac:dyDescent="0.3">
      <c r="A66" t="s">
        <v>135</v>
      </c>
      <c r="B66" s="44" t="s">
        <v>134</v>
      </c>
      <c r="C66" s="4" t="s">
        <v>88</v>
      </c>
      <c r="D66" s="2" t="s">
        <v>22</v>
      </c>
      <c r="E66" s="18">
        <f>I58</f>
        <v>589.24527999806674</v>
      </c>
      <c r="F66" s="2" t="s">
        <v>105</v>
      </c>
      <c r="G66" s="24">
        <f>I47</f>
        <v>2629.616246147727</v>
      </c>
      <c r="H66" s="2" t="s">
        <v>22</v>
      </c>
      <c r="I66" s="17">
        <f>E66/E67+G66/G67</f>
        <v>0.82541796697757674</v>
      </c>
      <c r="J66" t="s">
        <v>118</v>
      </c>
      <c r="K66" s="5" t="s">
        <v>144</v>
      </c>
      <c r="L66" s="5" t="s">
        <v>145</v>
      </c>
    </row>
    <row r="67" spans="1:12" x14ac:dyDescent="0.3">
      <c r="B67" s="2" t="s">
        <v>102</v>
      </c>
      <c r="C67" s="2" t="s">
        <v>133</v>
      </c>
      <c r="E67" s="11">
        <f>H62</f>
        <v>1226.9217607828789</v>
      </c>
      <c r="F67" s="2"/>
      <c r="G67" s="19">
        <f>I49</f>
        <v>7618.6567092665218</v>
      </c>
    </row>
    <row r="68" spans="1:12" x14ac:dyDescent="0.3">
      <c r="A68" s="41"/>
      <c r="B68" s="2"/>
      <c r="C68" s="11"/>
      <c r="D68" s="20"/>
      <c r="G68" s="19"/>
      <c r="H68" s="2"/>
      <c r="I68" s="2"/>
    </row>
    <row r="69" spans="1:12" x14ac:dyDescent="0.3">
      <c r="A69" t="s">
        <v>132</v>
      </c>
      <c r="B69" s="2"/>
      <c r="C69" s="11"/>
      <c r="D69" s="20"/>
      <c r="G69" s="19"/>
      <c r="H69" s="2"/>
      <c r="I69" s="2"/>
    </row>
    <row r="70" spans="1:12" x14ac:dyDescent="0.3">
      <c r="A70" s="41" t="s">
        <v>119</v>
      </c>
      <c r="B70" s="2" t="s">
        <v>22</v>
      </c>
      <c r="C70" s="20" t="s">
        <v>137</v>
      </c>
      <c r="G70" s="19"/>
      <c r="H70" s="2" t="s">
        <v>22</v>
      </c>
      <c r="I70" s="10">
        <f>I47/I49</f>
        <v>0.34515484113483447</v>
      </c>
      <c r="J70" t="s">
        <v>118</v>
      </c>
    </row>
    <row r="71" spans="1:12" x14ac:dyDescent="0.3">
      <c r="A71" s="41" t="s">
        <v>122</v>
      </c>
      <c r="B71" s="2" t="s">
        <v>22</v>
      </c>
      <c r="C71" s="40" t="s">
        <v>123</v>
      </c>
      <c r="D71" s="20"/>
      <c r="E71" s="11">
        <f>H62</f>
        <v>1226.9217607828789</v>
      </c>
      <c r="F71" s="2" t="s">
        <v>23</v>
      </c>
      <c r="G71" s="43">
        <f>(1-I70^1.7)</f>
        <v>0.83608309414620896</v>
      </c>
      <c r="H71" s="2" t="s">
        <v>22</v>
      </c>
      <c r="I71" s="11">
        <f>E71*G71</f>
        <v>1025.8085420306643</v>
      </c>
      <c r="J71" t="s">
        <v>26</v>
      </c>
    </row>
    <row r="72" spans="1:12" x14ac:dyDescent="0.3">
      <c r="A72" s="41"/>
      <c r="B72" s="2"/>
      <c r="C72" s="42"/>
      <c r="G72" s="19"/>
      <c r="H72" s="2"/>
      <c r="I72" s="2"/>
    </row>
    <row r="73" spans="1:12" x14ac:dyDescent="0.3">
      <c r="A73" t="s">
        <v>27</v>
      </c>
      <c r="C73" s="4" t="s">
        <v>2</v>
      </c>
      <c r="D73" s="2" t="s">
        <v>22</v>
      </c>
      <c r="E73" s="24">
        <f>I58</f>
        <v>589.24527999806674</v>
      </c>
      <c r="F73" s="2"/>
      <c r="G73" s="19"/>
      <c r="H73" s="2" t="s">
        <v>22</v>
      </c>
      <c r="I73" s="10">
        <f>E73/E74</f>
        <v>0.57442032879898997</v>
      </c>
      <c r="J73" t="s">
        <v>118</v>
      </c>
      <c r="K73" s="5"/>
    </row>
    <row r="74" spans="1:12" ht="15" x14ac:dyDescent="0.35">
      <c r="C74" s="2" t="s">
        <v>124</v>
      </c>
      <c r="D74" s="2"/>
      <c r="E74" s="11">
        <f>I71</f>
        <v>1025.8085420306643</v>
      </c>
      <c r="F74" s="2"/>
      <c r="G74" s="19"/>
    </row>
    <row r="75" spans="1:12" x14ac:dyDescent="0.3">
      <c r="D75" s="2"/>
      <c r="E75" s="10"/>
      <c r="F75" s="2"/>
      <c r="G75" s="19"/>
    </row>
    <row r="78" spans="1:12" x14ac:dyDescent="0.3">
      <c r="A78" s="6"/>
    </row>
  </sheetData>
  <mergeCells count="6">
    <mergeCell ref="H62:I62"/>
    <mergeCell ref="H15:I15"/>
    <mergeCell ref="H17:I17"/>
    <mergeCell ref="H19:I19"/>
    <mergeCell ref="H21:I21"/>
    <mergeCell ref="H61:I61"/>
  </mergeCells>
  <conditionalFormatting sqref="I37">
    <cfRule type="cellIs" dxfId="6" priority="7" operator="lessThan">
      <formula>0.5</formula>
    </cfRule>
  </conditionalFormatting>
  <conditionalFormatting sqref="I44">
    <cfRule type="cellIs" dxfId="5" priority="4" operator="lessThan">
      <formula>1</formula>
    </cfRule>
    <cfRule type="cellIs" dxfId="4" priority="6" operator="lessThan">
      <formula>0.5</formula>
    </cfRule>
  </conditionalFormatting>
  <conditionalFormatting sqref="I66">
    <cfRule type="cellIs" dxfId="3" priority="1" operator="greaterThan">
      <formula>1</formula>
    </cfRule>
    <cfRule type="cellIs" dxfId="2" priority="2" operator="lessThan">
      <formula>1</formula>
    </cfRule>
  </conditionalFormatting>
  <conditionalFormatting sqref="I73">
    <cfRule type="cellIs" dxfId="1" priority="3" operator="greaterThan">
      <formula>1</formula>
    </cfRule>
    <cfRule type="cellIs" dxfId="0" priority="5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 xml:space="preserve">&amp;R&amp;D
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frame</vt:lpstr>
      <vt:lpstr>palen</vt:lpstr>
      <vt:lpstr>palen (2)</vt:lpstr>
      <vt:lpstr>frame!Print_Area</vt:lpstr>
      <vt:lpstr>palen!Print_Area</vt:lpstr>
      <vt:lpstr>'palen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Wine2</dc:creator>
  <cp:lastModifiedBy>Rayaan Ajouz</cp:lastModifiedBy>
  <cp:lastPrinted>2018-01-26T13:18:19Z</cp:lastPrinted>
  <dcterms:created xsi:type="dcterms:W3CDTF">2018-01-17T12:40:08Z</dcterms:created>
  <dcterms:modified xsi:type="dcterms:W3CDTF">2024-12-20T16:37:36Z</dcterms:modified>
</cp:coreProperties>
</file>