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2833559\Desktop\"/>
    </mc:Choice>
  </mc:AlternateContent>
  <bookViews>
    <workbookView xWindow="0" yWindow="0" windowWidth="23955" windowHeight="11145" activeTab="1"/>
  </bookViews>
  <sheets>
    <sheet name="Sheet1" sheetId="14" r:id="rId1"/>
    <sheet name="2021 7.8 check" sheetId="6" r:id="rId2"/>
  </sheets>
  <calcPr calcId="162913"/>
</workbook>
</file>

<file path=xl/calcChain.xml><?xml version="1.0" encoding="utf-8"?>
<calcChain xmlns="http://schemas.openxmlformats.org/spreadsheetml/2006/main">
  <c r="N2" i="6" l="1"/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" i="6"/>
  <c r="W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" i="6"/>
  <c r="N16" i="6"/>
  <c r="N18" i="6"/>
  <c r="L23" i="6"/>
  <c r="N23" i="6" s="1"/>
  <c r="L3" i="6"/>
  <c r="N3" i="6" s="1"/>
  <c r="L4" i="6"/>
  <c r="N4" i="6" s="1"/>
  <c r="L5" i="6"/>
  <c r="N5" i="6" s="1"/>
  <c r="L6" i="6"/>
  <c r="N6" i="6" s="1"/>
  <c r="L7" i="6"/>
  <c r="N7" i="6" s="1"/>
  <c r="L8" i="6"/>
  <c r="N8" i="6" s="1"/>
  <c r="L9" i="6"/>
  <c r="N9" i="6" s="1"/>
  <c r="L10" i="6"/>
  <c r="N10" i="6" s="1"/>
  <c r="L11" i="6"/>
  <c r="N11" i="6" s="1"/>
  <c r="L12" i="6"/>
  <c r="N12" i="6" s="1"/>
  <c r="L13" i="6"/>
  <c r="N13" i="6" s="1"/>
  <c r="L14" i="6"/>
  <c r="N14" i="6" s="1"/>
  <c r="L15" i="6"/>
  <c r="N15" i="6" s="1"/>
  <c r="L16" i="6"/>
  <c r="L17" i="6"/>
  <c r="N17" i="6" s="1"/>
  <c r="L18" i="6"/>
  <c r="L19" i="6"/>
  <c r="N19" i="6" s="1"/>
  <c r="L20" i="6"/>
  <c r="N20" i="6" s="1"/>
  <c r="L21" i="6"/>
  <c r="N21" i="6" s="1"/>
  <c r="L22" i="6"/>
  <c r="N22" i="6" s="1"/>
  <c r="L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M28" i="6"/>
  <c r="T5" i="6" s="1"/>
  <c r="N28" i="6" l="1"/>
  <c r="Y5" i="6"/>
  <c r="Z5" i="6" s="1"/>
  <c r="V5" i="6"/>
  <c r="T11" i="6"/>
  <c r="T20" i="6"/>
  <c r="T19" i="6"/>
  <c r="T17" i="6"/>
  <c r="T16" i="6"/>
  <c r="T12" i="6"/>
  <c r="T27" i="6"/>
  <c r="T26" i="6"/>
  <c r="T25" i="6"/>
  <c r="T24" i="6"/>
  <c r="T23" i="6"/>
  <c r="T15" i="6"/>
  <c r="T7" i="6"/>
  <c r="T10" i="6"/>
  <c r="T2" i="6"/>
  <c r="T8" i="6"/>
  <c r="T22" i="6"/>
  <c r="T14" i="6"/>
  <c r="T6" i="6"/>
  <c r="T4" i="6"/>
  <c r="T3" i="6"/>
  <c r="T18" i="6"/>
  <c r="T9" i="6"/>
  <c r="T21" i="6"/>
  <c r="T13" i="6"/>
  <c r="V7" i="6" l="1"/>
  <c r="Y7" i="6"/>
  <c r="Z7" i="6" s="1"/>
  <c r="V24" i="6"/>
  <c r="Y24" i="6"/>
  <c r="Z24" i="6" s="1"/>
  <c r="V10" i="6"/>
  <c r="Y10" i="6"/>
  <c r="Z10" i="6" s="1"/>
  <c r="V16" i="6"/>
  <c r="Y16" i="6"/>
  <c r="Z16" i="6" s="1"/>
  <c r="V15" i="6"/>
  <c r="Y15" i="6"/>
  <c r="Z15" i="6" s="1"/>
  <c r="V14" i="6"/>
  <c r="Y14" i="6"/>
  <c r="Z14" i="6" s="1"/>
  <c r="V25" i="6"/>
  <c r="Y25" i="6"/>
  <c r="Z25" i="6" s="1"/>
  <c r="Y11" i="6"/>
  <c r="Z11" i="6" s="1"/>
  <c r="V11" i="6"/>
  <c r="Y12" i="6"/>
  <c r="Z12" i="6" s="1"/>
  <c r="V12" i="6"/>
  <c r="Y4" i="6"/>
  <c r="Z4" i="6" s="1"/>
  <c r="V4" i="6"/>
  <c r="V6" i="6"/>
  <c r="Y6" i="6"/>
  <c r="Z6" i="6" s="1"/>
  <c r="V19" i="6"/>
  <c r="Y19" i="6"/>
  <c r="Z19" i="6" s="1"/>
  <c r="V22" i="6"/>
  <c r="Y22" i="6"/>
  <c r="Z22" i="6" s="1"/>
  <c r="Y21" i="6"/>
  <c r="Z21" i="6" s="1"/>
  <c r="V21" i="6"/>
  <c r="V8" i="6"/>
  <c r="Y8" i="6"/>
  <c r="Z8" i="6" s="1"/>
  <c r="V26" i="6"/>
  <c r="Y26" i="6"/>
  <c r="Z26" i="6" s="1"/>
  <c r="V18" i="6"/>
  <c r="Y18" i="6"/>
  <c r="Z18" i="6" s="1"/>
  <c r="V3" i="6"/>
  <c r="Y3" i="6"/>
  <c r="Z3" i="6" s="1"/>
  <c r="V17" i="6"/>
  <c r="Y17" i="6"/>
  <c r="Z17" i="6" s="1"/>
  <c r="V23" i="6"/>
  <c r="Y23" i="6"/>
  <c r="Z23" i="6" s="1"/>
  <c r="Y20" i="6"/>
  <c r="Z20" i="6" s="1"/>
  <c r="V20" i="6"/>
  <c r="Y13" i="6"/>
  <c r="Z13" i="6" s="1"/>
  <c r="V13" i="6"/>
  <c r="V9" i="6"/>
  <c r="Y9" i="6"/>
  <c r="Z9" i="6" s="1"/>
  <c r="V2" i="6"/>
  <c r="Y2" i="6"/>
  <c r="Z2" i="6" s="1"/>
  <c r="Y27" i="6"/>
  <c r="Z27" i="6" s="1"/>
  <c r="V27" i="6"/>
  <c r="F28" i="14" l="1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B85" i="14"/>
  <c r="I2" i="6" l="1"/>
  <c r="G2" i="6"/>
  <c r="H2" i="6" s="1"/>
  <c r="U2" i="6" s="1"/>
  <c r="L24" i="6"/>
  <c r="N24" i="6" s="1"/>
  <c r="L25" i="6"/>
  <c r="N25" i="6" s="1"/>
  <c r="L26" i="6"/>
  <c r="N26" i="6" s="1"/>
  <c r="L27" i="6"/>
  <c r="N27" i="6" s="1"/>
  <c r="AA2" i="6" l="1"/>
  <c r="J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G13" i="6"/>
  <c r="H13" i="6" s="1"/>
  <c r="U13" i="6" s="1"/>
  <c r="G14" i="6"/>
  <c r="H14" i="6" s="1"/>
  <c r="U14" i="6" s="1"/>
  <c r="G15" i="6"/>
  <c r="H15" i="6" s="1"/>
  <c r="U15" i="6" s="1"/>
  <c r="G16" i="6"/>
  <c r="H16" i="6" s="1"/>
  <c r="U16" i="6" s="1"/>
  <c r="G17" i="6"/>
  <c r="H17" i="6" s="1"/>
  <c r="U17" i="6" s="1"/>
  <c r="G18" i="6"/>
  <c r="H18" i="6" s="1"/>
  <c r="U18" i="6" s="1"/>
  <c r="G19" i="6"/>
  <c r="H19" i="6" s="1"/>
  <c r="U19" i="6" s="1"/>
  <c r="G20" i="6"/>
  <c r="H20" i="6" s="1"/>
  <c r="U20" i="6" s="1"/>
  <c r="G21" i="6"/>
  <c r="H21" i="6" s="1"/>
  <c r="U21" i="6" s="1"/>
  <c r="G22" i="6"/>
  <c r="H22" i="6" s="1"/>
  <c r="U22" i="6" s="1"/>
  <c r="G23" i="6"/>
  <c r="H23" i="6" s="1"/>
  <c r="U23" i="6" s="1"/>
  <c r="G24" i="6"/>
  <c r="H24" i="6" s="1"/>
  <c r="U24" i="6" s="1"/>
  <c r="G25" i="6"/>
  <c r="H25" i="6" s="1"/>
  <c r="U25" i="6" s="1"/>
  <c r="G26" i="6"/>
  <c r="H26" i="6" s="1"/>
  <c r="U26" i="6" s="1"/>
  <c r="G27" i="6"/>
  <c r="H27" i="6" s="1"/>
  <c r="U27" i="6" s="1"/>
  <c r="W18" i="6" l="1"/>
  <c r="AA18" i="6"/>
  <c r="W16" i="6"/>
  <c r="AA16" i="6"/>
  <c r="W15" i="6"/>
  <c r="AA15" i="6"/>
  <c r="W14" i="6"/>
  <c r="AA14" i="6"/>
  <c r="W25" i="6"/>
  <c r="AA25" i="6"/>
  <c r="W13" i="6"/>
  <c r="AA13" i="6"/>
  <c r="W26" i="6"/>
  <c r="AA26" i="6"/>
  <c r="W23" i="6"/>
  <c r="AA23" i="6"/>
  <c r="W21" i="6"/>
  <c r="AA21" i="6"/>
  <c r="W20" i="6"/>
  <c r="AA20" i="6"/>
  <c r="W17" i="6"/>
  <c r="AA17" i="6"/>
  <c r="W24" i="6"/>
  <c r="AA24" i="6"/>
  <c r="W22" i="6"/>
  <c r="AA22" i="6"/>
  <c r="W27" i="6"/>
  <c r="AA27" i="6"/>
  <c r="W19" i="6"/>
  <c r="AA19" i="6"/>
  <c r="J14" i="6"/>
  <c r="J21" i="6"/>
  <c r="J26" i="6"/>
  <c r="J18" i="6"/>
  <c r="J22" i="6"/>
  <c r="J20" i="6"/>
  <c r="J25" i="6"/>
  <c r="J17" i="6"/>
  <c r="J24" i="6"/>
  <c r="J16" i="6"/>
  <c r="J23" i="6"/>
  <c r="J15" i="6"/>
  <c r="J19" i="6"/>
  <c r="J27" i="6"/>
  <c r="J13" i="6"/>
  <c r="G12" i="6" l="1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U8" i="6" l="1"/>
  <c r="J8" i="6"/>
  <c r="U9" i="6"/>
  <c r="J9" i="6"/>
  <c r="U4" i="6"/>
  <c r="J4" i="6"/>
  <c r="U12" i="6"/>
  <c r="J12" i="6"/>
  <c r="U3" i="6"/>
  <c r="J3" i="6"/>
  <c r="U10" i="6"/>
  <c r="J10" i="6"/>
  <c r="U11" i="6"/>
  <c r="J11" i="6"/>
  <c r="U7" i="6"/>
  <c r="J7" i="6"/>
  <c r="U6" i="6"/>
  <c r="J6" i="6"/>
  <c r="U5" i="6"/>
  <c r="J5" i="6"/>
  <c r="W7" i="6" l="1"/>
  <c r="AA7" i="6"/>
  <c r="W12" i="6"/>
  <c r="AA12" i="6"/>
  <c r="W11" i="6"/>
  <c r="AA11" i="6"/>
  <c r="W5" i="6"/>
  <c r="AA5" i="6"/>
  <c r="W10" i="6"/>
  <c r="AA10" i="6"/>
  <c r="W9" i="6"/>
  <c r="AA9" i="6"/>
  <c r="W4" i="6"/>
  <c r="AA4" i="6"/>
  <c r="W6" i="6"/>
  <c r="AA6" i="6"/>
  <c r="W3" i="6"/>
  <c r="AA3" i="6"/>
  <c r="W8" i="6"/>
  <c r="AA8" i="6"/>
</calcChain>
</file>

<file path=xl/sharedStrings.xml><?xml version="1.0" encoding="utf-8"?>
<sst xmlns="http://schemas.openxmlformats.org/spreadsheetml/2006/main" count="167" uniqueCount="139">
  <si>
    <t>RDC</t>
  </si>
  <si>
    <t>Memory provisioned
Each stitcher (GB)</t>
  </si>
  <si>
    <t>Ses size
(ave) (MB)</t>
  </si>
  <si>
    <t>Ses size
(sigma) (MB)</t>
  </si>
  <si>
    <t>Ses/stitcher (max load)</t>
  </si>
  <si>
    <t>N ses/market conc
That we can handle</t>
  </si>
  <si>
    <t>EDPRMN</t>
  </si>
  <si>
    <t>KNWDMI</t>
  </si>
  <si>
    <t>MDDCWI</t>
  </si>
  <si>
    <t>PLDCOR</t>
  </si>
  <si>
    <t>RENONV</t>
  </si>
  <si>
    <t>SLDCMO</t>
  </si>
  <si>
    <t>SPDCSC</t>
  </si>
  <si>
    <t>BODCMA</t>
  </si>
  <si>
    <t>DLDCTX</t>
  </si>
  <si>
    <t>LADCCA</t>
  </si>
  <si>
    <t>NVDCTN</t>
  </si>
  <si>
    <t>SLDCLA</t>
  </si>
  <si>
    <t>SLOTCA</t>
  </si>
  <si>
    <t>TWCCA</t>
  </si>
  <si>
    <t>TWCNY.NYDC</t>
  </si>
  <si>
    <t>TWCNY.SYDC</t>
  </si>
  <si>
    <t>TWCOH</t>
  </si>
  <si>
    <t>TWCSC</t>
  </si>
  <si>
    <t>TWCTX</t>
  </si>
  <si>
    <t>BHDCAL</t>
  </si>
  <si>
    <t>BLNGMT</t>
  </si>
  <si>
    <t>total</t>
  </si>
  <si>
    <t>TWCHI</t>
  </si>
  <si>
    <t>BHNAL</t>
  </si>
  <si>
    <t>BHNOH</t>
  </si>
  <si>
    <t>BHNFL</t>
  </si>
  <si>
    <t>BHNCA</t>
  </si>
  <si>
    <t>N STB (July 2020)</t>
  </si>
  <si>
    <t>N Stitchers (post 2020 augment)</t>
  </si>
  <si>
    <t>Max estimated concurency in Market (July 2020)</t>
  </si>
  <si>
    <t>Q2 2021 projected</t>
  </si>
  <si>
    <t>Q1 2021 projected</t>
  </si>
  <si>
    <t>Max estimated concurency in Market (July 2021)</t>
  </si>
  <si>
    <t>Percent Capacity Used</t>
  </si>
  <si>
    <t>Percent Capacity Used projected Q2 2021</t>
  </si>
  <si>
    <t>Q2 2022 projected</t>
  </si>
  <si>
    <t>Max estimated concurency in Market (July 2022)</t>
  </si>
  <si>
    <t>Q2 2023 projected</t>
  </si>
  <si>
    <t>kma</t>
  </si>
  <si>
    <t>rdc</t>
  </si>
  <si>
    <t>select count(*) as raw from stb_metadata where db='worcma' order by raw desc;</t>
  </si>
  <si>
    <t>select count(*) as raw from stb_metadata where db='wilnc' order by raw desc;</t>
  </si>
  <si>
    <t>select count(*) as raw from stb_metadata where db='wetal' order by raw desc;</t>
  </si>
  <si>
    <t>select count(*) as raw from stb_metadata where db='trictn' order by raw desc;</t>
  </si>
  <si>
    <t>select count(*) as raw from stb_metadata where db='tpffl' order by raw desc;</t>
  </si>
  <si>
    <t>select count(*) as raw from stb_metadata where db='tpbfl' order by raw desc;</t>
  </si>
  <si>
    <t>select count(*) as raw from stb_metadata where db='tbdxla' order by raw desc;</t>
  </si>
  <si>
    <t>select count(*) as raw from stb_metadata where db='syrny' order by raw desc;</t>
  </si>
  <si>
    <t>select count(*) as raw from stb_metadata where db='stvnwi' order by raw desc;</t>
  </si>
  <si>
    <t>select count(*) as raw from stb_metadata where db='stlomo' order by raw desc;</t>
  </si>
  <si>
    <t>select count(*) as raw from stb_metadata where db='stiny' order by raw desc;</t>
  </si>
  <si>
    <t>select count(*) as raw from stb_metadata where db='stclmn' order by raw desc;</t>
  </si>
  <si>
    <t>select count(*) as raw from stb_metadata where db='stckga' order by raw desc;</t>
  </si>
  <si>
    <t>select count(*) as raw from stb_metadata where db='spngtx' order by raw desc;</t>
  </si>
  <si>
    <t>select count(*) as raw from stb_metadata where db='smnny' order by raw desc;</t>
  </si>
  <si>
    <t>select count(*) as raw from stb_metadata where db='slotca' order by raw desc;</t>
  </si>
  <si>
    <t>select count(*) as raw from stb_metadata where db='sldlla' order by raw desc;</t>
  </si>
  <si>
    <t>select count(*) as raw from stb_metadata where db='sfvca' order by raw desc;</t>
  </si>
  <si>
    <t>select count(*) as raw from stb_metadata where db='sdgca' order by raw desc;</t>
  </si>
  <si>
    <t>select count(*) as raw from stb_metadata where db='saxtx' order by raw desc;</t>
  </si>
  <si>
    <t>select count(*) as raw from stb_metadata where db='rtxtx' order by raw desc;</t>
  </si>
  <si>
    <t>select count(*) as raw from stb_metadata where db='rochmn' order by raw desc;</t>
  </si>
  <si>
    <t>select count(*) as raw from stb_metadata where db='renonv' order by raw desc;</t>
  </si>
  <si>
    <t>select count(*) as raw from stb_metadata where db='reddca' order by raw desc;</t>
  </si>
  <si>
    <t>select count(*) as raw from stb_metadata where db='rchny' order by raw desc;</t>
  </si>
  <si>
    <t>select count(*) as raw from stb_metadata where db='ralnc' order by raw desc;</t>
  </si>
  <si>
    <t>select count(*) as raw from stb_metadata where db='qunny' order by raw desc;</t>
  </si>
  <si>
    <t>select count(*) as raw from stb_metadata where db='porme' order by raw desc;</t>
  </si>
  <si>
    <t>select count(*) as raw from stb_metadata where db='ocihi' order by raw desc;</t>
  </si>
  <si>
    <t>select count(*) as raw from stb_metadata where db='ocfca' order by raw desc;</t>
  </si>
  <si>
    <t>select count(*) as raw from stb_metadata where db='nmnny' order by raw desc;</t>
  </si>
  <si>
    <t>select count(*) as raw from stb_metadata where db='newtct' order by raw desc;</t>
  </si>
  <si>
    <t>select count(*) as raw from stb_metadata where db='newnga' order by raw desc;</t>
  </si>
  <si>
    <t>select count(*) as raw from stb_metadata where db='mw3ky' order by raw desc;</t>
  </si>
  <si>
    <t>select count(*) as raw from stb_metadata where db='mw2ky' order by raw desc;</t>
  </si>
  <si>
    <t>select count(*) as raw from stb_metadata where db='mw1oh' order by raw desc;</t>
  </si>
  <si>
    <t>select count(*) as raw from stb_metadata where db='mtnamt' order by raw desc;</t>
  </si>
  <si>
    <t>select count(*) as raw from stb_metadata where db='mpksca' order by raw desc;</t>
  </si>
  <si>
    <t>select count(*) as raw from stb_metadata where db='mpkhca' order by raw desc;</t>
  </si>
  <si>
    <t>select count(*) as raw from stb_metadata where db='mkewi' order by raw desc;</t>
  </si>
  <si>
    <t>select count(*) as raw from stb_metadata where db='medfor' order by raw desc;</t>
  </si>
  <si>
    <t>select count(*) as raw from stb_metadata where db='madiwi' order by raw desc;</t>
  </si>
  <si>
    <t>select count(*) as raw from stb_metadata where db='lncne' order by raw desc;</t>
  </si>
  <si>
    <t>select count(*) as raw from stb_metadata where db='leedal' order by raw desc;</t>
  </si>
  <si>
    <t>select count(*) as raw from stb_metadata where db='kscmo' order by raw desc;</t>
  </si>
  <si>
    <t>select count(*) as raw from stb_metadata where db='knwdmi' order by raw desc;</t>
  </si>
  <si>
    <t>select count(*) as raw from stb_metadata where db='kennwa' order by raw desc;</t>
  </si>
  <si>
    <t>select count(*) as raw from stb_metadata where db='kearne' order by raw desc;</t>
  </si>
  <si>
    <t>select count(*) as raw from stb_metadata where db='jacktn' order by raw desc;</t>
  </si>
  <si>
    <t>select count(*) as raw from stb_metadata where db='ineca' order by raw desc;</t>
  </si>
  <si>
    <t>select count(*) as raw from stb_metadata where db='indin' order by raw desc;</t>
  </si>
  <si>
    <t>select count(*) as raw from stb_metadata where db='hwdca' order by raw desc;</t>
  </si>
  <si>
    <t>select count(*) as raw from stb_metadata where db='hvnny' order by raw desc;</t>
  </si>
  <si>
    <t>select count(*) as raw from stb_metadata where db='gwinga' order by raw desc;</t>
  </si>
  <si>
    <t>select count(*) as raw from stb_metadata where db='gsonc' order by raw desc;</t>
  </si>
  <si>
    <t>select count(*) as raw from stb_metadata where db='gsaasc' order by raw desc;</t>
  </si>
  <si>
    <t>select count(*) as raw from stb_metadata where db='grdca' order by raw desc;</t>
  </si>
  <si>
    <t>select count(*) as raw from stb_metadata where db='ftwrtx' order by raw desc;</t>
  </si>
  <si>
    <t>select count(*) as raw from stb_metadata where db='escnmi' order by raw desc;</t>
  </si>
  <si>
    <t>select count(*) as raw from stb_metadata where db='detmi' order by raw desc;</t>
  </si>
  <si>
    <t>select count(*) as raw from stb_metadata where db='denttx' order by raw desc;</t>
  </si>
  <si>
    <t>select count(*) as raw from stb_metadata where db='delfl' order by raw desc;</t>
  </si>
  <si>
    <t>select count(*) as raw from stb_metadata where db='daltx' order by raw desc;</t>
  </si>
  <si>
    <t>select count(*) as raw from stb_metadata where db='cscsc' order by raw desc;</t>
  </si>
  <si>
    <t>select count(*) as raw from stb_metadata where db='cowymt' order by raw desc;</t>
  </si>
  <si>
    <t>select count(*) as raw from stb_metadata where db='cltnc' order by raw desc;</t>
  </si>
  <si>
    <t>select count(*) as raw from stb_metadata where db='cleoh' order by raw desc;</t>
  </si>
  <si>
    <t>select count(*) as raw from stb_metadata where db='clboh' order by raw desc;</t>
  </si>
  <si>
    <t>select count(*) as raw from stb_metadata where db='cinoh' order by raw desc;</t>
  </si>
  <si>
    <t>select count(*) as raw from stb_metadata where db='canoh' order by raw desc;</t>
  </si>
  <si>
    <t>select count(*) as raw from stb_metadata where db='bufny' order by raw desc;</t>
  </si>
  <si>
    <t>select count(*) as raw from stb_metadata where db='bngny' order by raw desc;</t>
  </si>
  <si>
    <t>select count(*) as raw from stb_metadata where db='bknny' order by raw desc;</t>
  </si>
  <si>
    <t>select count(*) as raw from stb_metadata where db='birmal' order by raw desc;</t>
  </si>
  <si>
    <t>select count(*) as raw from stb_metadata where db='bhmal' order by raw desc;</t>
  </si>
  <si>
    <t>select count(*) as raw from stb_metadata where db='baysmi' order by raw desc;</t>
  </si>
  <si>
    <t>select count(*) as raw from stb_metadata where db='bakca' order by raw desc;</t>
  </si>
  <si>
    <t>select count(*) as raw from stb_metadata where db='austx' order by raw desc;</t>
  </si>
  <si>
    <t>select count(*) as raw from stb_metadata where db='augme' order by raw desc;</t>
  </si>
  <si>
    <t>select count(*) as raw from stb_metadata where db='ashenc' order by raw desc;</t>
  </si>
  <si>
    <t>select count(*) as raw from stb_metadata where db='alcotn' order by raw desc;</t>
  </si>
  <si>
    <t>select count(*) as raw from stb_metadata where db='albny' order by raw desc;</t>
  </si>
  <si>
    <t>select count(*) as raw from stb_metadata where db='aabfl' order by raw desc;</t>
  </si>
  <si>
    <t>Q1 2021 Actual</t>
  </si>
  <si>
    <t>Percent Capacity Used projected Q2 2022</t>
  </si>
  <si>
    <t>Max estimated concurency in Market (July 2023)</t>
  </si>
  <si>
    <t>Percent Capacity Used projected Q2 2023</t>
  </si>
  <si>
    <t>Total/Projection</t>
  </si>
  <si>
    <t>% STB behind projection</t>
  </si>
  <si>
    <t>^ Defines 2020 BY</t>
  </si>
  <si>
    <t>^ Defines 2021 BY</t>
  </si>
  <si>
    <t>^ Defines 2022 BY</t>
  </si>
  <si>
    <t>EOL of M4 blades is a concern 2022/2023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</si>
</sst>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);\(0\)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5E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036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3">
    <xf numFmtId="0" fontId="0" fillId="0" borderId="0"/>
    <xf numFmtId="0" fontId="11" fillId="0" borderId="0"/>
    <xf numFmtId="0" fontId="12" fillId="0" borderId="0"/>
    <xf numFmtId="0" fontId="9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4" borderId="0"/>
    <xf numFmtId="0" fontId="8" fillId="0" borderId="0"/>
    <xf numFmtId="0" fontId="10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" fontId="0" fillId="0" borderId="0" xfId="0" applyNumberFormat="1" applyFill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wrapText="1"/>
    </xf>
    <xf numFmtId="1" fontId="0" fillId="0" borderId="0" xfId="0" applyNumberFormat="1" applyFont="1"/>
    <xf numFmtId="1" fontId="0" fillId="0" borderId="0" xfId="0" applyNumberFormat="1" applyFont="1" applyFill="1"/>
    <xf numFmtId="10" fontId="0" fillId="0" borderId="0" xfId="0" applyNumberFormat="1" applyFont="1"/>
    <xf numFmtId="0" fontId="0" fillId="0" borderId="0" xfId="0" applyFont="1" applyFill="1"/>
    <xf numFmtId="10" fontId="0" fillId="0" borderId="0" xfId="0" applyNumberFormat="1" applyFont="1" applyFill="1"/>
    <xf numFmtId="0" fontId="0" fillId="10" borderId="0" xfId="0" applyFont="1" applyFill="1"/>
    <xf numFmtId="1" fontId="0" fillId="10" borderId="0" xfId="0" applyNumberFormat="1" applyFont="1" applyFill="1"/>
    <xf numFmtId="10" fontId="0" fillId="10" borderId="0" xfId="0" applyNumberFormat="1" applyFont="1" applyFill="1"/>
    <xf numFmtId="0" fontId="0" fillId="10" borderId="0" xfId="0" applyFill="1"/>
    <xf numFmtId="10" fontId="0" fillId="11" borderId="0" xfId="0" applyNumberFormat="1" applyFont="1" applyFill="1"/>
    <xf numFmtId="0" fontId="0" fillId="0" borderId="0" xfId="0" applyFont="1" applyFill="1" applyAlignment="1">
      <alignment wrapText="1"/>
    </xf>
    <xf numFmtId="10" fontId="0" fillId="0" borderId="0" xfId="0" applyNumberFormat="1" applyFill="1"/>
    <xf numFmtId="1" fontId="0" fillId="12" borderId="0" xfId="0" applyNumberFormat="1" applyFont="1" applyFill="1"/>
    <xf numFmtId="10" fontId="0" fillId="12" borderId="0" xfId="0" applyNumberFormat="1" applyFont="1" applyFill="1"/>
    <xf numFmtId="0" fontId="0" fillId="12" borderId="0" xfId="0" applyFill="1"/>
    <xf numFmtId="10" fontId="0" fillId="13" borderId="0" xfId="0" applyNumberFormat="1" applyFont="1" applyFill="1"/>
    <xf numFmtId="43" fontId="0" fillId="0" borderId="0" xfId="0" applyNumberFormat="1" applyFill="1"/>
    <xf numFmtId="43" fontId="0" fillId="12" borderId="0" xfId="0" applyNumberFormat="1" applyFill="1"/>
    <xf numFmtId="10" fontId="0" fillId="12" borderId="0" xfId="0" applyNumberFormat="1" applyFill="1"/>
    <xf numFmtId="10" fontId="0" fillId="11" borderId="0" xfId="0" applyNumberFormat="1" applyFill="1"/>
    <xf numFmtId="10" fontId="0" fillId="13" borderId="0" xfId="0" applyNumberFormat="1" applyFill="1"/>
    <xf numFmtId="1" fontId="0" fillId="12" borderId="0" xfId="0" applyNumberFormat="1" applyFill="1"/>
    <xf numFmtId="164" fontId="0" fillId="0" borderId="0" xfId="0" applyNumberFormat="1"/>
    <xf numFmtId="10" fontId="15" fillId="14" borderId="0" xfId="0" applyNumberFormat="1" applyFont="1" applyFill="1"/>
    <xf numFmtId="0" fontId="0" fillId="9" borderId="0" xfId="0" applyFont="1" applyFill="1"/>
    <xf numFmtId="1" fontId="0" fillId="9" borderId="0" xfId="0" applyNumberFormat="1" applyFont="1" applyFill="1"/>
  </cellXfs>
  <cellStyles count="23">
    <cellStyle name="Accent" xfId="7"/>
    <cellStyle name="Accent 1" xfId="8"/>
    <cellStyle name="Accent 2" xfId="9"/>
    <cellStyle name="Accent 3" xfId="10"/>
    <cellStyle name="Bad" xfId="4" builtinId="27" customBuiltin="1"/>
    <cellStyle name="Comma 2" xfId="20"/>
    <cellStyle name="Comma 3" xfId="21"/>
    <cellStyle name="Error" xfId="11"/>
    <cellStyle name="Excel Built-in Explanatory Text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rmal 2" xfId="18"/>
    <cellStyle name="Normal 2 2" xfId="19"/>
    <cellStyle name="Note" xfId="6" builtinId="10" customBuiltin="1"/>
    <cellStyle name="Percent 2" xfId="22"/>
    <cellStyle name="Status" xfId="15"/>
    <cellStyle name="Text" xfId="16"/>
    <cellStyle name="Warning" xfId="17"/>
  </cellStyles>
  <dxfs count="0"/>
  <tableStyles count="0" defaultTableStyle="TableStyleMedium2" defaultPivotStyle="PivotStyleLight16"/>
  <colors>
    <mruColors>
      <color rgb="FFB03600"/>
      <color rgb="FFFF0909"/>
      <color rgb="FFCC3300"/>
      <color rgb="FFC25E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activeCell="F33" sqref="F33"/>
    </sheetView>
  </sheetViews>
  <sheetFormatPr defaultRowHeight="14.25" x14ac:dyDescent="0.2"/>
  <cols>
    <col min="1" max="1" width="68.5" bestFit="1" customWidth="1"/>
    <col min="5" max="5" width="13.375" bestFit="1" customWidth="1"/>
  </cols>
  <sheetData>
    <row r="1" spans="1:6" x14ac:dyDescent="0.2">
      <c r="A1" t="s">
        <v>44</v>
      </c>
      <c r="E1" t="s">
        <v>45</v>
      </c>
    </row>
    <row r="2" spans="1:6" x14ac:dyDescent="0.2">
      <c r="A2" t="s">
        <v>46</v>
      </c>
      <c r="B2">
        <v>60153</v>
      </c>
      <c r="E2" s="8" t="s">
        <v>25</v>
      </c>
      <c r="F2">
        <f>B75+B55+B34+B14+B45</f>
        <v>262770</v>
      </c>
    </row>
    <row r="3" spans="1:6" x14ac:dyDescent="0.2">
      <c r="A3" t="s">
        <v>47</v>
      </c>
      <c r="B3">
        <v>62866</v>
      </c>
      <c r="E3" s="8" t="s">
        <v>13</v>
      </c>
      <c r="F3">
        <f>B2+B33</f>
        <v>87027</v>
      </c>
    </row>
    <row r="4" spans="1:6" x14ac:dyDescent="0.2">
      <c r="A4" t="s">
        <v>48</v>
      </c>
      <c r="B4">
        <v>74</v>
      </c>
      <c r="E4" s="8" t="s">
        <v>7</v>
      </c>
      <c r="F4">
        <f>B77+B47</f>
        <v>171835</v>
      </c>
    </row>
    <row r="5" spans="1:6" x14ac:dyDescent="0.2">
      <c r="A5" t="s">
        <v>49</v>
      </c>
      <c r="B5">
        <v>29158</v>
      </c>
      <c r="E5" s="8" t="s">
        <v>16</v>
      </c>
      <c r="F5">
        <f>B82+B50+B5</f>
        <v>142266</v>
      </c>
    </row>
    <row r="6" spans="1:6" x14ac:dyDescent="0.2">
      <c r="A6" t="s">
        <v>50</v>
      </c>
      <c r="B6">
        <v>51111</v>
      </c>
      <c r="E6" s="8" t="s">
        <v>17</v>
      </c>
      <c r="F6">
        <f>B18+B8</f>
        <v>51898</v>
      </c>
    </row>
    <row r="7" spans="1:6" x14ac:dyDescent="0.2">
      <c r="A7" t="s">
        <v>51</v>
      </c>
      <c r="B7">
        <v>110410</v>
      </c>
      <c r="E7" s="8" t="s">
        <v>12</v>
      </c>
      <c r="F7">
        <f>B81+B57</f>
        <v>238749</v>
      </c>
    </row>
    <row r="8" spans="1:6" x14ac:dyDescent="0.2">
      <c r="A8" t="s">
        <v>52</v>
      </c>
      <c r="B8">
        <v>14555</v>
      </c>
      <c r="E8" s="8" t="s">
        <v>11</v>
      </c>
      <c r="F8">
        <f>B11</f>
        <v>254483</v>
      </c>
    </row>
    <row r="9" spans="1:6" x14ac:dyDescent="0.2">
      <c r="A9" t="s">
        <v>53</v>
      </c>
      <c r="B9">
        <v>107851</v>
      </c>
      <c r="E9" s="8" t="s">
        <v>8</v>
      </c>
      <c r="F9">
        <f>B60+B43+B10</f>
        <v>166205</v>
      </c>
    </row>
    <row r="10" spans="1:6" x14ac:dyDescent="0.2">
      <c r="A10" t="s">
        <v>54</v>
      </c>
      <c r="B10">
        <v>86774</v>
      </c>
      <c r="E10" s="8" t="s">
        <v>26</v>
      </c>
      <c r="F10">
        <f>B66+B38</f>
        <v>66770</v>
      </c>
    </row>
    <row r="11" spans="1:6" x14ac:dyDescent="0.2">
      <c r="A11" t="s">
        <v>55</v>
      </c>
      <c r="B11">
        <v>254483</v>
      </c>
      <c r="E11" s="8" t="s">
        <v>14</v>
      </c>
      <c r="F11">
        <f>B62+B59+B15</f>
        <v>139781</v>
      </c>
    </row>
    <row r="12" spans="1:6" x14ac:dyDescent="0.2">
      <c r="A12" t="s">
        <v>56</v>
      </c>
      <c r="B12">
        <v>28645</v>
      </c>
      <c r="E12" s="8" t="s">
        <v>15</v>
      </c>
      <c r="F12">
        <f>B40+B39</f>
        <v>268188</v>
      </c>
    </row>
    <row r="13" spans="1:6" x14ac:dyDescent="0.2">
      <c r="A13" t="s">
        <v>57</v>
      </c>
      <c r="B13">
        <v>31984</v>
      </c>
      <c r="E13" s="8" t="s">
        <v>6</v>
      </c>
      <c r="F13">
        <f>B49+B23+B13</f>
        <v>80129</v>
      </c>
    </row>
    <row r="14" spans="1:6" x14ac:dyDescent="0.2">
      <c r="A14" t="s">
        <v>58</v>
      </c>
      <c r="B14">
        <v>34347</v>
      </c>
      <c r="E14" s="8" t="s">
        <v>9</v>
      </c>
      <c r="F14">
        <f>B48+B42</f>
        <v>76300</v>
      </c>
    </row>
    <row r="15" spans="1:6" x14ac:dyDescent="0.2">
      <c r="A15" t="s">
        <v>59</v>
      </c>
      <c r="B15">
        <v>4567</v>
      </c>
      <c r="E15" s="8" t="s">
        <v>10</v>
      </c>
      <c r="F15">
        <f>B24</f>
        <v>72728</v>
      </c>
    </row>
    <row r="16" spans="1:6" x14ac:dyDescent="0.2">
      <c r="A16" t="s">
        <v>60</v>
      </c>
      <c r="B16">
        <v>47019</v>
      </c>
      <c r="E16" s="8" t="s">
        <v>18</v>
      </c>
      <c r="F16">
        <f>+B25+B17</f>
        <v>66545</v>
      </c>
    </row>
    <row r="17" spans="1:6" x14ac:dyDescent="0.2">
      <c r="A17" t="s">
        <v>61</v>
      </c>
      <c r="B17">
        <v>33140</v>
      </c>
      <c r="E17" s="8" t="s">
        <v>22</v>
      </c>
      <c r="F17">
        <f>B71+B70+B69+B68+B41+B37+B36+B35</f>
        <v>1085200</v>
      </c>
    </row>
    <row r="18" spans="1:6" x14ac:dyDescent="0.2">
      <c r="A18" t="s">
        <v>62</v>
      </c>
      <c r="B18">
        <v>37343</v>
      </c>
      <c r="E18" s="8" t="s">
        <v>20</v>
      </c>
      <c r="F18">
        <f>B74+B54+B32+B28+B16+B12</f>
        <v>422119</v>
      </c>
    </row>
    <row r="19" spans="1:6" x14ac:dyDescent="0.2">
      <c r="A19" t="s">
        <v>63</v>
      </c>
      <c r="B19">
        <v>167294</v>
      </c>
      <c r="E19" s="8" t="s">
        <v>21</v>
      </c>
      <c r="F19">
        <f>B83+B80+B73+B72+B29+B26+B9</f>
        <v>506206</v>
      </c>
    </row>
    <row r="20" spans="1:6" x14ac:dyDescent="0.2">
      <c r="A20" t="s">
        <v>64</v>
      </c>
      <c r="B20">
        <v>144108</v>
      </c>
      <c r="E20" s="8" t="s">
        <v>23</v>
      </c>
      <c r="F20">
        <f>B67+B65+B56+B27+B3</f>
        <v>896998</v>
      </c>
    </row>
    <row r="21" spans="1:6" x14ac:dyDescent="0.2">
      <c r="A21" t="s">
        <v>65</v>
      </c>
      <c r="B21">
        <v>187614</v>
      </c>
      <c r="E21" s="8" t="s">
        <v>24</v>
      </c>
      <c r="F21">
        <f>B79+B64+B46+B44+B22+B21</f>
        <v>1078056</v>
      </c>
    </row>
    <row r="22" spans="1:6" x14ac:dyDescent="0.2">
      <c r="A22" t="s">
        <v>66</v>
      </c>
      <c r="B22">
        <v>257562</v>
      </c>
      <c r="E22" s="8" t="s">
        <v>19</v>
      </c>
      <c r="F22">
        <f>B58+B53+B51+B31+B20+B19</f>
        <v>1059897</v>
      </c>
    </row>
    <row r="23" spans="1:6" x14ac:dyDescent="0.2">
      <c r="A23" t="s">
        <v>67</v>
      </c>
      <c r="B23">
        <v>31154</v>
      </c>
      <c r="E23" s="8" t="s">
        <v>28</v>
      </c>
      <c r="F23">
        <f>B30</f>
        <v>28909</v>
      </c>
    </row>
    <row r="24" spans="1:6" x14ac:dyDescent="0.2">
      <c r="A24" t="s">
        <v>68</v>
      </c>
      <c r="B24">
        <v>72728</v>
      </c>
      <c r="E24" s="8" t="s">
        <v>29</v>
      </c>
      <c r="F24">
        <f>B76+B4</f>
        <v>11584</v>
      </c>
    </row>
    <row r="25" spans="1:6" x14ac:dyDescent="0.2">
      <c r="A25" t="s">
        <v>69</v>
      </c>
      <c r="B25">
        <v>33405</v>
      </c>
      <c r="E25" s="8" t="s">
        <v>31</v>
      </c>
      <c r="F25">
        <f>B84+B63+B7+B6</f>
        <v>289018</v>
      </c>
    </row>
    <row r="26" spans="1:6" x14ac:dyDescent="0.2">
      <c r="A26" t="s">
        <v>70</v>
      </c>
      <c r="B26">
        <v>86147</v>
      </c>
      <c r="E26" s="8" t="s">
        <v>30</v>
      </c>
      <c r="F26">
        <f>B61+B52</f>
        <v>19917</v>
      </c>
    </row>
    <row r="27" spans="1:6" x14ac:dyDescent="0.2">
      <c r="A27" t="s">
        <v>71</v>
      </c>
      <c r="B27">
        <v>255948</v>
      </c>
      <c r="E27" s="8" t="s">
        <v>32</v>
      </c>
      <c r="F27">
        <f>B78</f>
        <v>17915</v>
      </c>
    </row>
    <row r="28" spans="1:6" x14ac:dyDescent="0.2">
      <c r="A28" t="s">
        <v>72</v>
      </c>
      <c r="B28">
        <v>106879</v>
      </c>
      <c r="E28" s="8" t="s">
        <v>27</v>
      </c>
      <c r="F28">
        <f>SUM(F2:F27)</f>
        <v>7561493</v>
      </c>
    </row>
    <row r="29" spans="1:6" x14ac:dyDescent="0.2">
      <c r="A29" t="s">
        <v>73</v>
      </c>
      <c r="B29">
        <v>41432</v>
      </c>
    </row>
    <row r="30" spans="1:6" x14ac:dyDescent="0.2">
      <c r="A30" t="s">
        <v>74</v>
      </c>
      <c r="B30">
        <v>28909</v>
      </c>
    </row>
    <row r="31" spans="1:6" x14ac:dyDescent="0.2">
      <c r="A31" t="s">
        <v>75</v>
      </c>
      <c r="B31">
        <v>172273</v>
      </c>
    </row>
    <row r="32" spans="1:6" x14ac:dyDescent="0.2">
      <c r="A32" t="s">
        <v>76</v>
      </c>
      <c r="B32">
        <v>86741</v>
      </c>
    </row>
    <row r="33" spans="1:2" x14ac:dyDescent="0.2">
      <c r="A33" t="s">
        <v>77</v>
      </c>
      <c r="B33">
        <v>26874</v>
      </c>
    </row>
    <row r="34" spans="1:2" x14ac:dyDescent="0.2">
      <c r="A34" t="s">
        <v>78</v>
      </c>
      <c r="B34">
        <v>32038</v>
      </c>
    </row>
    <row r="35" spans="1:2" x14ac:dyDescent="0.2">
      <c r="A35" t="s">
        <v>79</v>
      </c>
      <c r="B35">
        <v>96127</v>
      </c>
    </row>
    <row r="36" spans="1:2" x14ac:dyDescent="0.2">
      <c r="A36" t="s">
        <v>80</v>
      </c>
      <c r="B36">
        <v>61499</v>
      </c>
    </row>
    <row r="37" spans="1:2" x14ac:dyDescent="0.2">
      <c r="A37" t="s">
        <v>81</v>
      </c>
      <c r="B37">
        <v>117262</v>
      </c>
    </row>
    <row r="38" spans="1:2" x14ac:dyDescent="0.2">
      <c r="A38" t="s">
        <v>82</v>
      </c>
      <c r="B38">
        <v>30598</v>
      </c>
    </row>
    <row r="39" spans="1:2" x14ac:dyDescent="0.2">
      <c r="A39" t="s">
        <v>83</v>
      </c>
      <c r="B39">
        <v>91659</v>
      </c>
    </row>
    <row r="40" spans="1:2" x14ac:dyDescent="0.2">
      <c r="A40" t="s">
        <v>84</v>
      </c>
      <c r="B40">
        <v>176529</v>
      </c>
    </row>
    <row r="41" spans="1:2" x14ac:dyDescent="0.2">
      <c r="A41" t="s">
        <v>85</v>
      </c>
      <c r="B41">
        <v>188268</v>
      </c>
    </row>
    <row r="42" spans="1:2" x14ac:dyDescent="0.2">
      <c r="A42" t="s">
        <v>86</v>
      </c>
      <c r="B42">
        <v>45135</v>
      </c>
    </row>
    <row r="43" spans="1:2" x14ac:dyDescent="0.2">
      <c r="A43" t="s">
        <v>87</v>
      </c>
      <c r="B43">
        <v>68040</v>
      </c>
    </row>
    <row r="44" spans="1:2" x14ac:dyDescent="0.2">
      <c r="A44" t="s">
        <v>88</v>
      </c>
      <c r="B44">
        <v>22160</v>
      </c>
    </row>
    <row r="45" spans="1:2" x14ac:dyDescent="0.2">
      <c r="A45" t="s">
        <v>89</v>
      </c>
      <c r="B45">
        <v>85931</v>
      </c>
    </row>
    <row r="46" spans="1:2" x14ac:dyDescent="0.2">
      <c r="A46" t="s">
        <v>90</v>
      </c>
      <c r="B46">
        <v>91057</v>
      </c>
    </row>
    <row r="47" spans="1:2" x14ac:dyDescent="0.2">
      <c r="A47" t="s">
        <v>91</v>
      </c>
      <c r="B47">
        <v>80521</v>
      </c>
    </row>
    <row r="48" spans="1:2" x14ac:dyDescent="0.2">
      <c r="A48" t="s">
        <v>92</v>
      </c>
      <c r="B48">
        <v>31165</v>
      </c>
    </row>
    <row r="49" spans="1:2" x14ac:dyDescent="0.2">
      <c r="A49" t="s">
        <v>93</v>
      </c>
      <c r="B49">
        <v>16991</v>
      </c>
    </row>
    <row r="50" spans="1:2" x14ac:dyDescent="0.2">
      <c r="A50" t="s">
        <v>94</v>
      </c>
      <c r="B50">
        <v>62804</v>
      </c>
    </row>
    <row r="51" spans="1:2" x14ac:dyDescent="0.2">
      <c r="A51" t="s">
        <v>95</v>
      </c>
      <c r="B51">
        <v>244303</v>
      </c>
    </row>
    <row r="52" spans="1:2" x14ac:dyDescent="0.2">
      <c r="A52" t="s">
        <v>96</v>
      </c>
      <c r="B52">
        <v>15050</v>
      </c>
    </row>
    <row r="53" spans="1:2" x14ac:dyDescent="0.2">
      <c r="A53" t="s">
        <v>97</v>
      </c>
      <c r="B53">
        <v>195703</v>
      </c>
    </row>
    <row r="54" spans="1:2" x14ac:dyDescent="0.2">
      <c r="A54" t="s">
        <v>98</v>
      </c>
      <c r="B54">
        <v>65796</v>
      </c>
    </row>
    <row r="55" spans="1:2" x14ac:dyDescent="0.2">
      <c r="A55" t="s">
        <v>99</v>
      </c>
      <c r="B55">
        <v>56494</v>
      </c>
    </row>
    <row r="56" spans="1:2" x14ac:dyDescent="0.2">
      <c r="A56" t="s">
        <v>100</v>
      </c>
      <c r="B56">
        <v>151272</v>
      </c>
    </row>
    <row r="57" spans="1:2" x14ac:dyDescent="0.2">
      <c r="A57" t="s">
        <v>101</v>
      </c>
      <c r="B57">
        <v>96939</v>
      </c>
    </row>
    <row r="58" spans="1:2" x14ac:dyDescent="0.2">
      <c r="A58" t="s">
        <v>102</v>
      </c>
      <c r="B58">
        <v>136216</v>
      </c>
    </row>
    <row r="59" spans="1:2" x14ac:dyDescent="0.2">
      <c r="A59" t="s">
        <v>103</v>
      </c>
      <c r="B59">
        <v>110721</v>
      </c>
    </row>
    <row r="60" spans="1:2" x14ac:dyDescent="0.2">
      <c r="A60" t="s">
        <v>104</v>
      </c>
      <c r="B60">
        <v>11391</v>
      </c>
    </row>
    <row r="61" spans="1:2" x14ac:dyDescent="0.2">
      <c r="A61" t="s">
        <v>105</v>
      </c>
      <c r="B61">
        <v>4867</v>
      </c>
    </row>
    <row r="62" spans="1:2" x14ac:dyDescent="0.2">
      <c r="A62" t="s">
        <v>106</v>
      </c>
      <c r="B62">
        <v>24493</v>
      </c>
    </row>
    <row r="63" spans="1:2" x14ac:dyDescent="0.2">
      <c r="A63" t="s">
        <v>107</v>
      </c>
      <c r="B63">
        <v>62808</v>
      </c>
    </row>
    <row r="64" spans="1:2" x14ac:dyDescent="0.2">
      <c r="A64" t="s">
        <v>108</v>
      </c>
      <c r="B64">
        <v>308219</v>
      </c>
    </row>
    <row r="65" spans="1:2" x14ac:dyDescent="0.2">
      <c r="A65" t="s">
        <v>109</v>
      </c>
      <c r="B65">
        <v>197931</v>
      </c>
    </row>
    <row r="66" spans="1:2" x14ac:dyDescent="0.2">
      <c r="A66" t="s">
        <v>110</v>
      </c>
      <c r="B66">
        <v>36172</v>
      </c>
    </row>
    <row r="67" spans="1:2" x14ac:dyDescent="0.2">
      <c r="A67" t="s">
        <v>111</v>
      </c>
      <c r="B67">
        <v>228981</v>
      </c>
    </row>
    <row r="68" spans="1:2" x14ac:dyDescent="0.2">
      <c r="A68" t="s">
        <v>112</v>
      </c>
      <c r="B68">
        <v>145231</v>
      </c>
    </row>
    <row r="69" spans="1:2" x14ac:dyDescent="0.2">
      <c r="A69" t="s">
        <v>113</v>
      </c>
      <c r="B69">
        <v>134982</v>
      </c>
    </row>
    <row r="70" spans="1:2" x14ac:dyDescent="0.2">
      <c r="A70" t="s">
        <v>114</v>
      </c>
      <c r="B70">
        <v>205465</v>
      </c>
    </row>
    <row r="71" spans="1:2" x14ac:dyDescent="0.2">
      <c r="A71" t="s">
        <v>115</v>
      </c>
      <c r="B71">
        <v>136366</v>
      </c>
    </row>
    <row r="72" spans="1:2" x14ac:dyDescent="0.2">
      <c r="A72" t="s">
        <v>116</v>
      </c>
      <c r="B72">
        <v>93809</v>
      </c>
    </row>
    <row r="73" spans="1:2" x14ac:dyDescent="0.2">
      <c r="A73" t="s">
        <v>117</v>
      </c>
      <c r="B73">
        <v>45097</v>
      </c>
    </row>
    <row r="74" spans="1:2" x14ac:dyDescent="0.2">
      <c r="A74" t="s">
        <v>118</v>
      </c>
      <c r="B74">
        <v>87039</v>
      </c>
    </row>
    <row r="75" spans="1:2" x14ac:dyDescent="0.2">
      <c r="A75" t="s">
        <v>119</v>
      </c>
      <c r="B75">
        <v>53960</v>
      </c>
    </row>
    <row r="76" spans="1:2" x14ac:dyDescent="0.2">
      <c r="A76" t="s">
        <v>120</v>
      </c>
      <c r="B76">
        <v>11510</v>
      </c>
    </row>
    <row r="77" spans="1:2" x14ac:dyDescent="0.2">
      <c r="A77" t="s">
        <v>121</v>
      </c>
      <c r="B77">
        <v>91314</v>
      </c>
    </row>
    <row r="78" spans="1:2" x14ac:dyDescent="0.2">
      <c r="A78" t="s">
        <v>122</v>
      </c>
      <c r="B78">
        <v>17915</v>
      </c>
    </row>
    <row r="79" spans="1:2" x14ac:dyDescent="0.2">
      <c r="A79" t="s">
        <v>123</v>
      </c>
      <c r="B79">
        <v>211444</v>
      </c>
    </row>
    <row r="80" spans="1:2" x14ac:dyDescent="0.2">
      <c r="A80" t="s">
        <v>124</v>
      </c>
      <c r="B80">
        <v>26839</v>
      </c>
    </row>
    <row r="81" spans="1:2" x14ac:dyDescent="0.2">
      <c r="A81" t="s">
        <v>125</v>
      </c>
      <c r="B81">
        <v>141810</v>
      </c>
    </row>
    <row r="82" spans="1:2" x14ac:dyDescent="0.2">
      <c r="A82" t="s">
        <v>126</v>
      </c>
      <c r="B82">
        <v>50304</v>
      </c>
    </row>
    <row r="83" spans="1:2" x14ac:dyDescent="0.2">
      <c r="A83" t="s">
        <v>127</v>
      </c>
      <c r="B83">
        <v>105031</v>
      </c>
    </row>
    <row r="84" spans="1:2" x14ac:dyDescent="0.2">
      <c r="A84" t="s">
        <v>128</v>
      </c>
      <c r="B84">
        <v>64689</v>
      </c>
    </row>
    <row r="85" spans="1:2" x14ac:dyDescent="0.2">
      <c r="A85" t="s">
        <v>27</v>
      </c>
      <c r="B85">
        <f>SUM(B2:B84)</f>
        <v>7561493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workbookViewId="0">
      <pane xSplit="1" topLeftCell="B1" activePane="topRight" state="frozen"/>
      <selection pane="topRight" activeCell="X6" sqref="X6"/>
    </sheetView>
  </sheetViews>
  <sheetFormatPr defaultRowHeight="14.25" x14ac:dyDescent="0.2"/>
  <cols>
    <col min="1" max="1" width="13.375" bestFit="1" customWidth="1"/>
    <col min="2" max="2" width="9.75" customWidth="1"/>
    <col min="3" max="3" width="9.875" bestFit="1" customWidth="1"/>
    <col min="5" max="6" width="9" customWidth="1"/>
    <col min="7" max="7" width="10.625" hidden="1" customWidth="1"/>
    <col min="8" max="9" width="9" hidden="1" customWidth="1"/>
    <col min="10" max="10" width="0" hidden="1" customWidth="1"/>
    <col min="12" max="19" width="8.875" customWidth="1"/>
    <col min="20" max="20" width="9.5" bestFit="1" customWidth="1"/>
    <col min="21" max="21" width="8.5" customWidth="1"/>
    <col min="22" max="22" width="8.875" customWidth="1"/>
    <col min="23" max="23" width="11.875" bestFit="1" customWidth="1"/>
    <col min="25" max="25" width="12.625" bestFit="1" customWidth="1"/>
    <col min="26" max="26" width="10.125" customWidth="1"/>
  </cols>
  <sheetData>
    <row r="1" spans="1:36" ht="99.75" x14ac:dyDescent="0.2">
      <c r="A1" s="3" t="s">
        <v>0</v>
      </c>
      <c r="B1" s="4" t="s">
        <v>33</v>
      </c>
      <c r="C1" s="4" t="s">
        <v>34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35</v>
      </c>
      <c r="J1" s="4" t="s">
        <v>39</v>
      </c>
      <c r="K1" s="8"/>
      <c r="L1" s="15" t="s">
        <v>37</v>
      </c>
      <c r="M1" s="15" t="s">
        <v>129</v>
      </c>
      <c r="N1" s="15" t="s">
        <v>134</v>
      </c>
      <c r="O1" s="15"/>
      <c r="P1" s="15" t="s">
        <v>36</v>
      </c>
      <c r="Q1" s="15" t="s">
        <v>38</v>
      </c>
      <c r="R1" s="15" t="s">
        <v>40</v>
      </c>
      <c r="S1" s="15"/>
      <c r="T1" s="15" t="s">
        <v>41</v>
      </c>
      <c r="U1" s="15" t="s">
        <v>5</v>
      </c>
      <c r="V1" s="15" t="s">
        <v>42</v>
      </c>
      <c r="W1" s="15" t="s">
        <v>130</v>
      </c>
      <c r="Y1" s="15" t="s">
        <v>43</v>
      </c>
      <c r="Z1" s="15" t="s">
        <v>131</v>
      </c>
      <c r="AA1" s="15" t="s">
        <v>132</v>
      </c>
    </row>
    <row r="2" spans="1:36" s="19" customFormat="1" x14ac:dyDescent="0.2">
      <c r="A2" s="10" t="s">
        <v>25</v>
      </c>
      <c r="B2" s="11">
        <v>238865</v>
      </c>
      <c r="C2" s="11">
        <v>32</v>
      </c>
      <c r="D2" s="11">
        <v>1024</v>
      </c>
      <c r="E2" s="6">
        <f>380*1.2</f>
        <v>456</v>
      </c>
      <c r="F2" s="6">
        <f>85*1.2</f>
        <v>102</v>
      </c>
      <c r="G2" s="17">
        <f>(D2*0.8*1000/(E2+2.32*F2))</f>
        <v>1182.7211827211827</v>
      </c>
      <c r="H2" s="17">
        <f>G2*C2</f>
        <v>37847.077847077846</v>
      </c>
      <c r="I2" s="17">
        <f>B2*0.03</f>
        <v>7165.95</v>
      </c>
      <c r="J2" s="18">
        <f>I2/H2</f>
        <v>0.18933958465576173</v>
      </c>
      <c r="K2" s="8"/>
      <c r="L2" s="6">
        <f>B2*$L$28/$B$28</f>
        <v>361232.38530546951</v>
      </c>
      <c r="M2" s="6">
        <v>262770</v>
      </c>
      <c r="N2" s="9">
        <f>1-M2/L2</f>
        <v>0.27257352693393366</v>
      </c>
      <c r="O2" s="9"/>
      <c r="P2" s="6">
        <v>372629.4</v>
      </c>
      <c r="Q2" s="6">
        <f>P2*0.03</f>
        <v>11178.882</v>
      </c>
      <c r="R2" s="9">
        <f>Q2/U2</f>
        <v>0.29536975206298827</v>
      </c>
      <c r="S2" s="6"/>
      <c r="T2" s="6">
        <f t="shared" ref="T2:T27" si="0">M2*$T$28/$M$28</f>
        <v>491800.89680685848</v>
      </c>
      <c r="U2" s="6">
        <f t="shared" ref="U2:U27" si="1">H2</f>
        <v>37847.077847077846</v>
      </c>
      <c r="V2" s="6">
        <f>T2*0.03</f>
        <v>14754.026904205753</v>
      </c>
      <c r="W2" s="9">
        <f>V2/U2</f>
        <v>0.38983265666691108</v>
      </c>
      <c r="X2" s="2"/>
      <c r="Y2" s="1">
        <f>T2*$Y$28/$T$28</f>
        <v>551525.08549821726</v>
      </c>
      <c r="Z2" s="21">
        <f>Y2*0.03</f>
        <v>16545.752564946517</v>
      </c>
      <c r="AA2" s="16">
        <f>Z2/U2</f>
        <v>0.43717384554231858</v>
      </c>
      <c r="AB2" s="2"/>
      <c r="AC2" s="2"/>
      <c r="AD2" s="2"/>
      <c r="AE2" s="2"/>
      <c r="AF2" s="2"/>
      <c r="AG2" s="2"/>
      <c r="AH2" s="2"/>
      <c r="AI2" s="2"/>
      <c r="AJ2" s="2"/>
    </row>
    <row r="3" spans="1:36" s="19" customFormat="1" x14ac:dyDescent="0.2">
      <c r="A3" s="10" t="s">
        <v>13</v>
      </c>
      <c r="B3" s="11">
        <v>80623</v>
      </c>
      <c r="C3" s="11">
        <v>16</v>
      </c>
      <c r="D3" s="11">
        <v>1024</v>
      </c>
      <c r="E3" s="6">
        <f t="shared" ref="E3:E27" si="2">380*1.2</f>
        <v>456</v>
      </c>
      <c r="F3" s="6">
        <f t="shared" ref="F3:F27" si="3">85*1.2</f>
        <v>102</v>
      </c>
      <c r="G3" s="17">
        <f t="shared" ref="G3:G12" si="4">(D3*0.8*1000/(E3+2.32*F3))</f>
        <v>1182.7211827211827</v>
      </c>
      <c r="H3" s="17">
        <f t="shared" ref="H3:H12" si="5">G3*C3</f>
        <v>18923.538923538923</v>
      </c>
      <c r="I3" s="17">
        <f t="shared" ref="I3:I27" si="6">B3*0.03</f>
        <v>2418.69</v>
      </c>
      <c r="J3" s="18">
        <f t="shared" ref="J3:J27" si="7">I3/H3</f>
        <v>0.12781383068847657</v>
      </c>
      <c r="K3" s="8"/>
      <c r="L3" s="6">
        <f t="shared" ref="L3:L22" si="8">B3*$L$28/$B$28</f>
        <v>121925.09827929109</v>
      </c>
      <c r="M3" s="6">
        <v>87027</v>
      </c>
      <c r="N3" s="9">
        <f t="shared" ref="N2:N27" si="9">1-M3/L3</f>
        <v>0.28622571375214967</v>
      </c>
      <c r="O3" s="9"/>
      <c r="P3" s="6">
        <v>125771.88</v>
      </c>
      <c r="Q3" s="6">
        <f t="shared" ref="Q3:Q27" si="10">P3*0.03</f>
        <v>3773.1563999999998</v>
      </c>
      <c r="R3" s="9">
        <f t="shared" ref="R3:R27" si="11">Q3/U3</f>
        <v>0.19938957587402342</v>
      </c>
      <c r="S3" s="6"/>
      <c r="T3" s="6">
        <f t="shared" si="0"/>
        <v>162879.92025882131</v>
      </c>
      <c r="U3" s="6">
        <f t="shared" si="1"/>
        <v>18923.538923538923</v>
      </c>
      <c r="V3" s="6">
        <f t="shared" ref="V3:V27" si="12">T3*0.03</f>
        <v>4886.3976077646394</v>
      </c>
      <c r="W3" s="9">
        <f t="shared" ref="W3:W27" si="13">V3/U3</f>
        <v>0.25821795952164456</v>
      </c>
      <c r="X3" s="2"/>
      <c r="Y3" s="1">
        <f t="shared" ref="Y3:Y27" si="14">T3*$Y$28/$T$28</f>
        <v>182660.02060986168</v>
      </c>
      <c r="Z3" s="21">
        <f t="shared" ref="Z3:Z27" si="15">Y3*0.03</f>
        <v>5479.8006182958497</v>
      </c>
      <c r="AA3" s="16">
        <f t="shared" ref="AA3:AA27" si="16">Z3/U3</f>
        <v>0.28957588960696695</v>
      </c>
      <c r="AB3" s="2"/>
      <c r="AC3" s="2"/>
      <c r="AD3" s="2"/>
      <c r="AE3" s="2"/>
      <c r="AF3" s="2"/>
      <c r="AG3" s="2"/>
      <c r="AH3" s="2"/>
      <c r="AI3" s="2"/>
      <c r="AJ3" s="2"/>
    </row>
    <row r="4" spans="1:36" s="13" customFormat="1" x14ac:dyDescent="0.2">
      <c r="A4" s="8" t="s">
        <v>7</v>
      </c>
      <c r="B4" s="6">
        <v>207382</v>
      </c>
      <c r="C4" s="6">
        <v>152</v>
      </c>
      <c r="D4" s="6">
        <v>256</v>
      </c>
      <c r="E4" s="6">
        <f t="shared" si="2"/>
        <v>456</v>
      </c>
      <c r="F4" s="6">
        <f t="shared" si="3"/>
        <v>102</v>
      </c>
      <c r="G4" s="11">
        <f t="shared" si="4"/>
        <v>295.68029568029567</v>
      </c>
      <c r="H4" s="11">
        <f t="shared" si="5"/>
        <v>44943.404943404945</v>
      </c>
      <c r="I4" s="11">
        <f t="shared" si="6"/>
        <v>6221.46</v>
      </c>
      <c r="J4" s="12">
        <f t="shared" si="7"/>
        <v>0.13842876408305921</v>
      </c>
      <c r="K4" s="8"/>
      <c r="L4" s="6">
        <f t="shared" si="8"/>
        <v>313621.06013613916</v>
      </c>
      <c r="M4" s="6">
        <v>171835</v>
      </c>
      <c r="N4" s="9">
        <f t="shared" si="9"/>
        <v>0.452093555434675</v>
      </c>
      <c r="O4" s="9"/>
      <c r="P4" s="6">
        <v>286187.15999999997</v>
      </c>
      <c r="Q4" s="6">
        <f t="shared" si="10"/>
        <v>8585.6147999999994</v>
      </c>
      <c r="R4" s="9">
        <f t="shared" si="11"/>
        <v>0.1910316944346217</v>
      </c>
      <c r="S4" s="6"/>
      <c r="T4" s="6">
        <f t="shared" si="0"/>
        <v>321606.75534804782</v>
      </c>
      <c r="U4" s="6">
        <f t="shared" si="1"/>
        <v>44943.404943404945</v>
      </c>
      <c r="V4" s="6">
        <f t="shared" si="12"/>
        <v>9648.202660441435</v>
      </c>
      <c r="W4" s="9">
        <f t="shared" si="13"/>
        <v>0.21467449278911888</v>
      </c>
      <c r="X4" s="2"/>
      <c r="Y4" s="1">
        <f t="shared" si="14"/>
        <v>360662.60633476486</v>
      </c>
      <c r="Z4" s="21">
        <f t="shared" si="15"/>
        <v>10819.878190042946</v>
      </c>
      <c r="AA4" s="16">
        <f t="shared" si="16"/>
        <v>0.24074451420999132</v>
      </c>
      <c r="AB4" s="2"/>
      <c r="AC4" s="2"/>
      <c r="AD4" s="2"/>
      <c r="AE4" s="2"/>
      <c r="AF4" s="2"/>
      <c r="AG4" s="2"/>
      <c r="AH4" s="2"/>
      <c r="AI4" s="2"/>
      <c r="AJ4" s="2"/>
    </row>
    <row r="5" spans="1:36" s="13" customFormat="1" x14ac:dyDescent="0.2">
      <c r="A5" s="29" t="s">
        <v>16</v>
      </c>
      <c r="B5" s="30">
        <v>128352</v>
      </c>
      <c r="C5" s="30">
        <v>114</v>
      </c>
      <c r="D5" s="30">
        <v>128</v>
      </c>
      <c r="E5" s="6">
        <f t="shared" si="2"/>
        <v>456</v>
      </c>
      <c r="F5" s="6">
        <f t="shared" si="3"/>
        <v>102</v>
      </c>
      <c r="G5" s="11">
        <f t="shared" si="4"/>
        <v>147.84014784014784</v>
      </c>
      <c r="H5" s="11">
        <f t="shared" si="5"/>
        <v>16853.776853776853</v>
      </c>
      <c r="I5" s="11">
        <f t="shared" si="6"/>
        <v>3850.56</v>
      </c>
      <c r="J5" s="12">
        <f t="shared" si="7"/>
        <v>0.22846867105263158</v>
      </c>
      <c r="K5" s="8"/>
      <c r="L5" s="6">
        <f t="shared" si="8"/>
        <v>194105.03472140169</v>
      </c>
      <c r="M5" s="6">
        <v>142266</v>
      </c>
      <c r="N5" s="9">
        <f t="shared" si="9"/>
        <v>0.2670669248523414</v>
      </c>
      <c r="O5" s="9"/>
      <c r="P5" s="6">
        <v>200229.12</v>
      </c>
      <c r="Q5" s="6">
        <f t="shared" si="10"/>
        <v>6006.8735999999999</v>
      </c>
      <c r="R5" s="9">
        <f t="shared" si="11"/>
        <v>0.35641112684210524</v>
      </c>
      <c r="S5" s="6"/>
      <c r="T5" s="6">
        <f t="shared" si="0"/>
        <v>266265.35139142413</v>
      </c>
      <c r="U5" s="6">
        <f t="shared" si="1"/>
        <v>16853.776853776853</v>
      </c>
      <c r="V5" s="6">
        <f t="shared" si="12"/>
        <v>7987.9605417427238</v>
      </c>
      <c r="W5" s="9">
        <f t="shared" si="13"/>
        <v>0.47395670484106706</v>
      </c>
      <c r="X5" s="2"/>
      <c r="Y5" s="1">
        <f t="shared" si="14"/>
        <v>298600.55490919575</v>
      </c>
      <c r="Z5" s="21">
        <f t="shared" si="15"/>
        <v>8958.0166472758719</v>
      </c>
      <c r="AA5" s="16">
        <f t="shared" si="16"/>
        <v>0.53151389893170575</v>
      </c>
      <c r="AB5" s="2"/>
      <c r="AC5" s="2"/>
      <c r="AD5" s="2"/>
      <c r="AE5" s="2"/>
      <c r="AF5" s="2"/>
      <c r="AG5" s="2"/>
      <c r="AH5" s="2"/>
      <c r="AI5" s="2"/>
      <c r="AJ5" s="2"/>
    </row>
    <row r="6" spans="1:36" s="13" customFormat="1" x14ac:dyDescent="0.2">
      <c r="A6" s="29" t="s">
        <v>17</v>
      </c>
      <c r="B6" s="30">
        <v>54839</v>
      </c>
      <c r="C6" s="30">
        <v>27</v>
      </c>
      <c r="D6" s="30">
        <v>128</v>
      </c>
      <c r="E6" s="6">
        <f t="shared" si="2"/>
        <v>456</v>
      </c>
      <c r="F6" s="6">
        <f t="shared" si="3"/>
        <v>102</v>
      </c>
      <c r="G6" s="11">
        <f t="shared" si="4"/>
        <v>147.84014784014784</v>
      </c>
      <c r="H6" s="11">
        <f t="shared" si="5"/>
        <v>3991.6839916839917</v>
      </c>
      <c r="I6" s="11">
        <f t="shared" si="6"/>
        <v>1645.1699999999998</v>
      </c>
      <c r="J6" s="12">
        <f t="shared" si="7"/>
        <v>0.41214935937499997</v>
      </c>
      <c r="K6" s="8"/>
      <c r="L6" s="6">
        <f t="shared" si="8"/>
        <v>82932.295555090284</v>
      </c>
      <c r="M6" s="6">
        <v>51898</v>
      </c>
      <c r="N6" s="9">
        <f t="shared" si="9"/>
        <v>0.37421242650246933</v>
      </c>
      <c r="O6" s="9"/>
      <c r="P6" s="6">
        <v>75677.819999999992</v>
      </c>
      <c r="Q6" s="6">
        <f t="shared" si="10"/>
        <v>2270.3345999999997</v>
      </c>
      <c r="R6" s="9">
        <f t="shared" si="11"/>
        <v>0.56876611593749993</v>
      </c>
      <c r="S6" s="6"/>
      <c r="T6" s="6">
        <f t="shared" si="0"/>
        <v>97132.408351342776</v>
      </c>
      <c r="U6" s="6">
        <f t="shared" si="1"/>
        <v>3991.6839916839917</v>
      </c>
      <c r="V6" s="6">
        <f t="shared" si="12"/>
        <v>2913.9722505402833</v>
      </c>
      <c r="W6" s="20">
        <f t="shared" si="13"/>
        <v>0.73001075651556058</v>
      </c>
      <c r="X6" s="2"/>
      <c r="Y6" s="1">
        <f t="shared" si="14"/>
        <v>108928.14585830377</v>
      </c>
      <c r="Z6" s="21">
        <f t="shared" si="15"/>
        <v>3267.8443757491132</v>
      </c>
      <c r="AA6" s="24">
        <f t="shared" si="16"/>
        <v>0.81866309621631428</v>
      </c>
      <c r="AB6" s="2"/>
      <c r="AC6" s="2"/>
      <c r="AD6" s="2"/>
      <c r="AE6" s="2"/>
      <c r="AF6" s="2"/>
      <c r="AG6" s="2"/>
      <c r="AH6" s="2"/>
      <c r="AI6" s="2"/>
      <c r="AJ6" s="2"/>
    </row>
    <row r="7" spans="1:36" s="13" customFormat="1" x14ac:dyDescent="0.2">
      <c r="A7" s="8" t="s">
        <v>12</v>
      </c>
      <c r="B7" s="6">
        <v>268567</v>
      </c>
      <c r="C7" s="6">
        <v>168</v>
      </c>
      <c r="D7" s="6">
        <v>256</v>
      </c>
      <c r="E7" s="6">
        <f t="shared" si="2"/>
        <v>456</v>
      </c>
      <c r="F7" s="6">
        <f t="shared" si="3"/>
        <v>102</v>
      </c>
      <c r="G7" s="11">
        <f t="shared" si="4"/>
        <v>295.68029568029567</v>
      </c>
      <c r="H7" s="11">
        <f t="shared" si="5"/>
        <v>49674.28967428967</v>
      </c>
      <c r="I7" s="11">
        <f t="shared" si="6"/>
        <v>8057.0099999999993</v>
      </c>
      <c r="J7" s="12">
        <f t="shared" si="7"/>
        <v>0.16219678334263393</v>
      </c>
      <c r="K7" s="8"/>
      <c r="L7" s="6">
        <f t="shared" si="8"/>
        <v>406150.32769277215</v>
      </c>
      <c r="M7" s="6">
        <v>238749</v>
      </c>
      <c r="N7" s="9">
        <f t="shared" si="9"/>
        <v>0.41216593039265259</v>
      </c>
      <c r="O7" s="9"/>
      <c r="P7" s="6">
        <v>370622.45999999996</v>
      </c>
      <c r="Q7" s="6">
        <f t="shared" si="10"/>
        <v>11118.673799999999</v>
      </c>
      <c r="R7" s="9">
        <f t="shared" si="11"/>
        <v>0.2238315610128348</v>
      </c>
      <c r="S7" s="6"/>
      <c r="T7" s="6">
        <f t="shared" si="0"/>
        <v>446843.14157529647</v>
      </c>
      <c r="U7" s="6">
        <f t="shared" si="1"/>
        <v>49674.28967428967</v>
      </c>
      <c r="V7" s="6">
        <f t="shared" si="12"/>
        <v>13405.294247258893</v>
      </c>
      <c r="W7" s="9">
        <f t="shared" si="13"/>
        <v>0.2698638336885405</v>
      </c>
      <c r="X7" s="2"/>
      <c r="Y7" s="1">
        <f t="shared" si="14"/>
        <v>501107.67072958814</v>
      </c>
      <c r="Z7" s="21">
        <f t="shared" si="15"/>
        <v>15033.230121887644</v>
      </c>
      <c r="AA7" s="16">
        <f t="shared" si="16"/>
        <v>0.30263603607538886</v>
      </c>
      <c r="AB7" s="2"/>
      <c r="AC7" s="2"/>
      <c r="AD7" s="2"/>
      <c r="AE7" s="2"/>
      <c r="AF7" s="2"/>
      <c r="AG7" s="2"/>
      <c r="AH7" s="2"/>
      <c r="AI7" s="2"/>
      <c r="AJ7" s="2"/>
    </row>
    <row r="8" spans="1:36" s="19" customFormat="1" x14ac:dyDescent="0.2">
      <c r="A8" s="10" t="s">
        <v>11</v>
      </c>
      <c r="B8" s="11">
        <v>295357</v>
      </c>
      <c r="C8" s="11">
        <v>64</v>
      </c>
      <c r="D8" s="11">
        <v>1024</v>
      </c>
      <c r="E8" s="6">
        <f t="shared" si="2"/>
        <v>456</v>
      </c>
      <c r="F8" s="6">
        <f t="shared" si="3"/>
        <v>102</v>
      </c>
      <c r="G8" s="17">
        <f t="shared" si="4"/>
        <v>1182.7211827211827</v>
      </c>
      <c r="H8" s="17">
        <f t="shared" si="5"/>
        <v>75694.155694155692</v>
      </c>
      <c r="I8" s="17">
        <f t="shared" si="6"/>
        <v>8860.7099999999991</v>
      </c>
      <c r="J8" s="18">
        <f t="shared" si="7"/>
        <v>0.11705936764526366</v>
      </c>
      <c r="K8" s="8"/>
      <c r="L8" s="6">
        <f t="shared" si="8"/>
        <v>446664.49093281792</v>
      </c>
      <c r="M8" s="6">
        <v>254483</v>
      </c>
      <c r="N8" s="9">
        <f t="shared" si="9"/>
        <v>0.43025916506473227</v>
      </c>
      <c r="O8" s="9"/>
      <c r="P8" s="6">
        <v>407592.66</v>
      </c>
      <c r="Q8" s="6">
        <f t="shared" si="10"/>
        <v>12227.779799999998</v>
      </c>
      <c r="R8" s="9">
        <f t="shared" si="11"/>
        <v>0.16154192735046385</v>
      </c>
      <c r="S8" s="6"/>
      <c r="T8" s="6">
        <f t="shared" si="0"/>
        <v>476290.92979449616</v>
      </c>
      <c r="U8" s="6">
        <f t="shared" si="1"/>
        <v>75694.155694155692</v>
      </c>
      <c r="V8" s="6">
        <f t="shared" si="12"/>
        <v>14288.727893834885</v>
      </c>
      <c r="W8" s="9">
        <f t="shared" si="13"/>
        <v>0.18876923538943852</v>
      </c>
      <c r="X8" s="2"/>
      <c r="Y8" s="1">
        <f t="shared" si="14"/>
        <v>534131.59163086663</v>
      </c>
      <c r="Z8" s="21">
        <f t="shared" si="15"/>
        <v>16023.947748925999</v>
      </c>
      <c r="AA8" s="16">
        <f t="shared" si="16"/>
        <v>0.21169332826263626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3" customFormat="1" x14ac:dyDescent="0.2">
      <c r="A9" s="8" t="s">
        <v>8</v>
      </c>
      <c r="B9" s="6">
        <v>189252</v>
      </c>
      <c r="C9" s="6">
        <v>136</v>
      </c>
      <c r="D9" s="6">
        <v>256</v>
      </c>
      <c r="E9" s="6">
        <f t="shared" si="2"/>
        <v>456</v>
      </c>
      <c r="F9" s="6">
        <f t="shared" si="3"/>
        <v>102</v>
      </c>
      <c r="G9" s="11">
        <f t="shared" si="4"/>
        <v>295.68029568029567</v>
      </c>
      <c r="H9" s="11">
        <f t="shared" si="5"/>
        <v>40212.520212520212</v>
      </c>
      <c r="I9" s="11">
        <f t="shared" si="6"/>
        <v>5677.5599999999995</v>
      </c>
      <c r="J9" s="12">
        <f t="shared" si="7"/>
        <v>0.14118886282169116</v>
      </c>
      <c r="K9" s="8"/>
      <c r="L9" s="6">
        <f t="shared" si="8"/>
        <v>286203.30054143851</v>
      </c>
      <c r="M9" s="6">
        <v>166205</v>
      </c>
      <c r="N9" s="9">
        <f t="shared" si="9"/>
        <v>0.4192764385121559</v>
      </c>
      <c r="O9" s="9"/>
      <c r="P9" s="6">
        <v>261167.75999999998</v>
      </c>
      <c r="Q9" s="6">
        <f t="shared" si="10"/>
        <v>7835.032799999999</v>
      </c>
      <c r="R9" s="9">
        <f t="shared" si="11"/>
        <v>0.19484063069393381</v>
      </c>
      <c r="S9" s="6"/>
      <c r="T9" s="6">
        <f t="shared" si="0"/>
        <v>311069.63524673251</v>
      </c>
      <c r="U9" s="6">
        <f t="shared" si="1"/>
        <v>40212.520212520212</v>
      </c>
      <c r="V9" s="6">
        <f t="shared" si="12"/>
        <v>9332.0890574019741</v>
      </c>
      <c r="W9" s="9">
        <f t="shared" si="13"/>
        <v>0.23206924132291559</v>
      </c>
      <c r="X9" s="2"/>
      <c r="Y9" s="1">
        <f t="shared" si="14"/>
        <v>348845.86077265744</v>
      </c>
      <c r="Z9" s="21">
        <f t="shared" si="15"/>
        <v>10465.375823179724</v>
      </c>
      <c r="AA9" s="16">
        <f t="shared" si="16"/>
        <v>0.26025167703667867</v>
      </c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">
      <c r="A10" s="8" t="s">
        <v>26</v>
      </c>
      <c r="B10" s="6">
        <v>56975</v>
      </c>
      <c r="C10" s="6">
        <v>43</v>
      </c>
      <c r="D10" s="6">
        <v>256</v>
      </c>
      <c r="E10" s="6">
        <f t="shared" si="2"/>
        <v>456</v>
      </c>
      <c r="F10" s="6">
        <f t="shared" si="3"/>
        <v>102</v>
      </c>
      <c r="G10" s="6">
        <f t="shared" si="4"/>
        <v>295.68029568029567</v>
      </c>
      <c r="H10" s="6">
        <f t="shared" si="5"/>
        <v>12714.252714252714</v>
      </c>
      <c r="I10" s="5">
        <f t="shared" si="6"/>
        <v>1709.25</v>
      </c>
      <c r="J10" s="7">
        <f t="shared" si="7"/>
        <v>0.13443574218750001</v>
      </c>
      <c r="K10" s="8"/>
      <c r="L10" s="6">
        <f t="shared" si="8"/>
        <v>86162.540149369408</v>
      </c>
      <c r="M10" s="6">
        <v>66770</v>
      </c>
      <c r="N10" s="9">
        <f t="shared" si="9"/>
        <v>0.22506927158543544</v>
      </c>
      <c r="O10" s="9"/>
      <c r="P10" s="6">
        <v>88881</v>
      </c>
      <c r="Q10" s="6">
        <f t="shared" si="10"/>
        <v>2666.43</v>
      </c>
      <c r="R10" s="9">
        <f t="shared" si="11"/>
        <v>0.20971975781249999</v>
      </c>
      <c r="S10" s="6"/>
      <c r="T10" s="6">
        <f t="shared" si="0"/>
        <v>124966.87551773009</v>
      </c>
      <c r="U10" s="6">
        <f t="shared" si="1"/>
        <v>12714.252714252714</v>
      </c>
      <c r="V10" s="6">
        <f t="shared" si="12"/>
        <v>3749.0062655319025</v>
      </c>
      <c r="W10" s="9">
        <f t="shared" si="13"/>
        <v>0.29486642666220214</v>
      </c>
      <c r="X10" s="2"/>
      <c r="Y10" s="1">
        <f t="shared" si="14"/>
        <v>140142.82436623648</v>
      </c>
      <c r="Z10" s="21">
        <f t="shared" si="15"/>
        <v>4204.284730987094</v>
      </c>
      <c r="AA10" s="16">
        <f t="shared" si="16"/>
        <v>0.33067493823479521</v>
      </c>
      <c r="AB10" s="2"/>
      <c r="AC10" s="2"/>
      <c r="AD10" s="2"/>
      <c r="AE10" s="2"/>
      <c r="AF10" s="2"/>
      <c r="AG10" s="2"/>
      <c r="AH10" s="2"/>
      <c r="AI10" s="2"/>
      <c r="AJ10" s="2"/>
    </row>
    <row r="11" spans="1:36" s="19" customFormat="1" x14ac:dyDescent="0.2">
      <c r="A11" s="10" t="s">
        <v>14</v>
      </c>
      <c r="B11" s="11">
        <v>140501</v>
      </c>
      <c r="C11" s="11">
        <v>24</v>
      </c>
      <c r="D11" s="11">
        <v>1024</v>
      </c>
      <c r="E11" s="6">
        <f t="shared" si="2"/>
        <v>456</v>
      </c>
      <c r="F11" s="6">
        <f t="shared" si="3"/>
        <v>102</v>
      </c>
      <c r="G11" s="17">
        <f t="shared" si="4"/>
        <v>1182.7211827211827</v>
      </c>
      <c r="H11" s="17">
        <f t="shared" si="5"/>
        <v>28385.308385308384</v>
      </c>
      <c r="I11" s="17">
        <f t="shared" si="6"/>
        <v>4215.03</v>
      </c>
      <c r="J11" s="18">
        <f t="shared" si="7"/>
        <v>0.14849336645507813</v>
      </c>
      <c r="K11" s="8"/>
      <c r="L11" s="6">
        <f t="shared" si="8"/>
        <v>212477.80699476175</v>
      </c>
      <c r="M11" s="6">
        <v>139781</v>
      </c>
      <c r="N11" s="9">
        <f t="shared" si="9"/>
        <v>0.34213835328483955</v>
      </c>
      <c r="O11" s="9"/>
      <c r="P11" s="6">
        <v>219181.56</v>
      </c>
      <c r="Q11" s="6">
        <f t="shared" si="10"/>
        <v>6575.4467999999997</v>
      </c>
      <c r="R11" s="9">
        <f t="shared" si="11"/>
        <v>0.23164965166992188</v>
      </c>
      <c r="S11" s="6"/>
      <c r="T11" s="6">
        <f t="shared" si="0"/>
        <v>261614.42005007988</v>
      </c>
      <c r="U11" s="6">
        <f t="shared" si="1"/>
        <v>28385.308385308384</v>
      </c>
      <c r="V11" s="6">
        <f t="shared" si="12"/>
        <v>7848.4326015023962</v>
      </c>
      <c r="W11" s="9">
        <f t="shared" si="13"/>
        <v>0.27649629501874895</v>
      </c>
      <c r="X11" s="2"/>
      <c r="Y11" s="1">
        <f t="shared" si="14"/>
        <v>293384.81552698679</v>
      </c>
      <c r="Z11" s="21">
        <f t="shared" si="15"/>
        <v>8801.5444658096039</v>
      </c>
      <c r="AA11" s="16">
        <f t="shared" si="16"/>
        <v>0.31007394199617333</v>
      </c>
      <c r="AB11" s="2"/>
      <c r="AC11" s="2"/>
      <c r="AD11" s="2"/>
      <c r="AE11" s="2"/>
      <c r="AF11" s="2"/>
      <c r="AG11" s="2"/>
      <c r="AH11" s="2"/>
      <c r="AI11" s="2"/>
      <c r="AJ11" s="2"/>
    </row>
    <row r="12" spans="1:36" s="19" customFormat="1" x14ac:dyDescent="0.2">
      <c r="A12" s="10" t="s">
        <v>15</v>
      </c>
      <c r="B12" s="11">
        <v>258061</v>
      </c>
      <c r="C12" s="11">
        <v>40</v>
      </c>
      <c r="D12" s="11">
        <v>1024</v>
      </c>
      <c r="E12" s="6">
        <f t="shared" si="2"/>
        <v>456</v>
      </c>
      <c r="F12" s="6">
        <f t="shared" si="3"/>
        <v>102</v>
      </c>
      <c r="G12" s="17">
        <f t="shared" si="4"/>
        <v>1182.7211827211827</v>
      </c>
      <c r="H12" s="17">
        <f t="shared" si="5"/>
        <v>47308.847308847311</v>
      </c>
      <c r="I12" s="17">
        <f t="shared" si="6"/>
        <v>7741.83</v>
      </c>
      <c r="J12" s="18">
        <f t="shared" si="7"/>
        <v>0.16364444370117187</v>
      </c>
      <c r="K12" s="8"/>
      <c r="L12" s="6">
        <f t="shared" si="8"/>
        <v>390262.2426237195</v>
      </c>
      <c r="M12" s="6">
        <v>268188</v>
      </c>
      <c r="N12" s="9">
        <f t="shared" si="9"/>
        <v>0.31280054612257291</v>
      </c>
      <c r="O12" s="9"/>
      <c r="P12" s="6">
        <v>402575.16000000003</v>
      </c>
      <c r="Q12" s="6">
        <f t="shared" si="10"/>
        <v>12077.254800000001</v>
      </c>
      <c r="R12" s="9">
        <f t="shared" si="11"/>
        <v>0.25528533217382815</v>
      </c>
      <c r="S12" s="6"/>
      <c r="T12" s="6">
        <f t="shared" si="0"/>
        <v>501941.23725249362</v>
      </c>
      <c r="U12" s="6">
        <f t="shared" si="1"/>
        <v>47308.847308847311</v>
      </c>
      <c r="V12" s="6">
        <f t="shared" si="12"/>
        <v>15058.237117574809</v>
      </c>
      <c r="W12" s="9">
        <f t="shared" si="13"/>
        <v>0.31829642813467451</v>
      </c>
      <c r="X12" s="2"/>
      <c r="Y12" s="1">
        <f t="shared" si="14"/>
        <v>562896.86657379416</v>
      </c>
      <c r="Z12" s="21">
        <f t="shared" si="15"/>
        <v>16886.905997213824</v>
      </c>
      <c r="AA12" s="16">
        <f t="shared" si="16"/>
        <v>0.35695027373993476</v>
      </c>
      <c r="AB12" s="2"/>
      <c r="AC12" s="2"/>
      <c r="AD12" s="2"/>
      <c r="AE12" s="2"/>
      <c r="AF12" s="2"/>
      <c r="AG12" s="2"/>
      <c r="AH12" s="2"/>
      <c r="AI12" s="2"/>
      <c r="AJ12" s="2"/>
    </row>
    <row r="13" spans="1:36" s="13" customFormat="1" x14ac:dyDescent="0.2">
      <c r="A13" s="8" t="s">
        <v>6</v>
      </c>
      <c r="B13" s="6">
        <v>91511</v>
      </c>
      <c r="C13" s="6">
        <v>89</v>
      </c>
      <c r="D13" s="6">
        <v>256</v>
      </c>
      <c r="E13" s="6">
        <f t="shared" si="2"/>
        <v>456</v>
      </c>
      <c r="F13" s="6">
        <f t="shared" si="3"/>
        <v>102</v>
      </c>
      <c r="G13" s="11">
        <f t="shared" ref="G13:G27" si="17">(D13*0.8*1000/(E13+2.32*F13))</f>
        <v>295.68029568029567</v>
      </c>
      <c r="H13" s="11">
        <f t="shared" ref="H13:H27" si="18">G13*C13</f>
        <v>26315.546315546315</v>
      </c>
      <c r="I13" s="11">
        <f t="shared" si="6"/>
        <v>2745.33</v>
      </c>
      <c r="J13" s="12">
        <f t="shared" si="7"/>
        <v>0.10432350395014045</v>
      </c>
      <c r="K13" s="8"/>
      <c r="L13" s="6">
        <f t="shared" si="8"/>
        <v>138390.87690406223</v>
      </c>
      <c r="M13" s="6">
        <v>80129</v>
      </c>
      <c r="N13" s="9">
        <f t="shared" si="9"/>
        <v>0.42099506996007807</v>
      </c>
      <c r="O13" s="9"/>
      <c r="P13" s="6">
        <v>126285.18</v>
      </c>
      <c r="Q13" s="6">
        <f t="shared" si="10"/>
        <v>3788.5553999999997</v>
      </c>
      <c r="R13" s="9">
        <f t="shared" si="11"/>
        <v>0.14396643545119381</v>
      </c>
      <c r="S13" s="6"/>
      <c r="T13" s="6">
        <f t="shared" si="0"/>
        <v>149969.6086320233</v>
      </c>
      <c r="U13" s="6">
        <f t="shared" si="1"/>
        <v>26315.546315546315</v>
      </c>
      <c r="V13" s="6">
        <f t="shared" si="12"/>
        <v>4499.088258960699</v>
      </c>
      <c r="W13" s="9">
        <f t="shared" si="13"/>
        <v>0.17096693357655254</v>
      </c>
      <c r="X13" s="2"/>
      <c r="Y13" s="1">
        <f t="shared" si="14"/>
        <v>168181.88368492085</v>
      </c>
      <c r="Z13" s="21">
        <f t="shared" si="15"/>
        <v>5045.4565105476249</v>
      </c>
      <c r="AA13" s="16">
        <f t="shared" si="16"/>
        <v>0.19172911897964071</v>
      </c>
      <c r="AB13" s="2"/>
      <c r="AC13" s="2"/>
      <c r="AD13" s="2"/>
      <c r="AE13" s="2"/>
      <c r="AF13" s="2"/>
      <c r="AG13" s="2"/>
      <c r="AH13" s="2"/>
      <c r="AI13" s="2"/>
      <c r="AJ13" s="2"/>
    </row>
    <row r="14" spans="1:36" s="19" customFormat="1" x14ac:dyDescent="0.2">
      <c r="A14" s="10" t="s">
        <v>9</v>
      </c>
      <c r="B14" s="11">
        <v>82436</v>
      </c>
      <c r="C14" s="11">
        <v>16</v>
      </c>
      <c r="D14" s="11">
        <v>1024</v>
      </c>
      <c r="E14" s="6">
        <f t="shared" si="2"/>
        <v>456</v>
      </c>
      <c r="F14" s="6">
        <f t="shared" si="3"/>
        <v>102</v>
      </c>
      <c r="G14" s="17">
        <f t="shared" si="17"/>
        <v>1182.7211827211827</v>
      </c>
      <c r="H14" s="17">
        <f t="shared" si="18"/>
        <v>18923.538923538923</v>
      </c>
      <c r="I14" s="17">
        <f t="shared" si="6"/>
        <v>2473.08</v>
      </c>
      <c r="J14" s="18">
        <f t="shared" si="7"/>
        <v>0.13068802880859376</v>
      </c>
      <c r="K14" s="8"/>
      <c r="L14" s="6">
        <f t="shared" si="8"/>
        <v>124666.87423876116</v>
      </c>
      <c r="M14" s="6">
        <v>76300</v>
      </c>
      <c r="N14" s="9">
        <f t="shared" si="9"/>
        <v>0.38796893348051098</v>
      </c>
      <c r="O14" s="9"/>
      <c r="P14" s="6">
        <v>113761.68</v>
      </c>
      <c r="Q14" s="6">
        <f t="shared" si="10"/>
        <v>3412.8503999999998</v>
      </c>
      <c r="R14" s="9">
        <f t="shared" si="11"/>
        <v>0.18034947975585938</v>
      </c>
      <c r="S14" s="6"/>
      <c r="T14" s="6">
        <f t="shared" si="0"/>
        <v>142803.24400183925</v>
      </c>
      <c r="U14" s="6">
        <f t="shared" si="1"/>
        <v>18923.538923538923</v>
      </c>
      <c r="V14" s="6">
        <f t="shared" si="12"/>
        <v>4284.0973200551771</v>
      </c>
      <c r="W14" s="9">
        <f t="shared" si="13"/>
        <v>0.22638985960106034</v>
      </c>
      <c r="X14" s="2"/>
      <c r="Y14" s="1">
        <f t="shared" si="14"/>
        <v>160145.23736923537</v>
      </c>
      <c r="Z14" s="21">
        <f t="shared" si="15"/>
        <v>4804.3571210770606</v>
      </c>
      <c r="AA14" s="16">
        <f t="shared" si="16"/>
        <v>0.25388259249441647</v>
      </c>
      <c r="AB14" s="2"/>
      <c r="AC14" s="2"/>
      <c r="AD14" s="2"/>
      <c r="AE14" s="2"/>
      <c r="AF14" s="2"/>
      <c r="AG14" s="2"/>
      <c r="AH14" s="2"/>
      <c r="AI14" s="2"/>
      <c r="AJ14" s="2"/>
    </row>
    <row r="15" spans="1:36" s="19" customFormat="1" x14ac:dyDescent="0.2">
      <c r="A15" s="10" t="s">
        <v>10</v>
      </c>
      <c r="B15" s="11">
        <v>87025</v>
      </c>
      <c r="C15" s="11">
        <v>24</v>
      </c>
      <c r="D15" s="11">
        <v>1024</v>
      </c>
      <c r="E15" s="6">
        <f t="shared" si="2"/>
        <v>456</v>
      </c>
      <c r="F15" s="6">
        <f t="shared" si="3"/>
        <v>102</v>
      </c>
      <c r="G15" s="17">
        <f t="shared" si="17"/>
        <v>1182.7211827211827</v>
      </c>
      <c r="H15" s="17">
        <f t="shared" si="18"/>
        <v>28385.308385308384</v>
      </c>
      <c r="I15" s="17">
        <f t="shared" si="6"/>
        <v>2610.75</v>
      </c>
      <c r="J15" s="18">
        <f t="shared" si="7"/>
        <v>9.1975396728515624E-2</v>
      </c>
      <c r="K15" s="8"/>
      <c r="L15" s="6">
        <f t="shared" si="8"/>
        <v>131606.75834135801</v>
      </c>
      <c r="M15" s="6">
        <v>72728</v>
      </c>
      <c r="N15" s="9">
        <f t="shared" si="9"/>
        <v>0.44738400279292567</v>
      </c>
      <c r="O15" s="9"/>
      <c r="P15" s="6">
        <v>120094.49999999999</v>
      </c>
      <c r="Q15" s="6">
        <f t="shared" si="10"/>
        <v>3602.8349999999996</v>
      </c>
      <c r="R15" s="9">
        <f t="shared" si="11"/>
        <v>0.12692604748535155</v>
      </c>
      <c r="S15" s="6"/>
      <c r="T15" s="6">
        <f t="shared" si="0"/>
        <v>136117.88112405982</v>
      </c>
      <c r="U15" s="6">
        <f t="shared" si="1"/>
        <v>28385.308385308384</v>
      </c>
      <c r="V15" s="6">
        <f t="shared" si="12"/>
        <v>4083.5364337217943</v>
      </c>
      <c r="W15" s="9">
        <f t="shared" si="13"/>
        <v>0.14386091488917357</v>
      </c>
      <c r="X15" s="2"/>
      <c r="Y15" s="1">
        <f t="shared" si="14"/>
        <v>152648.00554901376</v>
      </c>
      <c r="Z15" s="21">
        <f t="shared" si="15"/>
        <v>4579.4401664704128</v>
      </c>
      <c r="AA15" s="16">
        <f t="shared" si="16"/>
        <v>0.1613313515677931</v>
      </c>
      <c r="AB15" s="2"/>
      <c r="AC15" s="2"/>
      <c r="AD15" s="2"/>
      <c r="AE15" s="2"/>
      <c r="AF15" s="2"/>
      <c r="AG15" s="2"/>
      <c r="AH15" s="2"/>
      <c r="AI15" s="2"/>
      <c r="AJ15" s="2"/>
    </row>
    <row r="16" spans="1:36" s="19" customFormat="1" x14ac:dyDescent="0.2">
      <c r="A16" s="10" t="s">
        <v>18</v>
      </c>
      <c r="B16" s="11">
        <v>57562</v>
      </c>
      <c r="C16" s="11">
        <v>16</v>
      </c>
      <c r="D16" s="11">
        <v>1024</v>
      </c>
      <c r="E16" s="6">
        <f t="shared" si="2"/>
        <v>456</v>
      </c>
      <c r="F16" s="6">
        <f t="shared" si="3"/>
        <v>102</v>
      </c>
      <c r="G16" s="17">
        <f t="shared" si="17"/>
        <v>1182.7211827211827</v>
      </c>
      <c r="H16" s="17">
        <f t="shared" si="18"/>
        <v>18923.538923538923</v>
      </c>
      <c r="I16" s="17">
        <f t="shared" si="6"/>
        <v>1726.86</v>
      </c>
      <c r="J16" s="18">
        <f t="shared" si="7"/>
        <v>9.1254601318359371E-2</v>
      </c>
      <c r="K16" s="8"/>
      <c r="L16" s="6">
        <f t="shared" si="8"/>
        <v>87050.252498078145</v>
      </c>
      <c r="M16" s="6">
        <v>66545</v>
      </c>
      <c r="N16" s="9">
        <f t="shared" si="9"/>
        <v>0.23555649650218824</v>
      </c>
      <c r="O16" s="9"/>
      <c r="P16" s="6">
        <v>89796.72</v>
      </c>
      <c r="Q16" s="6">
        <f t="shared" si="10"/>
        <v>2693.9016000000001</v>
      </c>
      <c r="R16" s="9">
        <f t="shared" si="11"/>
        <v>0.14235717805664064</v>
      </c>
      <c r="S16" s="6"/>
      <c r="T16" s="6">
        <f t="shared" si="0"/>
        <v>124545.76503410737</v>
      </c>
      <c r="U16" s="6">
        <f t="shared" si="1"/>
        <v>18923.538923538923</v>
      </c>
      <c r="V16" s="6">
        <f t="shared" si="12"/>
        <v>3736.372951023221</v>
      </c>
      <c r="W16" s="9">
        <f t="shared" si="13"/>
        <v>0.19744578253148834</v>
      </c>
      <c r="X16" s="2"/>
      <c r="Y16" s="1">
        <f t="shared" si="14"/>
        <v>139670.5743215697</v>
      </c>
      <c r="Z16" s="21">
        <f t="shared" si="15"/>
        <v>4190.1172296470904</v>
      </c>
      <c r="AA16" s="16">
        <f t="shared" si="16"/>
        <v>0.22142355330984198</v>
      </c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">
      <c r="A17" s="8" t="s">
        <v>22</v>
      </c>
      <c r="B17" s="6">
        <v>1017423</v>
      </c>
      <c r="C17" s="6">
        <v>290</v>
      </c>
      <c r="D17" s="6">
        <v>256</v>
      </c>
      <c r="E17" s="6">
        <f t="shared" si="2"/>
        <v>456</v>
      </c>
      <c r="F17" s="6">
        <f t="shared" si="3"/>
        <v>102</v>
      </c>
      <c r="G17" s="6">
        <f t="shared" si="17"/>
        <v>295.68029568029567</v>
      </c>
      <c r="H17" s="6">
        <f t="shared" si="18"/>
        <v>85747.285747285743</v>
      </c>
      <c r="I17" s="5">
        <f t="shared" si="6"/>
        <v>30522.69</v>
      </c>
      <c r="J17" s="7">
        <f t="shared" si="7"/>
        <v>0.35596100487607757</v>
      </c>
      <c r="K17" s="8"/>
      <c r="L17" s="6">
        <f t="shared" si="8"/>
        <v>1538635.3679050789</v>
      </c>
      <c r="M17" s="6">
        <v>1085200</v>
      </c>
      <c r="N17" s="9">
        <f t="shared" si="9"/>
        <v>0.29469969127412654</v>
      </c>
      <c r="O17" s="9"/>
      <c r="P17" s="6">
        <v>1617702.57</v>
      </c>
      <c r="Q17" s="6">
        <f t="shared" si="10"/>
        <v>48531.077100000002</v>
      </c>
      <c r="R17" s="9">
        <f t="shared" si="11"/>
        <v>0.56597799775296342</v>
      </c>
      <c r="S17" s="6"/>
      <c r="T17" s="6">
        <f t="shared" si="0"/>
        <v>2031062.6525661331</v>
      </c>
      <c r="U17" s="6">
        <f t="shared" si="1"/>
        <v>85747.285747285743</v>
      </c>
      <c r="V17" s="6">
        <f t="shared" si="12"/>
        <v>60931.879576983993</v>
      </c>
      <c r="W17" s="20">
        <f t="shared" si="13"/>
        <v>0.7105983477606781</v>
      </c>
      <c r="Y17" s="1">
        <f t="shared" si="14"/>
        <v>2277714.4376552324</v>
      </c>
      <c r="Z17" s="21">
        <f t="shared" si="15"/>
        <v>68331.433129656973</v>
      </c>
      <c r="AA17" s="25">
        <f t="shared" si="16"/>
        <v>0.79689324897167313</v>
      </c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">
      <c r="A18" s="8" t="s">
        <v>20</v>
      </c>
      <c r="B18" s="6">
        <v>379480</v>
      </c>
      <c r="C18" s="6">
        <v>195</v>
      </c>
      <c r="D18" s="6">
        <v>256</v>
      </c>
      <c r="E18" s="6">
        <f t="shared" si="2"/>
        <v>456</v>
      </c>
      <c r="F18" s="6">
        <f t="shared" si="3"/>
        <v>102</v>
      </c>
      <c r="G18" s="6">
        <f t="shared" si="17"/>
        <v>295.68029568029567</v>
      </c>
      <c r="H18" s="6">
        <f t="shared" si="18"/>
        <v>57657.657657657655</v>
      </c>
      <c r="I18" s="5">
        <f t="shared" si="6"/>
        <v>11384.4</v>
      </c>
      <c r="J18" s="7">
        <f t="shared" si="7"/>
        <v>0.19744818750000001</v>
      </c>
      <c r="K18" s="8"/>
      <c r="L18" s="6">
        <f t="shared" si="8"/>
        <v>573882.59299486969</v>
      </c>
      <c r="M18" s="6">
        <v>422119</v>
      </c>
      <c r="N18" s="9">
        <f t="shared" si="9"/>
        <v>0.26445059468152643</v>
      </c>
      <c r="O18" s="9"/>
      <c r="P18" s="6">
        <v>603373.20000000007</v>
      </c>
      <c r="Q18" s="6">
        <f t="shared" si="10"/>
        <v>18101.196</v>
      </c>
      <c r="R18" s="9">
        <f t="shared" si="11"/>
        <v>0.31394261812500002</v>
      </c>
      <c r="S18" s="6"/>
      <c r="T18" s="6">
        <f t="shared" si="0"/>
        <v>790038.8277170693</v>
      </c>
      <c r="U18" s="6">
        <f t="shared" si="1"/>
        <v>57657.657657657655</v>
      </c>
      <c r="V18" s="6">
        <f t="shared" si="12"/>
        <v>23701.164831512076</v>
      </c>
      <c r="W18" s="9">
        <f t="shared" si="13"/>
        <v>0.4110670775465376</v>
      </c>
      <c r="Y18" s="1">
        <f t="shared" si="14"/>
        <v>885980.96268760506</v>
      </c>
      <c r="Z18" s="21">
        <f t="shared" si="15"/>
        <v>26579.428880628151</v>
      </c>
      <c r="AA18" s="16">
        <f t="shared" si="16"/>
        <v>0.46098696964839453</v>
      </c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">
      <c r="A19" s="8" t="s">
        <v>21</v>
      </c>
      <c r="B19" s="6">
        <v>465980</v>
      </c>
      <c r="C19" s="6">
        <v>187</v>
      </c>
      <c r="D19" s="6">
        <v>256</v>
      </c>
      <c r="E19" s="6">
        <f t="shared" si="2"/>
        <v>456</v>
      </c>
      <c r="F19" s="6">
        <f t="shared" si="3"/>
        <v>102</v>
      </c>
      <c r="G19" s="6">
        <f t="shared" si="17"/>
        <v>295.68029568029567</v>
      </c>
      <c r="H19" s="6">
        <f t="shared" si="18"/>
        <v>55292.215292215289</v>
      </c>
      <c r="I19" s="5">
        <f t="shared" si="6"/>
        <v>13979.4</v>
      </c>
      <c r="J19" s="7">
        <f t="shared" si="7"/>
        <v>0.25282763452540108</v>
      </c>
      <c r="K19" s="8"/>
      <c r="L19" s="6">
        <f t="shared" si="8"/>
        <v>704695.40076881368</v>
      </c>
      <c r="M19" s="6">
        <v>506206</v>
      </c>
      <c r="N19" s="9">
        <f t="shared" si="9"/>
        <v>0.28166694511169543</v>
      </c>
      <c r="O19" s="9"/>
      <c r="P19" s="6">
        <v>740908.20000000007</v>
      </c>
      <c r="Q19" s="6">
        <f t="shared" si="10"/>
        <v>22227.246000000003</v>
      </c>
      <c r="R19" s="9">
        <f t="shared" si="11"/>
        <v>0.40199593889538776</v>
      </c>
      <c r="S19" s="6"/>
      <c r="T19" s="6">
        <f t="shared" si="0"/>
        <v>947416.23765655363</v>
      </c>
      <c r="U19" s="6">
        <f t="shared" si="1"/>
        <v>55292.215292215289</v>
      </c>
      <c r="V19" s="6">
        <f t="shared" si="12"/>
        <v>28422.487129696608</v>
      </c>
      <c r="W19" s="9">
        <f t="shared" si="13"/>
        <v>0.51404138863827131</v>
      </c>
      <c r="Y19" s="1">
        <f t="shared" si="14"/>
        <v>1062470.249380487</v>
      </c>
      <c r="Z19" s="21">
        <f t="shared" si="15"/>
        <v>31874.107481414609</v>
      </c>
      <c r="AA19" s="16">
        <f t="shared" si="16"/>
        <v>0.57646645758290382</v>
      </c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">
      <c r="A20" s="8" t="s">
        <v>23</v>
      </c>
      <c r="B20" s="6">
        <v>842453</v>
      </c>
      <c r="C20" s="6">
        <v>286</v>
      </c>
      <c r="D20" s="6">
        <v>256</v>
      </c>
      <c r="E20" s="6">
        <f t="shared" si="2"/>
        <v>456</v>
      </c>
      <c r="F20" s="6">
        <f t="shared" si="3"/>
        <v>102</v>
      </c>
      <c r="G20" s="6">
        <f t="shared" si="17"/>
        <v>295.68029568029567</v>
      </c>
      <c r="H20" s="6">
        <f t="shared" si="18"/>
        <v>84564.564564564556</v>
      </c>
      <c r="I20" s="5">
        <f t="shared" si="6"/>
        <v>25273.59</v>
      </c>
      <c r="J20" s="7">
        <f t="shared" si="7"/>
        <v>0.2988673817471591</v>
      </c>
      <c r="K20" s="8"/>
      <c r="L20" s="6">
        <f t="shared" si="8"/>
        <v>1274030.5473708946</v>
      </c>
      <c r="M20" s="6">
        <v>896998</v>
      </c>
      <c r="N20" s="9">
        <f t="shared" si="9"/>
        <v>0.29593681890041312</v>
      </c>
      <c r="O20" s="9"/>
      <c r="P20" s="6">
        <v>1339500.27</v>
      </c>
      <c r="Q20" s="6">
        <f t="shared" si="10"/>
        <v>40185.008099999999</v>
      </c>
      <c r="R20" s="9">
        <f t="shared" si="11"/>
        <v>0.47519913697798299</v>
      </c>
      <c r="S20" s="6"/>
      <c r="T20" s="6">
        <f t="shared" si="0"/>
        <v>1678823.3848382938</v>
      </c>
      <c r="U20" s="6">
        <f t="shared" si="1"/>
        <v>84564.564564564556</v>
      </c>
      <c r="V20" s="6">
        <f t="shared" si="12"/>
        <v>50364.701545148811</v>
      </c>
      <c r="W20" s="9">
        <f t="shared" si="13"/>
        <v>0.59557690392523277</v>
      </c>
      <c r="Y20" s="1">
        <f t="shared" si="14"/>
        <v>1882699.3136268598</v>
      </c>
      <c r="Z20" s="21">
        <f t="shared" si="15"/>
        <v>56480.97940880579</v>
      </c>
      <c r="AA20" s="16">
        <f t="shared" si="16"/>
        <v>0.6679036272419151</v>
      </c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">
      <c r="A21" s="8" t="s">
        <v>24</v>
      </c>
      <c r="B21" s="6">
        <v>1066259</v>
      </c>
      <c r="C21" s="6">
        <v>250</v>
      </c>
      <c r="D21" s="6">
        <v>256</v>
      </c>
      <c r="E21" s="6">
        <f t="shared" si="2"/>
        <v>456</v>
      </c>
      <c r="F21" s="6">
        <f t="shared" si="3"/>
        <v>102</v>
      </c>
      <c r="G21" s="6">
        <f t="shared" si="17"/>
        <v>295.68029568029567</v>
      </c>
      <c r="H21" s="6">
        <f t="shared" si="18"/>
        <v>73920.073920073919</v>
      </c>
      <c r="I21" s="5">
        <f t="shared" si="6"/>
        <v>31987.77</v>
      </c>
      <c r="J21" s="7">
        <f t="shared" si="7"/>
        <v>0.43273455103125003</v>
      </c>
      <c r="K21" s="8"/>
      <c r="L21" s="6">
        <f t="shared" si="8"/>
        <v>1612489.4058293372</v>
      </c>
      <c r="M21" s="6">
        <v>1078056</v>
      </c>
      <c r="N21" s="9">
        <f t="shared" si="9"/>
        <v>0.3314337470356693</v>
      </c>
      <c r="O21" s="9"/>
      <c r="P21" s="6">
        <v>1695351.81</v>
      </c>
      <c r="Q21" s="6">
        <f t="shared" si="10"/>
        <v>50860.554300000003</v>
      </c>
      <c r="R21" s="9">
        <f t="shared" si="11"/>
        <v>0.68804793613968751</v>
      </c>
      <c r="S21" s="6"/>
      <c r="T21" s="6">
        <f t="shared" si="0"/>
        <v>2017691.9268105743</v>
      </c>
      <c r="U21" s="6">
        <f t="shared" si="1"/>
        <v>73920.073920073919</v>
      </c>
      <c r="V21" s="6">
        <f t="shared" si="12"/>
        <v>60530.757804317225</v>
      </c>
      <c r="W21" s="14">
        <f t="shared" si="13"/>
        <v>0.81886765792152894</v>
      </c>
      <c r="X21" s="2"/>
      <c r="Y21" s="1">
        <f t="shared" si="14"/>
        <v>2262719.9740147889</v>
      </c>
      <c r="Z21" s="21">
        <f t="shared" si="15"/>
        <v>67881.599220443662</v>
      </c>
      <c r="AA21" s="28">
        <f t="shared" si="16"/>
        <v>0.91831075945406448</v>
      </c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">
      <c r="A22" s="8" t="s">
        <v>19</v>
      </c>
      <c r="B22" s="6">
        <v>956722</v>
      </c>
      <c r="C22" s="6">
        <v>247</v>
      </c>
      <c r="D22" s="6">
        <v>256</v>
      </c>
      <c r="E22" s="6">
        <f t="shared" si="2"/>
        <v>456</v>
      </c>
      <c r="F22" s="6">
        <f t="shared" si="3"/>
        <v>102</v>
      </c>
      <c r="G22" s="6">
        <f t="shared" si="17"/>
        <v>295.68029568029567</v>
      </c>
      <c r="H22" s="6">
        <f t="shared" si="18"/>
        <v>73033.033033033033</v>
      </c>
      <c r="I22" s="5">
        <f t="shared" si="6"/>
        <v>28701.66</v>
      </c>
      <c r="J22" s="7">
        <f t="shared" si="7"/>
        <v>0.39299559128289474</v>
      </c>
      <c r="K22" s="8"/>
      <c r="L22" s="6">
        <f t="shared" si="8"/>
        <v>1446838.047157262</v>
      </c>
      <c r="M22" s="6">
        <v>1059897</v>
      </c>
      <c r="N22" s="9">
        <f t="shared" si="9"/>
        <v>0.26743908754509271</v>
      </c>
      <c r="O22" s="9"/>
      <c r="P22" s="6">
        <v>1521187.98</v>
      </c>
      <c r="Q22" s="6">
        <f t="shared" si="10"/>
        <v>45635.6394</v>
      </c>
      <c r="R22" s="9">
        <f t="shared" si="11"/>
        <v>0.62486299013980262</v>
      </c>
      <c r="S22" s="6"/>
      <c r="T22" s="6">
        <f t="shared" si="0"/>
        <v>1983705.5033789964</v>
      </c>
      <c r="U22" s="6">
        <f t="shared" si="1"/>
        <v>73033.033033033033</v>
      </c>
      <c r="V22" s="6">
        <f t="shared" si="12"/>
        <v>59511.165101369887</v>
      </c>
      <c r="W22" s="14">
        <f t="shared" si="13"/>
        <v>0.81485271294227679</v>
      </c>
      <c r="X22" s="2"/>
      <c r="Y22" s="1">
        <f t="shared" si="14"/>
        <v>2224606.2470765458</v>
      </c>
      <c r="Z22" s="21">
        <f t="shared" si="15"/>
        <v>66738.187412296378</v>
      </c>
      <c r="AA22" s="28">
        <f t="shared" si="16"/>
        <v>0.91380824047264364</v>
      </c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">
      <c r="A23" s="8" t="s">
        <v>28</v>
      </c>
      <c r="B23" s="6">
        <v>2298</v>
      </c>
      <c r="C23" s="6">
        <v>67</v>
      </c>
      <c r="D23" s="6">
        <v>256</v>
      </c>
      <c r="E23" s="6">
        <f t="shared" si="2"/>
        <v>456</v>
      </c>
      <c r="F23" s="6">
        <f t="shared" si="3"/>
        <v>102</v>
      </c>
      <c r="G23" s="6">
        <f t="shared" si="17"/>
        <v>295.68029568029567</v>
      </c>
      <c r="H23" s="6">
        <f t="shared" si="18"/>
        <v>19810.579810579809</v>
      </c>
      <c r="I23" s="5">
        <f t="shared" si="6"/>
        <v>68.94</v>
      </c>
      <c r="J23" s="7">
        <f t="shared" si="7"/>
        <v>3.4799587220149253E-3</v>
      </c>
      <c r="K23" s="8"/>
      <c r="L23" s="17">
        <f>4*B23</f>
        <v>9192</v>
      </c>
      <c r="M23" s="17">
        <v>28909</v>
      </c>
      <c r="N23" s="18">
        <f t="shared" si="9"/>
        <v>-2.1450174064403829</v>
      </c>
      <c r="O23" s="9"/>
      <c r="P23" s="17">
        <v>29874</v>
      </c>
      <c r="Q23" s="17">
        <f t="shared" si="10"/>
        <v>896.21999999999991</v>
      </c>
      <c r="R23" s="18">
        <f t="shared" si="11"/>
        <v>4.5239463386194029E-2</v>
      </c>
      <c r="S23" s="6"/>
      <c r="T23" s="17">
        <f t="shared" si="0"/>
        <v>54106.146537996996</v>
      </c>
      <c r="U23" s="17">
        <f t="shared" si="1"/>
        <v>19810.579810579809</v>
      </c>
      <c r="V23" s="17">
        <f t="shared" si="12"/>
        <v>1623.1843961399097</v>
      </c>
      <c r="W23" s="18">
        <f t="shared" si="13"/>
        <v>8.1935229138172458E-2</v>
      </c>
      <c r="X23" s="2"/>
      <c r="Y23" s="26">
        <f t="shared" si="14"/>
        <v>60676.784627879751</v>
      </c>
      <c r="Z23" s="22">
        <f t="shared" si="15"/>
        <v>1820.3035388363926</v>
      </c>
      <c r="AA23" s="23">
        <f t="shared" si="16"/>
        <v>9.1885424669108484E-2</v>
      </c>
      <c r="AB23" s="2"/>
      <c r="AC23" s="2"/>
      <c r="AD23" s="2"/>
      <c r="AE23" s="2"/>
      <c r="AF23" s="2"/>
      <c r="AG23" s="2"/>
      <c r="AH23" s="2"/>
      <c r="AI23" s="2"/>
      <c r="AJ23" s="2"/>
    </row>
    <row r="24" spans="1:36" s="13" customFormat="1" x14ac:dyDescent="0.2">
      <c r="A24" s="8" t="s">
        <v>29</v>
      </c>
      <c r="B24" s="6">
        <v>4628</v>
      </c>
      <c r="C24" s="6">
        <v>23</v>
      </c>
      <c r="D24" s="6">
        <v>256</v>
      </c>
      <c r="E24" s="6">
        <f t="shared" si="2"/>
        <v>456</v>
      </c>
      <c r="F24" s="6">
        <f t="shared" si="3"/>
        <v>102</v>
      </c>
      <c r="G24" s="11">
        <f t="shared" si="17"/>
        <v>295.68029568029567</v>
      </c>
      <c r="H24" s="11">
        <f t="shared" si="18"/>
        <v>6800.6468006468003</v>
      </c>
      <c r="I24" s="11">
        <f t="shared" si="6"/>
        <v>138.84</v>
      </c>
      <c r="J24" s="12">
        <f t="shared" si="7"/>
        <v>2.0415705163043481E-2</v>
      </c>
      <c r="K24" s="8"/>
      <c r="L24" s="17">
        <f>4*B24</f>
        <v>18512</v>
      </c>
      <c r="M24" s="17">
        <v>11584</v>
      </c>
      <c r="N24" s="18">
        <f t="shared" si="9"/>
        <v>0.37424373379429554</v>
      </c>
      <c r="O24" s="9"/>
      <c r="P24" s="17">
        <v>60164</v>
      </c>
      <c r="Q24" s="17">
        <f t="shared" si="10"/>
        <v>1804.9199999999998</v>
      </c>
      <c r="R24" s="18">
        <f t="shared" si="11"/>
        <v>0.26540416711956522</v>
      </c>
      <c r="S24" s="6"/>
      <c r="T24" s="17">
        <f t="shared" si="0"/>
        <v>21680.63929904726</v>
      </c>
      <c r="U24" s="17">
        <f t="shared" si="1"/>
        <v>6800.6468006468003</v>
      </c>
      <c r="V24" s="17">
        <f t="shared" si="12"/>
        <v>650.41917897141775</v>
      </c>
      <c r="W24" s="18">
        <f t="shared" si="13"/>
        <v>9.5640782125246862E-2</v>
      </c>
      <c r="X24" s="2"/>
      <c r="Y24" s="26">
        <f t="shared" si="14"/>
        <v>24313.531188535027</v>
      </c>
      <c r="Z24" s="22">
        <f t="shared" si="15"/>
        <v>729.40593565605081</v>
      </c>
      <c r="AA24" s="23">
        <f t="shared" si="16"/>
        <v>0.10725537688366318</v>
      </c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">
      <c r="A25" s="8" t="s">
        <v>31</v>
      </c>
      <c r="B25" s="6">
        <v>23988</v>
      </c>
      <c r="C25" s="6">
        <v>179</v>
      </c>
      <c r="D25" s="6">
        <v>256</v>
      </c>
      <c r="E25" s="6">
        <f t="shared" si="2"/>
        <v>456</v>
      </c>
      <c r="F25" s="6">
        <f t="shared" si="3"/>
        <v>102</v>
      </c>
      <c r="G25" s="6">
        <f t="shared" si="17"/>
        <v>295.68029568029567</v>
      </c>
      <c r="H25" s="6">
        <f t="shared" si="18"/>
        <v>52926.772926772923</v>
      </c>
      <c r="I25" s="5">
        <f t="shared" si="6"/>
        <v>719.64</v>
      </c>
      <c r="J25" s="7">
        <f t="shared" si="7"/>
        <v>1.3596899266759777E-2</v>
      </c>
      <c r="K25" s="8"/>
      <c r="L25" s="17">
        <f>4*B25</f>
        <v>95952</v>
      </c>
      <c r="M25" s="17">
        <v>289018</v>
      </c>
      <c r="N25" s="18">
        <f t="shared" si="9"/>
        <v>-2.0121102217775553</v>
      </c>
      <c r="O25" s="9"/>
      <c r="P25" s="17">
        <v>311844</v>
      </c>
      <c r="Q25" s="17">
        <f t="shared" si="10"/>
        <v>9355.32</v>
      </c>
      <c r="R25" s="18">
        <f t="shared" si="11"/>
        <v>0.1767596904678771</v>
      </c>
      <c r="S25" s="6"/>
      <c r="T25" s="17">
        <f t="shared" si="0"/>
        <v>540926.71002521075</v>
      </c>
      <c r="U25" s="17">
        <f t="shared" si="1"/>
        <v>52926.772926772923</v>
      </c>
      <c r="V25" s="17">
        <f t="shared" si="12"/>
        <v>16227.801300756322</v>
      </c>
      <c r="W25" s="18">
        <f t="shared" si="13"/>
        <v>0.30660855373155604</v>
      </c>
      <c r="X25" s="2"/>
      <c r="Y25" s="26">
        <f t="shared" si="14"/>
        <v>606616.72626450425</v>
      </c>
      <c r="Z25" s="22">
        <f t="shared" si="15"/>
        <v>18198.501787935125</v>
      </c>
      <c r="AA25" s="23">
        <f t="shared" si="16"/>
        <v>0.34384302653618698</v>
      </c>
      <c r="AB25" s="2"/>
      <c r="AC25" s="2"/>
      <c r="AD25" s="2"/>
      <c r="AE25" s="2"/>
      <c r="AF25" s="2"/>
      <c r="AG25" s="2"/>
      <c r="AH25" s="2"/>
      <c r="AI25" s="2"/>
      <c r="AJ25" s="2"/>
    </row>
    <row r="26" spans="1:36" s="13" customFormat="1" x14ac:dyDescent="0.2">
      <c r="A26" s="8" t="s">
        <v>30</v>
      </c>
      <c r="B26" s="6">
        <v>8608</v>
      </c>
      <c r="C26" s="6">
        <v>37</v>
      </c>
      <c r="D26" s="6">
        <v>256</v>
      </c>
      <c r="E26" s="6">
        <f t="shared" si="2"/>
        <v>456</v>
      </c>
      <c r="F26" s="6">
        <f t="shared" si="3"/>
        <v>102</v>
      </c>
      <c r="G26" s="11">
        <f t="shared" si="17"/>
        <v>295.68029568029567</v>
      </c>
      <c r="H26" s="11">
        <f t="shared" si="18"/>
        <v>10940.17094017094</v>
      </c>
      <c r="I26" s="11">
        <f t="shared" si="6"/>
        <v>258.24</v>
      </c>
      <c r="J26" s="12">
        <f t="shared" si="7"/>
        <v>2.3604750000000001E-2</v>
      </c>
      <c r="K26" s="8"/>
      <c r="L26" s="17">
        <f>4*B26</f>
        <v>34432</v>
      </c>
      <c r="M26" s="17">
        <v>19917</v>
      </c>
      <c r="N26" s="18">
        <f t="shared" si="9"/>
        <v>0.42155552973977695</v>
      </c>
      <c r="O26" s="9"/>
      <c r="P26" s="17">
        <v>111904</v>
      </c>
      <c r="Q26" s="17">
        <f t="shared" si="10"/>
        <v>3357.12</v>
      </c>
      <c r="R26" s="18">
        <f t="shared" si="11"/>
        <v>0.30686174999999999</v>
      </c>
      <c r="S26" s="6"/>
      <c r="T26" s="17">
        <f t="shared" si="0"/>
        <v>37276.700010283523</v>
      </c>
      <c r="U26" s="17">
        <f t="shared" si="1"/>
        <v>10940.17094017094</v>
      </c>
      <c r="V26" s="17">
        <f t="shared" si="12"/>
        <v>1118.3010003085055</v>
      </c>
      <c r="W26" s="18">
        <f t="shared" si="13"/>
        <v>0.10221970080944934</v>
      </c>
      <c r="X26" s="2"/>
      <c r="Y26" s="26">
        <f t="shared" si="14"/>
        <v>41803.573953906438</v>
      </c>
      <c r="Z26" s="22">
        <f t="shared" si="15"/>
        <v>1254.107218617193</v>
      </c>
      <c r="AA26" s="23">
        <f t="shared" si="16"/>
        <v>0.11463323795172781</v>
      </c>
      <c r="AB26" s="2"/>
      <c r="AC26" s="2"/>
      <c r="AD26" s="2"/>
      <c r="AE26" s="2"/>
      <c r="AF26" s="2"/>
      <c r="AG26" s="2"/>
      <c r="AH26" s="2"/>
      <c r="AI26" s="2"/>
      <c r="AJ26" s="2"/>
    </row>
    <row r="27" spans="1:36" s="13" customFormat="1" x14ac:dyDescent="0.2">
      <c r="A27" s="8" t="s">
        <v>32</v>
      </c>
      <c r="B27" s="6">
        <v>7260</v>
      </c>
      <c r="C27" s="6">
        <v>47</v>
      </c>
      <c r="D27" s="6">
        <v>256</v>
      </c>
      <c r="E27" s="6">
        <f t="shared" si="2"/>
        <v>456</v>
      </c>
      <c r="F27" s="6">
        <f t="shared" si="3"/>
        <v>102</v>
      </c>
      <c r="G27" s="11">
        <f t="shared" si="17"/>
        <v>295.68029568029567</v>
      </c>
      <c r="H27" s="11">
        <f t="shared" si="18"/>
        <v>13896.973896973897</v>
      </c>
      <c r="I27" s="11">
        <f t="shared" si="6"/>
        <v>217.79999999999998</v>
      </c>
      <c r="J27" s="12">
        <f t="shared" si="7"/>
        <v>1.5672476728723402E-2</v>
      </c>
      <c r="K27" s="8"/>
      <c r="L27" s="17">
        <f>4*B27</f>
        <v>29040</v>
      </c>
      <c r="M27" s="17">
        <v>17915</v>
      </c>
      <c r="N27" s="18">
        <f t="shared" si="9"/>
        <v>0.38309228650137739</v>
      </c>
      <c r="O27" s="9"/>
      <c r="P27" s="17">
        <v>94380</v>
      </c>
      <c r="Q27" s="17">
        <f t="shared" si="10"/>
        <v>2831.4</v>
      </c>
      <c r="R27" s="18">
        <f t="shared" si="11"/>
        <v>0.20374219747340425</v>
      </c>
      <c r="S27" s="6"/>
      <c r="T27" s="17">
        <f t="shared" si="0"/>
        <v>33529.752507115991</v>
      </c>
      <c r="U27" s="17">
        <f t="shared" si="1"/>
        <v>13896.973896973897</v>
      </c>
      <c r="V27" s="17">
        <f t="shared" si="12"/>
        <v>1005.8925752134796</v>
      </c>
      <c r="W27" s="18">
        <f t="shared" si="13"/>
        <v>7.2382130287552415E-2</v>
      </c>
      <c r="X27" s="2"/>
      <c r="Y27" s="26">
        <f t="shared" si="14"/>
        <v>37601.598000915481</v>
      </c>
      <c r="Z27" s="22">
        <f t="shared" si="15"/>
        <v>1128.0479400274644</v>
      </c>
      <c r="AA27" s="23">
        <f t="shared" si="16"/>
        <v>8.1172199673851281E-2</v>
      </c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">
      <c r="A28" s="3" t="s">
        <v>133</v>
      </c>
      <c r="B28" s="5">
        <v>7012407</v>
      </c>
      <c r="C28" s="5"/>
      <c r="D28" s="5"/>
      <c r="E28" s="5"/>
      <c r="F28" s="5"/>
      <c r="G28" s="5"/>
      <c r="H28" s="5"/>
      <c r="I28" s="5"/>
      <c r="J28" s="3"/>
      <c r="K28" s="3"/>
      <c r="L28" s="6">
        <v>10604770.507787962</v>
      </c>
      <c r="M28" s="6">
        <f>SUM(M2:M27)</f>
        <v>7561493</v>
      </c>
      <c r="N28" s="9">
        <f>1-M28/L28</f>
        <v>0.28697250030569077</v>
      </c>
      <c r="O28" s="9"/>
      <c r="P28" s="6">
        <v>11465242.383724142</v>
      </c>
      <c r="Q28" s="6"/>
      <c r="R28" s="6"/>
      <c r="S28" s="6"/>
      <c r="T28" s="27">
        <v>14152106.551732628</v>
      </c>
      <c r="U28" s="2"/>
      <c r="V28" s="2"/>
      <c r="W28" s="16"/>
      <c r="X28" s="2"/>
      <c r="Y28" s="1">
        <v>15870735.142212473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">
      <c r="N29" s="9"/>
      <c r="O29" s="9"/>
      <c r="X29" s="2"/>
      <c r="Y29" s="2"/>
      <c r="Z29" s="2"/>
      <c r="AA29" s="2"/>
    </row>
    <row r="30" spans="1:36" x14ac:dyDescent="0.2">
      <c r="P30" t="s">
        <v>135</v>
      </c>
      <c r="T30" t="s">
        <v>136</v>
      </c>
      <c r="X30" s="2"/>
      <c r="Y30" t="s">
        <v>137</v>
      </c>
      <c r="Z30" s="2"/>
      <c r="AA30" s="2"/>
    </row>
    <row r="31" spans="1:36" x14ac:dyDescent="0.2">
      <c r="X31" s="2"/>
      <c r="Y31" s="2" t="s">
        <v>138</v>
      </c>
      <c r="Z31" s="2"/>
      <c r="AA31" s="2"/>
    </row>
    <row r="32" spans="1:36" x14ac:dyDescent="0.2">
      <c r="X32" s="2"/>
      <c r="Y32" s="2"/>
      <c r="Z32" s="2"/>
      <c r="AA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2021 7.8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Schoenrock, Brad D</dc:creator>
  <cp:lastModifiedBy>Charter</cp:lastModifiedBy>
  <cp:revision>51</cp:revision>
  <dcterms:created xsi:type="dcterms:W3CDTF">2019-01-14T13:50:11Z</dcterms:created>
  <dcterms:modified xsi:type="dcterms:W3CDTF">2021-04-26T20:25:58Z</dcterms:modified>
</cp:coreProperties>
</file>